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23.xml" ContentType="application/vnd.openxmlformats-officedocument.drawingml.chartshapes+xml"/>
  <Override PartName="/xl/drawings/drawing28.xml" ContentType="application/vnd.openxmlformats-officedocument.drawingml.chartshapes+xml"/>
  <Override PartName="/xl/drawings/drawing2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drawings/drawing7.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8.xml" ContentType="application/vnd.openxmlformats-officedocument.drawing+xml"/>
  <Override PartName="/xl/charts/chart1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slicers/slicer2.xml" ContentType="application/vnd.ms-excel.slicer+xml"/>
  <Override PartName="/xl/drawings/drawing13.xml" ContentType="application/vnd.openxmlformats-officedocument.drawing+xml"/>
  <Override PartName="/xl/slicers/slicer3.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4.xml" ContentType="application/vnd.openxmlformats-officedocument.drawing+xml"/>
  <Override PartName="/xl/slicers/slicer4.xml" ContentType="application/vnd.ms-excel.slicer+xml"/>
  <Override PartName="/xl/drawings/drawing15.xml" ContentType="application/vnd.openxmlformats-officedocument.drawing+xml"/>
  <Override PartName="/xl/drawings/drawing16.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drawings/drawing17.xml" ContentType="application/vnd.openxmlformats-officedocument.drawing+xml"/>
  <Override PartName="/xl/slicers/slicer6.xml" ContentType="application/vnd.ms-excel.slicer+xml"/>
  <Override PartName="/xl/pivotTables/pivotTable6.xml" ContentType="application/vnd.openxmlformats-officedocument.spreadsheetml.pivotTable+xml"/>
  <Override PartName="/xl/drawings/drawing1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xml"/>
  <Override PartName="/xl/slicers/slicer7.xml" ContentType="application/vnd.ms-excel.slicer+xml"/>
  <Override PartName="/xl/pivotTables/pivotTable7.xml" ContentType="application/vnd.openxmlformats-officedocument.spreadsheetml.pivotTable+xml"/>
  <Override PartName="/xl/drawings/drawing21.xml" ContentType="application/vnd.openxmlformats-officedocument.drawing+xml"/>
  <Override PartName="/xl/slicers/slicer8.xml" ContentType="application/vnd.ms-excel.slicer+xml"/>
  <Override PartName="/xl/pivotTables/pivotTable8.xml" ContentType="application/vnd.openxmlformats-officedocument.spreadsheetml.pivotTable+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9.xml" ContentType="application/vnd.openxmlformats-officedocument.drawing+xml"/>
  <Override PartName="/xl/charts/chart4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0.xml" ContentType="application/vnd.openxmlformats-officedocument.drawing+xml"/>
  <Override PartName="/xl/slicers/slicer9.xml" ContentType="application/vnd.ms-excel.slicer+xml"/>
  <Override PartName="/xl/pivotTables/pivotTable9.xml" ContentType="application/vnd.openxmlformats-officedocument.spreadsheetml.pivotTable+xml"/>
  <Override PartName="/xl/drawings/drawing31.xml" ContentType="application/vnd.openxmlformats-officedocument.drawing+xml"/>
  <Override PartName="/xl/slicers/slicer10.xml" ContentType="application/vnd.ms-excel.slicer+xml"/>
  <Override PartName="/xl/pivotTables/pivotTable10.xml" ContentType="application/vnd.openxmlformats-officedocument.spreadsheetml.pivotTable+xml"/>
  <Override PartName="/xl/drawings/drawing32.xml" ContentType="application/vnd.openxmlformats-officedocument.drawing+xml"/>
  <Override PartName="/xl/slicers/slicer11.xml" ContentType="application/vnd.ms-excel.slicer+xml"/>
  <Override PartName="/xl/pivotTables/pivotTable11.xml" ContentType="application/vnd.openxmlformats-officedocument.spreadsheetml.pivotTab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34.xml" ContentType="application/vnd.openxmlformats-officedocument.drawing+xml"/>
  <Override PartName="/xl/charts/chart50.xml" ContentType="application/vnd.openxmlformats-officedocument.drawingml.chart+xml"/>
  <Override PartName="/xl/drawings/drawing35.xml" ContentType="application/vnd.openxmlformats-officedocument.drawing+xml"/>
  <Override PartName="/xl/charts/chart51.xml" ContentType="application/vnd.openxmlformats-officedocument.drawingml.chart+xml"/>
  <Override PartName="/xl/drawings/drawing36.xml" ContentType="application/vnd.openxmlformats-officedocument.drawing+xml"/>
  <Override PartName="/xl/charts/chart52.xml" ContentType="application/vnd.openxmlformats-officedocument.drawingml.chart+xml"/>
  <Override PartName="/xl/drawings/drawing37.xml" ContentType="application/vnd.openxmlformats-officedocument.drawing+xml"/>
  <Override PartName="/xl/charts/chart53.xml" ContentType="application/vnd.openxmlformats-officedocument.drawingml.chart+xml"/>
  <Override PartName="/xl/drawings/drawing38.xml" ContentType="application/vnd.openxmlformats-officedocument.drawing+xml"/>
  <Override PartName="/xl/slicers/slicer12.xml" ContentType="application/vnd.ms-excel.slicer+xml"/>
  <Override PartName="/xl/pivotTables/pivotTable12.xml" ContentType="application/vnd.openxmlformats-officedocument.spreadsheetml.pivotTable+xml"/>
  <Override PartName="/xl/drawings/drawing39.xml" ContentType="application/vnd.openxmlformats-officedocument.drawing+xml"/>
  <Override PartName="/xl/slicers/slicer13.xml" ContentType="application/vnd.ms-excel.slicer+xml"/>
  <Override PartName="/xl/pivotTables/pivotTable13.xml" ContentType="application/vnd.openxmlformats-officedocument.spreadsheetml.pivotTable+xml"/>
  <Override PartName="/xl/drawings/drawing40.xml" ContentType="application/vnd.openxmlformats-officedocument.drawing+xml"/>
  <Override PartName="/xl/slicers/slicer14.xml" ContentType="application/vnd.ms-excel.slicer+xml"/>
  <Override PartName="/xl/pivotTables/pivotTable14.xml" ContentType="application/vnd.openxmlformats-officedocument.spreadsheetml.pivotTable+xml"/>
  <Override PartName="/xl/drawings/drawing41.xml" ContentType="application/vnd.openxmlformats-officedocument.drawing+xml"/>
  <Override PartName="/xl/slicers/slicer15.xml" ContentType="application/vnd.ms-excel.slicer+xml"/>
  <Override PartName="/xl/pivotTables/pivotTable15.xml" ContentType="application/vnd.openxmlformats-officedocument.spreadsheetml.pivotTable+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4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4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46.xml" ContentType="application/vnd.openxmlformats-officedocument.drawing+xml"/>
  <Override PartName="/xl/slicers/slicer16.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47.xml" ContentType="application/vnd.openxmlformats-officedocument.drawing+xml"/>
  <Override PartName="/xl/slicers/slicer17.xml" ContentType="application/vnd.ms-excel.slicer+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48.xml" ContentType="application/vnd.openxmlformats-officedocument.drawing+xml"/>
  <Override PartName="/xl/slicers/slicer18.xml" ContentType="application/vnd.ms-excel.slicer+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49.xml" ContentType="application/vnd.openxmlformats-officedocument.drawing+xml"/>
  <Override PartName="/xl/slicers/slicer19.xml" ContentType="application/vnd.ms-excel.slicer+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50.xml" ContentType="application/vnd.openxmlformats-officedocument.drawing+xml"/>
  <Override PartName="/xl/charts/chart66.xml" ContentType="application/vnd.openxmlformats-officedocument.drawingml.chart+xml"/>
  <Override PartName="/xl/drawings/drawing51.xml" ContentType="application/vnd.openxmlformats-officedocument.drawing+xml"/>
  <Override PartName="/xl/slicers/slicer20.xml" ContentType="application/vnd.ms-excel.slicer+xml"/>
  <Override PartName="/xl/pivotTables/pivotTable30.xml" ContentType="application/vnd.openxmlformats-officedocument.spreadsheetml.pivotTable+xml"/>
  <Override PartName="/xl/drawings/drawing52.xml" ContentType="application/vnd.openxmlformats-officedocument.drawing+xml"/>
  <Override PartName="/xl/charts/chart67.xml" ContentType="application/vnd.openxmlformats-officedocument.drawingml.chart+xml"/>
  <Override PartName="/xl/charts/style3.xml" ContentType="application/vnd.ms-office.chartstyle+xml"/>
  <Override PartName="/xl/charts/colors3.xml" ContentType="application/vnd.ms-office.chartcolorstyle+xml"/>
  <Override PartName="/xl/charts/chart6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slicers/slicer21.xml" ContentType="application/vnd.ms-excel.slicer+xml"/>
  <Override PartName="/xl/pivotTables/pivotTable31.xml" ContentType="application/vnd.openxmlformats-officedocument.spreadsheetml.pivotTable+xml"/>
  <Override PartName="/xl/drawings/drawing54.xml" ContentType="application/vnd.openxmlformats-officedocument.drawing+xml"/>
  <Override PartName="/xl/slicers/slicer22.xml" ContentType="application/vnd.ms-excel.slicer+xml"/>
  <Override PartName="/xl/pivotTables/pivotTable32.xml" ContentType="application/vnd.openxmlformats-officedocument.spreadsheetml.pivotTable+xml"/>
  <Override PartName="/xl/drawings/drawing55.xml" ContentType="application/vnd.openxmlformats-officedocument.drawing+xml"/>
  <Override PartName="/xl/charts/chart69.xml" ContentType="application/vnd.openxmlformats-officedocument.drawingml.chart+xml"/>
  <Override PartName="/xl/charts/style5.xml" ContentType="application/vnd.ms-office.chartstyle+xml"/>
  <Override PartName="/xl/charts/colors5.xml" ContentType="application/vnd.ms-office.chartcolorstyle+xml"/>
  <Override PartName="/xl/charts/chart70.xml" ContentType="application/vnd.openxmlformats-officedocument.drawingml.chart+xml"/>
  <Override PartName="/xl/charts/style6.xml" ContentType="application/vnd.ms-office.chartstyle+xml"/>
  <Override PartName="/xl/charts/colors6.xml" ContentType="application/vnd.ms-office.chartcolorstyle+xml"/>
  <Override PartName="/xl/charts/chart71.xml" ContentType="application/vnd.openxmlformats-officedocument.drawingml.chart+xml"/>
  <Override PartName="/xl/charts/style7.xml" ContentType="application/vnd.ms-office.chartstyle+xml"/>
  <Override PartName="/xl/charts/colors7.xml" ContentType="application/vnd.ms-office.chartcolorstyle+xml"/>
  <Override PartName="/xl/charts/chart7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style9.xml" ContentType="application/vnd.ms-office.chartstyle+xml"/>
  <Override PartName="/xl/charts/colors9.xml" ContentType="application/vnd.ms-office.chartcolorstyle+xml"/>
  <Override PartName="/xl/charts/chart7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7.xml" ContentType="application/vnd.openxmlformats-officedocument.drawing+xml"/>
  <Override PartName="/xl/slicers/slicer23.xml" ContentType="application/vnd.ms-excel.slicer+xml"/>
  <Override PartName="/xl/drawings/drawing58.xml" ContentType="application/vnd.openxmlformats-officedocument.drawing+xml"/>
  <Override PartName="/xl/slicers/slicer24.xml" ContentType="application/vnd.ms-excel.slicer+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1.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2.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4.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5.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firescotland-my.sharepoint.com/personal/morag_allan_firescotland_gov_uk/Documents/Desktop/"/>
    </mc:Choice>
  </mc:AlternateContent>
  <xr:revisionPtr revIDLastSave="0" documentId="8_{892D88BD-751B-4E95-8232-98970395D377}" xr6:coauthVersionLast="47" xr6:coauthVersionMax="47" xr10:uidLastSave="{00000000-0000-0000-0000-000000000000}"/>
  <workbookProtection workbookAlgorithmName="SHA-512" workbookHashValue="nhsVBn23dvfbwhvzKWS+94HgvP7XBD6FlmVgFYyneE8i0hKs87GHQq1AwHznJEWT89C3mVL23s88HKhumFTCEw==" workbookSaltValue="6ru6GUyxIpvHSv6GRG7QTw==" workbookSpinCount="100000" lockStructure="1"/>
  <bookViews>
    <workbookView xWindow="-120" yWindow="-120" windowWidth="24240" windowHeight="13140" tabRatio="787" xr2:uid="{00000000-000D-0000-FFFF-FFFF00000000}"/>
  </bookViews>
  <sheets>
    <sheet name="Introduction" sheetId="70" r:id="rId1"/>
    <sheet name="Contents" sheetId="69" r:id="rId2"/>
    <sheet name="Long-Term Trend" sheetId="97" r:id="rId3"/>
    <sheet name="Figure Long-Term Trend" sheetId="214" r:id="rId4"/>
    <sheet name="Figure Fatal Casualties" sheetId="175" r:id="rId5"/>
    <sheet name="Figure Non-fatal Casualties" sheetId="229" r:id="rId6"/>
    <sheet name="Figure 1" sheetId="167" r:id="rId7"/>
    <sheet name="Figure 2" sheetId="168" r:id="rId8"/>
    <sheet name="Figure 3" sheetId="183" r:id="rId9"/>
    <sheet name="1 1a 1b" sheetId="181" r:id="rId10"/>
    <sheet name="T_01" sheetId="188" state="hidden" r:id="rId11"/>
    <sheet name="T_02" sheetId="189" state="hidden" r:id="rId12"/>
    <sheet name="Figure 4" sheetId="169" r:id="rId13"/>
    <sheet name="Figure 5" sheetId="184" r:id="rId14"/>
    <sheet name="Figure 6" sheetId="231" r:id="rId15"/>
    <sheet name="Figure 7" sheetId="227" r:id="rId16"/>
    <sheet name="2 2a 2b" sheetId="182" r:id="rId17"/>
    <sheet name="3 3a" sheetId="4" r:id="rId18"/>
    <sheet name="T_03" sheetId="190" state="hidden" r:id="rId19"/>
    <sheet name="T_03b" sheetId="191" state="hidden" r:id="rId20"/>
    <sheet name="3b" sheetId="94" r:id="rId21"/>
    <sheet name="Figure 8" sheetId="185" r:id="rId22"/>
    <sheet name="4 4a 4b" sheetId="5" r:id="rId23"/>
    <sheet name="T_04" sheetId="192" state="hidden" r:id="rId24"/>
    <sheet name="4c 4d 4e" sheetId="122" r:id="rId25"/>
    <sheet name="5 5a" sheetId="120" r:id="rId26"/>
    <sheet name="T_05" sheetId="193" state="hidden" r:id="rId27"/>
    <sheet name="Figure 9" sheetId="179" r:id="rId28"/>
    <sheet name="Figure 10" sheetId="215" r:id="rId29"/>
    <sheet name="6 6a" sheetId="8" r:id="rId30"/>
    <sheet name="T_06" sheetId="194" state="hidden" r:id="rId31"/>
    <sheet name="6b" sheetId="98" r:id="rId32"/>
    <sheet name="T_06b" sheetId="195" state="hidden" r:id="rId33"/>
    <sheet name="6c 6d" sheetId="123" r:id="rId34"/>
    <sheet name="7" sheetId="10" r:id="rId35"/>
    <sheet name="Figure 11" sheetId="224" r:id="rId36"/>
    <sheet name="Figure 12" sheetId="186" r:id="rId37"/>
    <sheet name="Figure 13" sheetId="180" r:id="rId38"/>
    <sheet name="Figure 14" sheetId="223" r:id="rId39"/>
    <sheet name="Figure 15" sheetId="216" r:id="rId40"/>
    <sheet name="8 8a" sheetId="11" r:id="rId41"/>
    <sheet name="T_08" sheetId="196" state="hidden" r:id="rId42"/>
    <sheet name="9" sheetId="12" r:id="rId43"/>
    <sheet name="9a" sheetId="13" r:id="rId44"/>
    <sheet name="T_09" sheetId="197" state="hidden" r:id="rId45"/>
    <sheet name="9b" sheetId="99" r:id="rId46"/>
    <sheet name="T_09b" sheetId="198" state="hidden" r:id="rId47"/>
    <sheet name="Figure 16" sheetId="217" r:id="rId48"/>
    <sheet name="10 10a" sheetId="14" r:id="rId49"/>
    <sheet name="10b 10c 10d" sheetId="166" r:id="rId50"/>
    <sheet name="Figure 17" sheetId="176" r:id="rId51"/>
    <sheet name="Figure 18" sheetId="228" r:id="rId52"/>
    <sheet name="Figure 19" sheetId="177" r:id="rId53"/>
    <sheet name="Figure 20" sheetId="178" r:id="rId54"/>
    <sheet name="11" sheetId="25" r:id="rId55"/>
    <sheet name="11a 11b" sheetId="79" r:id="rId56"/>
    <sheet name="T_11" sheetId="199" state="hidden" r:id="rId57"/>
    <sheet name="12 12a" sheetId="26" r:id="rId58"/>
    <sheet name="T_12" sheetId="200" state="hidden" r:id="rId59"/>
    <sheet name="13" sheetId="27" r:id="rId60"/>
    <sheet name="13a" sheetId="28" r:id="rId61"/>
    <sheet name="T_13" sheetId="201" state="hidden" r:id="rId62"/>
    <sheet name="13b" sheetId="80" r:id="rId63"/>
    <sheet name="T_13b" sheetId="202" state="hidden" r:id="rId64"/>
    <sheet name="Figure 21" sheetId="170" r:id="rId65"/>
    <sheet name="Figure 22" sheetId="171" r:id="rId66"/>
    <sheet name="Figure 23" sheetId="172" r:id="rId67"/>
    <sheet name="Figure 24" sheetId="173" r:id="rId68"/>
    <sheet name="14 14a" sheetId="125" r:id="rId69"/>
    <sheet name="14b 14c 14d" sheetId="126" r:id="rId70"/>
    <sheet name="T_14" sheetId="203" state="hidden" r:id="rId71"/>
    <sheet name="14e 14f 14g" sheetId="127" r:id="rId72"/>
    <sheet name="15 15a" sheetId="128" r:id="rId73"/>
    <sheet name="15b 15c 15d" sheetId="129" r:id="rId74"/>
    <sheet name="T_15" sheetId="204" state="hidden" r:id="rId75"/>
    <sheet name="16 16a" sheetId="130" r:id="rId76"/>
    <sheet name="16b 16c 16d" sheetId="131" r:id="rId77"/>
    <sheet name="T_16" sheetId="205" state="hidden" r:id="rId78"/>
    <sheet name="17 17a" sheetId="132" r:id="rId79"/>
    <sheet name="T_ref" sheetId="213" state="hidden" r:id="rId80"/>
    <sheet name="17b 17c 17d" sheetId="133" r:id="rId81"/>
    <sheet name="T_17" sheetId="208" state="hidden" r:id="rId82"/>
    <sheet name="Figure 25" sheetId="218" r:id="rId83"/>
    <sheet name="18 18a 18b" sheetId="134" r:id="rId84"/>
    <sheet name="19" sheetId="135" r:id="rId85"/>
    <sheet name="19a" sheetId="137" r:id="rId86"/>
    <sheet name="T_19" sheetId="210" state="hidden" r:id="rId87"/>
    <sheet name="19b" sheetId="145" r:id="rId88"/>
    <sheet name="20" sheetId="142" r:id="rId89"/>
    <sheet name="Figure 26" sheetId="222" r:id="rId90"/>
    <sheet name="21 21a" sheetId="140" r:id="rId91"/>
    <sheet name="T_21" sheetId="211" state="hidden" r:id="rId92"/>
    <sheet name="21b 21c" sheetId="139" r:id="rId93"/>
    <sheet name="22" sheetId="138" r:id="rId94"/>
    <sheet name="23 23a" sheetId="136" r:id="rId95"/>
    <sheet name="T_23" sheetId="212" state="hidden" r:id="rId96"/>
    <sheet name="24" sheetId="146" r:id="rId97"/>
    <sheet name="25" sheetId="147" r:id="rId98"/>
    <sheet name="Figure 27" sheetId="219" r:id="rId99"/>
    <sheet name="Figure 28" sheetId="221" r:id="rId100"/>
    <sheet name="Population" sheetId="93" r:id="rId101"/>
    <sheet name="Dwellings" sheetId="95" r:id="rId102"/>
    <sheet name="Reference Page" sheetId="162" state="hidden" r:id="rId103"/>
    <sheet name="T01" sheetId="232" state="hidden" r:id="rId104"/>
    <sheet name="T02" sheetId="233" state="hidden" r:id="rId105"/>
    <sheet name="T03" sheetId="234" state="hidden" r:id="rId106"/>
    <sheet name="T04" sheetId="235" state="hidden" r:id="rId107"/>
    <sheet name="T04cde" sheetId="236" state="hidden" r:id="rId108"/>
    <sheet name="T05" sheetId="237" state="hidden" r:id="rId109"/>
    <sheet name="T06" sheetId="238" state="hidden" r:id="rId110"/>
    <sheet name="T07" sheetId="239" state="hidden" r:id="rId111"/>
    <sheet name="T08" sheetId="240" state="hidden" r:id="rId112"/>
    <sheet name="T09" sheetId="241" state="hidden" r:id="rId113"/>
    <sheet name="T09a" sheetId="242" state="hidden" r:id="rId114"/>
    <sheet name="T09b" sheetId="243" state="hidden" r:id="rId115"/>
    <sheet name="T11" sheetId="244" state="hidden" r:id="rId116"/>
    <sheet name="T12" sheetId="245" state="hidden" r:id="rId117"/>
    <sheet name="T13" sheetId="246" state="hidden" r:id="rId118"/>
    <sheet name="T14" sheetId="247" state="hidden" r:id="rId119"/>
    <sheet name="T14b" sheetId="248" state="hidden" r:id="rId120"/>
    <sheet name="T14c" sheetId="249" state="hidden" r:id="rId121"/>
    <sheet name="T14d" sheetId="250" state="hidden" r:id="rId122"/>
    <sheet name="T14e" sheetId="251" state="hidden" r:id="rId123"/>
    <sheet name="T14f" sheetId="252" state="hidden" r:id="rId124"/>
    <sheet name="T16" sheetId="253" state="hidden" r:id="rId125"/>
    <sheet name="T16c" sheetId="254" state="hidden" r:id="rId126"/>
    <sheet name="T16d" sheetId="255" state="hidden" r:id="rId127"/>
    <sheet name="T18" sheetId="256" state="hidden" r:id="rId128"/>
    <sheet name="T19" sheetId="257" state="hidden" r:id="rId129"/>
    <sheet name="T19a" sheetId="258" state="hidden" r:id="rId130"/>
    <sheet name="T19b" sheetId="259" state="hidden" r:id="rId131"/>
    <sheet name="T20" sheetId="260" state="hidden" r:id="rId132"/>
    <sheet name="T21" sheetId="261" state="hidden" r:id="rId133"/>
    <sheet name="T22" sheetId="262" state="hidden" r:id="rId134"/>
    <sheet name="T23" sheetId="263" state="hidden" r:id="rId135"/>
    <sheet name="T24" sheetId="264" state="hidden" r:id="rId136"/>
    <sheet name="T25" sheetId="265" state="hidden" r:id="rId137"/>
    <sheet name="T03b" sheetId="266" state="hidden" r:id="rId138"/>
    <sheet name="T10" sheetId="267" state="hidden" r:id="rId139"/>
    <sheet name="Tref" sheetId="268" state="hidden" r:id="rId140"/>
  </sheets>
  <externalReferences>
    <externalReference r:id="rId141"/>
  </externalReferences>
  <definedNames>
    <definedName name="_xlnm._FilterDatabase" localSheetId="69" hidden="1">'14b 14c 14d'!#REF!</definedName>
    <definedName name="_xlnm._FilterDatabase" localSheetId="71" hidden="1">'14e 14f 14g'!#REF!</definedName>
    <definedName name="_xlnm._FilterDatabase" localSheetId="75" hidden="1">'16 16a'!#REF!</definedName>
    <definedName name="_xlnm._FilterDatabase" localSheetId="83" hidden="1">'18 18a 18b'!#REF!</definedName>
    <definedName name="_xlnm._FilterDatabase" localSheetId="84" hidden="1">'19'!$Q$1:$Z$70</definedName>
    <definedName name="_xlnm._FilterDatabase" localSheetId="16" hidden="1">'2 2a 2b'!$U$1:$AA$59</definedName>
    <definedName name="_xlnm._FilterDatabase" localSheetId="100" hidden="1">Population!$D$20:$G$29</definedName>
    <definedName name="Contents">Contents!$A$3</definedName>
    <definedName name="Dwellings" localSheetId="9">[1]Dwellings!$A$4:$B$35</definedName>
    <definedName name="Dwellings" localSheetId="16">[1]Dwellings!$A$4:$B$35</definedName>
    <definedName name="Dwellings" localSheetId="10">Dwellings!$A$4:$B$35</definedName>
    <definedName name="Dwellings">Dwellings!$A$4:$B$35</definedName>
    <definedName name="DwellingsPage">Dwellings!$A$1</definedName>
    <definedName name="Figure1">'Figure 1'!$J$1</definedName>
    <definedName name="Figure10">'Figure 23'!$I$1</definedName>
    <definedName name="Figure11">'Figure Fatal Casualties'!$I$1</definedName>
    <definedName name="Figure12">'Figure 17'!$J$1</definedName>
    <definedName name="Figure13">'Figure 19'!$J$1</definedName>
    <definedName name="Figure14">'Figure 20'!$L$1</definedName>
    <definedName name="Figure15">'Figure 9'!$K$1</definedName>
    <definedName name="Figure16">'Figure 13'!$J$1</definedName>
    <definedName name="Figure17">'Figure 12'!$O$1</definedName>
    <definedName name="Figure2">'Figure 2'!$I$1</definedName>
    <definedName name="Figure3">'Figure 3'!$I$1</definedName>
    <definedName name="Figure4">'Figure 4'!$I$1</definedName>
    <definedName name="Figure5" localSheetId="14">'Figure 6'!$I$1</definedName>
    <definedName name="Figure5">'Figure 5'!$I$1</definedName>
    <definedName name="Figure6">'Figure 8'!$H$1</definedName>
    <definedName name="Figure7">'Figure 21'!$I$1</definedName>
    <definedName name="Figure8">'Figure 24'!$I$1</definedName>
    <definedName name="Figure9">'Figure 22'!$I$1</definedName>
    <definedName name="Index" localSheetId="36">#REF!</definedName>
    <definedName name="Index" localSheetId="99">#REF!</definedName>
    <definedName name="Index" localSheetId="8">#REF!</definedName>
    <definedName name="Index" localSheetId="13">#REF!</definedName>
    <definedName name="Index" localSheetId="14">#REF!</definedName>
    <definedName name="Index" localSheetId="21">#REF!</definedName>
    <definedName name="Index" localSheetId="74">#REF!</definedName>
    <definedName name="Index">#REF!</definedName>
    <definedName name="Index2">#REF!</definedName>
    <definedName name="Population" localSheetId="9">[1]Population!$A$4:$B$35</definedName>
    <definedName name="Population" localSheetId="16">[1]Population!$A$4:$B$35</definedName>
    <definedName name="Population" localSheetId="10">Population!$A$4:$B$35</definedName>
    <definedName name="Population">Population!$A$4:$B$35</definedName>
    <definedName name="PopulationPage">Population!$A$1</definedName>
    <definedName name="_xlnm.Print_Area" localSheetId="9">'1 1a 1b'!$A$1:$L$62,'1 1a 1b'!$A$63:$O$107</definedName>
    <definedName name="_xlnm.Print_Area" localSheetId="48">'10 10a'!$A$1:$K$43</definedName>
    <definedName name="_xlnm.Print_Area" localSheetId="49">'10b 10c 10d'!$A$1:$J$66</definedName>
    <definedName name="_xlnm.Print_Area" localSheetId="54">'11'!$A$1:$U$39</definedName>
    <definedName name="_xlnm.Print_Area" localSheetId="55">'11a 11b'!$A$1:$I$64</definedName>
    <definedName name="_xlnm.Print_Area" localSheetId="57">'12 12a'!$A$1:$N$83</definedName>
    <definedName name="_xlnm.Print_Area" localSheetId="59">'13'!$A$1:$M$29</definedName>
    <definedName name="_xlnm.Print_Area" localSheetId="60">'13a'!$A$1:$M$79</definedName>
    <definedName name="_xlnm.Print_Area" localSheetId="62">'13b'!$A$1:$I$42</definedName>
    <definedName name="_xlnm.Print_Area" localSheetId="68">'14 14a'!$A$1:$L$42</definedName>
    <definedName name="_xlnm.Print_Area" localSheetId="69">'14b 14c 14d'!$A$1:$M$52</definedName>
    <definedName name="_xlnm.Print_Area" localSheetId="71">'14e 14f 14g'!$A$1:$I$50</definedName>
    <definedName name="_xlnm.Print_Area" localSheetId="72">'15 15a'!$A$1:$J$44</definedName>
    <definedName name="_xlnm.Print_Area" localSheetId="73">'15b 15c 15d'!$A$1:$H$61</definedName>
    <definedName name="_xlnm.Print_Area" localSheetId="75">'16 16a'!$A$1:$Q$42</definedName>
    <definedName name="_xlnm.Print_Area" localSheetId="76">'16b 16c 16d'!$A$1:$Q$52</definedName>
    <definedName name="_xlnm.Print_Area" localSheetId="78">'17 17a'!$A$1:$N$45</definedName>
    <definedName name="_xlnm.Print_Area" localSheetId="80">'17b 17c 17d'!$A$1:$H$60</definedName>
    <definedName name="_xlnm.Print_Area" localSheetId="83">'18 18a 18b'!$A$1:$I$51</definedName>
    <definedName name="_xlnm.Print_Area" localSheetId="84">'19'!$A$1:$O$54</definedName>
    <definedName name="_xlnm.Print_Area" localSheetId="85">'19a'!$A$1:$M$119</definedName>
    <definedName name="_xlnm.Print_Area" localSheetId="87">'19b'!$A$1:$H$42</definedName>
    <definedName name="_xlnm.Print_Area" localSheetId="16">'2 2a 2b'!$A$1:$S$84</definedName>
    <definedName name="_xlnm.Print_Area" localSheetId="88">'20'!$A$1:$I$68</definedName>
    <definedName name="_xlnm.Print_Area" localSheetId="90">'21 21a'!$A$1:$J$59</definedName>
    <definedName name="_xlnm.Print_Area" localSheetId="92">'21b 21c'!$A$1:$K$36</definedName>
    <definedName name="_xlnm.Print_Area" localSheetId="93">'22'!$A$1:$P$36</definedName>
    <definedName name="_xlnm.Print_Area" localSheetId="94">'23 23a'!$A$1:$R$116</definedName>
    <definedName name="_xlnm.Print_Area" localSheetId="96">'24'!$A$1:$AA$67</definedName>
    <definedName name="_xlnm.Print_Area" localSheetId="97">'25'!$A$1:$AA$68</definedName>
    <definedName name="_xlnm.Print_Area" localSheetId="17">'3 3a'!$A$1:$J$64</definedName>
    <definedName name="_xlnm.Print_Area" localSheetId="20">'3b'!$A$1:$L$43</definedName>
    <definedName name="_xlnm.Print_Area" localSheetId="22">'4 4a 4b'!$A$1:$K$101</definedName>
    <definedName name="_xlnm.Print_Area" localSheetId="24">'4c 4d 4e'!$A$1:$K$48</definedName>
    <definedName name="_xlnm.Print_Area" localSheetId="25">'5 5a'!$A$1:$I$57</definedName>
    <definedName name="_xlnm.Print_Area" localSheetId="29">'6 6a'!$A$1:$W$57</definedName>
    <definedName name="_xlnm.Print_Area" localSheetId="31">'6b'!$A$1:$H$42</definedName>
    <definedName name="_xlnm.Print_Area" localSheetId="33">'6c 6d'!$A$1:$L$33</definedName>
    <definedName name="_xlnm.Print_Area" localSheetId="34">'7'!$A$1:$T$31</definedName>
    <definedName name="_xlnm.Print_Area" localSheetId="40">'8 8a'!$A$1:$Q$65</definedName>
    <definedName name="_xlnm.Print_Area" localSheetId="42">'9'!$A$1:$P$39</definedName>
    <definedName name="_xlnm.Print_Area" localSheetId="43">'9a'!$A$1:$P$43</definedName>
    <definedName name="_xlnm.Print_Area" localSheetId="45">'9b'!$A$1:$O$42</definedName>
    <definedName name="_xlnm.Print_Area" localSheetId="101">Dwellings!$A$1:$F$38</definedName>
    <definedName name="_xlnm.Print_Area" localSheetId="6">'Figure 1'!$A$1:$K$41</definedName>
    <definedName name="_xlnm.Print_Area" localSheetId="28">'Figure 10'!$A$1:$L$43</definedName>
    <definedName name="_xlnm.Print_Area" localSheetId="35">'Figure 11'!$A$1:$J$39</definedName>
    <definedName name="_xlnm.Print_Area" localSheetId="36">'Figure 12'!$A$1:$O$42</definedName>
    <definedName name="_xlnm.Print_Area" localSheetId="37">'Figure 13'!$A$1:$J$39</definedName>
    <definedName name="_xlnm.Print_Area" localSheetId="38">'Figure 14'!$A$1:$J$39</definedName>
    <definedName name="_xlnm.Print_Area" localSheetId="39">'Figure 15'!$A$1:$I$29</definedName>
    <definedName name="_xlnm.Print_Area" localSheetId="47">'Figure 16'!$A$1:$I$46</definedName>
    <definedName name="_xlnm.Print_Area" localSheetId="50">'Figure 17'!$A$1:$J$32</definedName>
    <definedName name="_xlnm.Print_Area" localSheetId="51">'Figure 18'!$A$1:$K$31</definedName>
    <definedName name="_xlnm.Print_Area" localSheetId="52">'Figure 19'!$A$1:$J$32</definedName>
    <definedName name="_xlnm.Print_Area" localSheetId="7">'Figure 2'!$A$1:$R$31</definedName>
    <definedName name="_xlnm.Print_Area" localSheetId="53">'Figure 20'!$A$1:$K$30</definedName>
    <definedName name="_xlnm.Print_Area" localSheetId="64">'Figure 21'!$A$1:$I$17</definedName>
    <definedName name="_xlnm.Print_Area" localSheetId="65">'Figure 22'!$A$1:$K$26</definedName>
    <definedName name="_xlnm.Print_Area" localSheetId="66">'Figure 23'!$A$1:$K$28</definedName>
    <definedName name="_xlnm.Print_Area" localSheetId="67">'Figure 24'!$A$1:$K$15</definedName>
    <definedName name="_xlnm.Print_Area" localSheetId="82">'Figure 25'!$A$1:$I$21</definedName>
    <definedName name="_xlnm.Print_Area" localSheetId="89">'Figure 26'!$A$1:$F$60</definedName>
    <definedName name="_xlnm.Print_Area" localSheetId="98">'Figure 27'!$A$1:$L$40</definedName>
    <definedName name="_xlnm.Print_Area" localSheetId="99">'Figure 28'!$A$1:$P$38</definedName>
    <definedName name="_xlnm.Print_Area" localSheetId="8">'Figure 3'!$A$1:$J$32</definedName>
    <definedName name="_xlnm.Print_Area" localSheetId="13">'Figure 5'!$A$1:$O$42</definedName>
    <definedName name="_xlnm.Print_Area" localSheetId="14">'Figure 6'!$A$1:$O$39</definedName>
    <definedName name="_xlnm.Print_Area" localSheetId="15">'Figure 7'!$A$1:$O$40</definedName>
    <definedName name="_xlnm.Print_Area" localSheetId="21">'Figure 8'!$A$1:$O$42</definedName>
    <definedName name="_xlnm.Print_Area" localSheetId="27">'Figure 9'!$A$1:$J$28</definedName>
    <definedName name="_xlnm.Print_Area" localSheetId="4">'Figure Fatal Casualties'!$A$1:$J$33</definedName>
    <definedName name="_xlnm.Print_Area" localSheetId="3">'Figure Long-Term Trend'!$A$1:$T$39</definedName>
    <definedName name="_xlnm.Print_Area" localSheetId="5">'Figure Non-fatal Casualties'!$A$1:$K$33</definedName>
    <definedName name="_xlnm.Print_Area" localSheetId="0">Introduction!$B$1:$K$37</definedName>
    <definedName name="_xlnm.Print_Area" localSheetId="2">'Long-Term Trend'!$A$1:$W$42</definedName>
    <definedName name="_xlnm.Print_Area" localSheetId="100">Population!$A$1:$L$38</definedName>
    <definedName name="_xlnm.Print_Titles" localSheetId="103">'T01'!$10:$10</definedName>
    <definedName name="_xlnm.Print_Titles" localSheetId="104">'T02'!$20:$20</definedName>
    <definedName name="_xlnm.Print_Titles" localSheetId="105">'T03'!$10:$10</definedName>
    <definedName name="_xlnm.Print_Titles" localSheetId="137">T03b!$4:$4</definedName>
    <definedName name="_xlnm.Print_Titles" localSheetId="106">'T04'!$10:$10</definedName>
    <definedName name="_xlnm.Print_Titles" localSheetId="107">T04cde!$4:$4</definedName>
    <definedName name="_xlnm.Print_Titles" localSheetId="108">'T05'!$10:$10</definedName>
    <definedName name="_xlnm.Print_Titles" localSheetId="109">'T06'!$20:$20</definedName>
    <definedName name="_xlnm.Print_Titles" localSheetId="110">'T07'!$4:$4</definedName>
    <definedName name="_xlnm.Print_Titles" localSheetId="111">'T08'!$10:$10</definedName>
    <definedName name="_xlnm.Print_Titles" localSheetId="112">'T09'!$10:$10</definedName>
    <definedName name="_xlnm.Print_Titles" localSheetId="113">T09a!$4:$4</definedName>
    <definedName name="_xlnm.Print_Titles" localSheetId="114">T09b!$4:$4</definedName>
    <definedName name="_xlnm.Print_Titles" localSheetId="138">'T10'!$4:$4</definedName>
    <definedName name="_xlnm.Print_Titles" localSheetId="115">'T11'!$45:$45</definedName>
    <definedName name="_xlnm.Print_Titles" localSheetId="116">'T12'!$4:$4</definedName>
    <definedName name="_xlnm.Print_Titles" localSheetId="117">'T13'!$15:$15</definedName>
    <definedName name="_xlnm.Print_Titles" localSheetId="118">'T14'!$15:$15</definedName>
    <definedName name="_xlnm.Print_Titles" localSheetId="119">T14b!$4:$4</definedName>
    <definedName name="_xlnm.Print_Titles" localSheetId="120">T14c!$4:$4</definedName>
    <definedName name="_xlnm.Print_Titles" localSheetId="121">T14d!$4:$4</definedName>
    <definedName name="_xlnm.Print_Titles" localSheetId="122">T14e!$4:$4</definedName>
    <definedName name="_xlnm.Print_Titles" localSheetId="123">T14f!$4:$4</definedName>
    <definedName name="_xlnm.Print_Titles" localSheetId="124">'T16'!$30:$30</definedName>
    <definedName name="_xlnm.Print_Titles" localSheetId="125">T16c!$4:$4</definedName>
    <definedName name="_xlnm.Print_Titles" localSheetId="126">T16d!$4:$4</definedName>
    <definedName name="_xlnm.Print_Titles" localSheetId="127">'T18'!$15:$15</definedName>
    <definedName name="_xlnm.Print_Titles" localSheetId="128">'T19'!$4:$4</definedName>
    <definedName name="_xlnm.Print_Titles" localSheetId="129">T19a!$4:$4</definedName>
    <definedName name="_xlnm.Print_Titles" localSheetId="130">T19b!$4:$4</definedName>
    <definedName name="_xlnm.Print_Titles" localSheetId="131">'T20'!$4:$4</definedName>
    <definedName name="_xlnm.Print_Titles" localSheetId="132">'T21'!$30:$30</definedName>
    <definedName name="_xlnm.Print_Titles" localSheetId="133">'T22'!$4:$4</definedName>
    <definedName name="_xlnm.Print_Titles" localSheetId="134">'T23'!$15:$15</definedName>
    <definedName name="_xlnm.Print_Titles" localSheetId="135">'T24'!$4:$4</definedName>
    <definedName name="_xlnm.Print_Titles" localSheetId="136">'T25'!$4:$4</definedName>
    <definedName name="_xlnm.Print_Titles" localSheetId="139">Tref!$80:$80</definedName>
    <definedName name="Slicer_a.Year">#N/A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4">#N/A</definedName>
    <definedName name="Slicer_Year25">#N/A</definedName>
    <definedName name="Slicer_Year26">#N/A</definedName>
    <definedName name="Slicer_Year27">#N/A</definedName>
    <definedName name="Slicer_Year28">#N/A</definedName>
    <definedName name="Slicer_Year29">#N/A</definedName>
    <definedName name="Slicer_Year3">#N/A</definedName>
    <definedName name="Slicer_Year30">#N/A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Table0">'Long-Term Trend'!$A$1</definedName>
    <definedName name="Table1">'1 1a 1b'!$A$1</definedName>
    <definedName name="Table10">'10 10a'!$A$1</definedName>
    <definedName name="Table10a">'10 10a'!$A$23</definedName>
    <definedName name="Table10b">'10b 10c 10d'!$A$1</definedName>
    <definedName name="Table10c">'10b 10c 10d'!$A$23</definedName>
    <definedName name="Table11">'11'!$A$1</definedName>
    <definedName name="Table11a">'11a 11b'!$A$1</definedName>
    <definedName name="Table11b">'11a 11b'!$A$42</definedName>
    <definedName name="Table12">'12 12a'!$A$1</definedName>
    <definedName name="Table12a">'12 12a'!$A$43</definedName>
    <definedName name="Table13">'13'!$A$1</definedName>
    <definedName name="Table13a">'13a'!$A$1</definedName>
    <definedName name="Table13b">'13b'!$A$1</definedName>
    <definedName name="Table14">'14 14a'!$A$1</definedName>
    <definedName name="Table14a">'14 14a'!$A$22</definedName>
    <definedName name="Table14b">'14b 14c 14d'!$A$1</definedName>
    <definedName name="Table14c">'14b 14c 14d'!$A$19</definedName>
    <definedName name="Table14d">'14b 14c 14d'!$A$39</definedName>
    <definedName name="Table14e">'14e 14f 14g'!$A$1</definedName>
    <definedName name="Table14f">'14e 14f 14g'!$A$18</definedName>
    <definedName name="Table14g">'14e 14f 14g'!$A$35</definedName>
    <definedName name="Table15">'15 15a'!$A$1</definedName>
    <definedName name="Table15a">'15 15a'!$A$24</definedName>
    <definedName name="Table15b">'15b 15c 15d'!$A$1</definedName>
    <definedName name="Table15c">'15b 15c 15d'!$A$22</definedName>
    <definedName name="Table15d">'15b 15c 15d'!$A$45</definedName>
    <definedName name="Table16">'16 16a'!$A$1</definedName>
    <definedName name="Table16a">'16 16a'!$A$22</definedName>
    <definedName name="Table16b">'16b 16c 16d'!$A$1</definedName>
    <definedName name="Table16c">'16b 16c 16d'!$A$19</definedName>
    <definedName name="Table16d">'16b 16c 16d'!$A$39</definedName>
    <definedName name="Table17">'17 17a'!$A$1</definedName>
    <definedName name="Table17a">'17 17a'!$A$24</definedName>
    <definedName name="Table17b">'17b 17c 17d'!$A$1</definedName>
    <definedName name="Table17c">'17b 17c 17d'!$A$22</definedName>
    <definedName name="Table17d">'17b 17c 17d'!$A$45</definedName>
    <definedName name="Table18">'18 18a 18b'!$A$1</definedName>
    <definedName name="Table18a">'18 18a 18b'!$A$18</definedName>
    <definedName name="Table18b">'18 18a 18b'!$A$34</definedName>
    <definedName name="Table19">'19'!$A$1</definedName>
    <definedName name="Table19a">'19a'!$A$1</definedName>
    <definedName name="Table19b">'19b'!$A$1</definedName>
    <definedName name="Table1a">'1 1a 1b'!$A$22</definedName>
    <definedName name="Table1b" localSheetId="9">'1 1a 1b'!$A$64</definedName>
    <definedName name="Table2">'2 2a 2b'!$A$1</definedName>
    <definedName name="Table20">'20'!$A$1</definedName>
    <definedName name="Table21">'21 21a'!$A$1</definedName>
    <definedName name="Table21a">'21 21a'!$A$18</definedName>
    <definedName name="Table21b">'21b 21c'!$A$1</definedName>
    <definedName name="Table21c">'21b 21c'!$A$19</definedName>
    <definedName name="Table22">'22'!$A$1</definedName>
    <definedName name="Table23">'23 23a'!$A$1</definedName>
    <definedName name="Table23a">'23 23a'!$A$34</definedName>
    <definedName name="Table24">'24'!$A$1</definedName>
    <definedName name="Table25">'25'!$A$1</definedName>
    <definedName name="Table2a" localSheetId="16">'2 2a 2b'!$A$22</definedName>
    <definedName name="Table2b" localSheetId="16">'2 2a 2b'!$A$43</definedName>
    <definedName name="Table3">'3 3a'!$A$1</definedName>
    <definedName name="Table3a">'3 3a'!$A$23</definedName>
    <definedName name="Table3b">'3b'!$A$1</definedName>
    <definedName name="Table4">'4 4a 4b'!$A$1</definedName>
    <definedName name="Table4a">'4 4a 4b'!$A$19</definedName>
    <definedName name="Table4b">'4 4a 4b'!$A$61</definedName>
    <definedName name="Table4c">'4c 4d 4e'!$A$1</definedName>
    <definedName name="Table4d">'4c 4d 4e'!$A$17</definedName>
    <definedName name="Table4e">'4c 4d 4e'!$A$33</definedName>
    <definedName name="Table5">'5 5a'!$A$1</definedName>
    <definedName name="Table5a">'5 5a'!$A$17</definedName>
    <definedName name="Table6">'6 6a'!$A$1</definedName>
    <definedName name="Table6a">'6 6a'!$A$17</definedName>
    <definedName name="Table6b">'6b'!$A$2</definedName>
    <definedName name="Table6c">'6c 6d'!$A$1</definedName>
    <definedName name="Table6d">'6c 6d'!$A$17</definedName>
    <definedName name="Table7">'7'!$A$1</definedName>
    <definedName name="Table8">'8 8a'!$A$1</definedName>
    <definedName name="Table8a">'8 8a'!$A$23</definedName>
    <definedName name="Table9">'9'!$A$1</definedName>
    <definedName name="Table9a">'9a'!$A$1</definedName>
    <definedName name="Table9b">'9b'!$A$1</definedName>
    <definedName name="ThisYear" localSheetId="10">'Reference Page'!$B$2</definedName>
    <definedName name="ThisYear">'Reference Page'!$B$2</definedName>
    <definedName name="WorkSheet_1" localSheetId="36">Introduction!#REF!</definedName>
    <definedName name="WorkSheet_1" localSheetId="99">Introduction!#REF!</definedName>
    <definedName name="WorkSheet_1" localSheetId="8">Introduction!#REF!</definedName>
    <definedName name="WorkSheet_1" localSheetId="13">Introduction!#REF!</definedName>
    <definedName name="WorkSheet_1" localSheetId="14">Introduction!#REF!</definedName>
    <definedName name="WorkSheet_1" localSheetId="21">Introduction!#REF!</definedName>
    <definedName name="WorkSheet_1" localSheetId="10">Introduction!#REF!</definedName>
    <definedName name="WorkSheet_1" localSheetId="74">Introduction!#REF!</definedName>
    <definedName name="WorkSheet_1">Introduction!#REF!</definedName>
    <definedName name="WorkSheet_10">'5 5a'!$A$3</definedName>
    <definedName name="WorkSheet_100">Introduction!#REF!</definedName>
    <definedName name="WorkSheet_11">'6 6a'!$A$3</definedName>
    <definedName name="WorkSheet_12">'6b'!$A$4</definedName>
    <definedName name="WorkSheet_13">'6c 6d'!$A$3</definedName>
    <definedName name="WorkSheet_14">'7'!$A$3</definedName>
    <definedName name="WorkSheet_15">'8 8a'!$A$3</definedName>
    <definedName name="WorkSheet_16">'9'!$A$3</definedName>
    <definedName name="WorkSheet_17">'9a'!$A$3</definedName>
    <definedName name="WorkSheet_18">'9b'!$A$3</definedName>
    <definedName name="WorkSheet_19">'10 10a'!$A$3</definedName>
    <definedName name="WorkSheet_2">Contents!$A$11</definedName>
    <definedName name="WorkSheet_20">'10b 10c 10d'!$A$3</definedName>
    <definedName name="WorkSheet_21">'11'!$A$3</definedName>
    <definedName name="WorkSheet_22">'11a 11b'!$A$3</definedName>
    <definedName name="WorkSheet_23">'12 12a'!$A$3</definedName>
    <definedName name="WorkSheet_24">'13'!$A$3</definedName>
    <definedName name="WorkSheet_25">'13a'!$A$3</definedName>
    <definedName name="WorkSheet_26">'13b'!$A$3</definedName>
    <definedName name="WorkSheet_27">'14 14a'!$A$3</definedName>
    <definedName name="WorkSheet_28">'14b 14c 14d'!$A$3</definedName>
    <definedName name="WorkSheet_29">'14e 14f 14g'!$A$3</definedName>
    <definedName name="WorkSheet_3" localSheetId="99">'Long-Term Trend'!#REF!</definedName>
    <definedName name="WorkSheet_3" localSheetId="14">'Long-Term Trend'!#REF!</definedName>
    <definedName name="WorkSheet_3" localSheetId="10">'Long-Term Trend'!#REF!</definedName>
    <definedName name="WorkSheet_3" localSheetId="74">'Long-Term Trend'!#REF!</definedName>
    <definedName name="WorkSheet_3">'Long-Term Trend'!#REF!</definedName>
    <definedName name="WorkSheet_30">'15 15a'!$A$3</definedName>
    <definedName name="WorkSheet_31">'15b 15c 15d'!$A$3</definedName>
    <definedName name="WorkSheet_32">'16 16a'!$A$3</definedName>
    <definedName name="WorkSheet_33">'16b 16c 16d'!$A$3</definedName>
    <definedName name="WorkSheet_34">'17 17a'!$A$3</definedName>
    <definedName name="WorkSheet_35">'17b 17c 17d'!$A$3</definedName>
    <definedName name="WorkSheet_36">'18 18a 18b'!$A$3</definedName>
    <definedName name="WorkSheet_37">'19'!$A$3</definedName>
    <definedName name="WorkSheet_38">'19a'!$A$3</definedName>
    <definedName name="WorkSheet_39">'19b'!$A$4</definedName>
    <definedName name="WorkSheet_4">'1 1a 1b'!$A$3</definedName>
    <definedName name="WorkSheet_40">'20'!$A$4</definedName>
    <definedName name="WorkSheet_41">'21 21a'!$A$3</definedName>
    <definedName name="WorkSheet_42">'21b 21c'!$A$3</definedName>
    <definedName name="WorkSheet_43">'22'!$A$3</definedName>
    <definedName name="WorkSheet_44">'23 23a'!$A$3</definedName>
    <definedName name="WorkSheet_45">'24'!$A$3</definedName>
    <definedName name="WorkSheet_46">'25'!$A$3</definedName>
    <definedName name="WorkSheet_47">'Figure 1'!$A$3</definedName>
    <definedName name="WorkSheet_48">'Figure 2'!$A$3</definedName>
    <definedName name="WorkSheet_49" localSheetId="36">'Figure 12'!$A$3</definedName>
    <definedName name="WorkSheet_49" localSheetId="8">'Figure 3'!$A$3</definedName>
    <definedName name="WorkSheet_49" localSheetId="13">'Figure 5'!$A$3</definedName>
    <definedName name="WorkSheet_49" localSheetId="14">'Figure 6'!$A$3</definedName>
    <definedName name="WorkSheet_49" localSheetId="21">'Figure 8'!$A$3</definedName>
    <definedName name="WorkSheet_49">'Figure 4'!$A$3</definedName>
    <definedName name="WorkSheet_5">'2 2a 2b'!$A$3</definedName>
    <definedName name="WorkSheet_50">'Figure 21'!$A$3</definedName>
    <definedName name="WorkSheet_51">'Figure 24'!$A$3</definedName>
    <definedName name="WorkSheet_52">'Figure 22'!$A$3</definedName>
    <definedName name="WorkSheet_53">'Figure 23'!$A$3</definedName>
    <definedName name="WorkSheet_54">'Figure Fatal Casualties'!$A$3</definedName>
    <definedName name="WorkSheet_55">'Figure 17'!$A$3</definedName>
    <definedName name="WorkSheet_56">'Figure 19'!$A$3</definedName>
    <definedName name="WorkSheet_57">'Figure 20'!$A$3</definedName>
    <definedName name="WorkSheet_58">'Figure 9'!$A$3</definedName>
    <definedName name="WorkSheet_59">'Figure 13'!$A$3</definedName>
    <definedName name="WorkSheet_6">'3 3a'!$A$3</definedName>
    <definedName name="WorkSheet_60">Population!$A$3</definedName>
    <definedName name="WorkSheet_61">Dwellings!$A$3</definedName>
    <definedName name="WorkSheet_62">'Reference Page'!$A$3</definedName>
    <definedName name="WorkSheet_63" localSheetId="36">#REF!</definedName>
    <definedName name="WorkSheet_63" localSheetId="99">#REF!</definedName>
    <definedName name="WorkSheet_63" localSheetId="8">#REF!</definedName>
    <definedName name="WorkSheet_63" localSheetId="13">#REF!</definedName>
    <definedName name="WorkSheet_63" localSheetId="14">#REF!</definedName>
    <definedName name="WorkSheet_63" localSheetId="21">#REF!</definedName>
    <definedName name="WorkSheet_63" localSheetId="74">#REF!</definedName>
    <definedName name="WorkSheet_63">#REF!</definedName>
    <definedName name="WorkSheet_630">#REF!</definedName>
    <definedName name="WorkSheet_7">'3b'!$A$3</definedName>
    <definedName name="WorkSheet_8">'4 4a 4b'!$A$3</definedName>
    <definedName name="WorkSheet_9">'4c 4d 4e'!$A$3</definedName>
    <definedName name="YearsToChart" localSheetId="10">'Reference Page'!$B$1</definedName>
    <definedName name="YearsToChart">'Reference Page'!$B$1</definedName>
  </definedNames>
  <calcPr calcId="191029"/>
  <pivotCaches>
    <pivotCache cacheId="0" r:id="rId142"/>
    <pivotCache cacheId="1" r:id="rId143"/>
    <pivotCache cacheId="2" r:id="rId144"/>
    <pivotCache cacheId="3" r:id="rId145"/>
    <pivotCache cacheId="4" r:id="rId146"/>
    <pivotCache cacheId="5" r:id="rId147"/>
    <pivotCache cacheId="6" r:id="rId148"/>
    <pivotCache cacheId="7" r:id="rId149"/>
    <pivotCache cacheId="8" r:id="rId150"/>
    <pivotCache cacheId="9" r:id="rId151"/>
    <pivotCache cacheId="10" r:id="rId152"/>
    <pivotCache cacheId="11" r:id="rId153"/>
    <pivotCache cacheId="12" r:id="rId154"/>
    <pivotCache cacheId="13" r:id="rId155"/>
    <pivotCache cacheId="14" r:id="rId156"/>
    <pivotCache cacheId="15" r:id="rId157"/>
    <pivotCache cacheId="16" r:id="rId158"/>
    <pivotCache cacheId="17" r:id="rId159"/>
    <pivotCache cacheId="18" r:id="rId160"/>
    <pivotCache cacheId="19" r:id="rId161"/>
    <pivotCache cacheId="20" r:id="rId162"/>
    <pivotCache cacheId="21" r:id="rId163"/>
    <pivotCache cacheId="22" r:id="rId164"/>
    <pivotCache cacheId="23" r:id="rId165"/>
    <pivotCache cacheId="24" r:id="rId166"/>
    <pivotCache cacheId="25" r:id="rId167"/>
    <pivotCache cacheId="26" r:id="rId168"/>
    <pivotCache cacheId="27" r:id="rId169"/>
  </pivotCaches>
  <extLst>
    <ext xmlns:x14="http://schemas.microsoft.com/office/spreadsheetml/2009/9/main" uri="{BBE1A952-AA13-448e-AADC-164F8A28A991}">
      <x14:slicerCaches>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 r:id="rId193"/>
        <x14:slicerCache r:id="rId194"/>
        <x14:slicerCache r:id="rId195"/>
        <x14:slicerCache r:id="rId196"/>
        <x14:slicerCache r:id="rId197"/>
        <x14:slicerCache r:id="rId198"/>
        <x14:slicerCache r:id="rId199"/>
        <x14:slicerCache r:id="rId200"/>
        <x14:slicerCache r:id="rId20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1" i="147" l="1"/>
  <c r="A1" i="221" l="1"/>
  <c r="A1" i="223" l="1"/>
  <c r="A1" i="180"/>
  <c r="A1" i="224"/>
  <c r="I113" i="208" l="1"/>
  <c r="J113" i="208"/>
  <c r="K113" i="208"/>
  <c r="I114" i="208"/>
  <c r="J114" i="208"/>
  <c r="K114" i="208"/>
  <c r="I115" i="208"/>
  <c r="J115" i="208"/>
  <c r="K115" i="208"/>
  <c r="H114" i="208"/>
  <c r="H115" i="208"/>
  <c r="H113" i="208"/>
  <c r="A114" i="208"/>
  <c r="A115" i="208"/>
  <c r="A113" i="208"/>
  <c r="G121" i="208" l="1"/>
  <c r="B57" i="129"/>
  <c r="C37" i="133"/>
  <c r="B37" i="133"/>
  <c r="D15" i="133"/>
  <c r="C57" i="129"/>
  <c r="E37" i="133"/>
  <c r="B15" i="133"/>
  <c r="B57" i="133"/>
  <c r="C57" i="133"/>
  <c r="C37" i="129"/>
  <c r="B37" i="129"/>
  <c r="D37" i="133"/>
  <c r="E57" i="133"/>
  <c r="D57" i="133"/>
  <c r="C15" i="133"/>
  <c r="E15" i="133"/>
  <c r="F15" i="133" l="1"/>
  <c r="B52" i="133"/>
  <c r="D50" i="133"/>
  <c r="C26" i="133"/>
  <c r="D28" i="133"/>
  <c r="E29" i="133"/>
  <c r="B9" i="133"/>
  <c r="C9" i="133"/>
  <c r="E7" i="133"/>
  <c r="C30" i="133"/>
  <c r="C7" i="133"/>
  <c r="D29" i="133"/>
  <c r="B34" i="129"/>
  <c r="D51" i="133"/>
  <c r="B49" i="133"/>
  <c r="E27" i="133"/>
  <c r="E30" i="133"/>
  <c r="E28" i="133"/>
  <c r="C8" i="133"/>
  <c r="B6" i="133"/>
  <c r="B8" i="133"/>
  <c r="D5" i="133"/>
  <c r="C27" i="133"/>
  <c r="E32" i="133"/>
  <c r="B5" i="133"/>
  <c r="C34" i="129"/>
  <c r="B51" i="133"/>
  <c r="C52" i="133"/>
  <c r="B26" i="133"/>
  <c r="B31" i="133"/>
  <c r="B29" i="133"/>
  <c r="D8" i="133"/>
  <c r="D9" i="133"/>
  <c r="C6" i="133"/>
  <c r="C29" i="133"/>
  <c r="D49" i="133"/>
  <c r="E5" i="133"/>
  <c r="E50" i="133"/>
  <c r="E49" i="133"/>
  <c r="B28" i="133"/>
  <c r="C32" i="133"/>
  <c r="B32" i="133"/>
  <c r="D30" i="133"/>
  <c r="E9" i="133"/>
  <c r="C10" i="133"/>
  <c r="C31" i="133"/>
  <c r="E51" i="133"/>
  <c r="D31" i="133"/>
  <c r="D52" i="133"/>
  <c r="E52" i="133"/>
  <c r="D27" i="133"/>
  <c r="D32" i="133"/>
  <c r="B30" i="133"/>
  <c r="E26" i="133"/>
  <c r="E10" i="133"/>
  <c r="D10" i="133"/>
  <c r="E6" i="133"/>
  <c r="C51" i="133"/>
  <c r="C5" i="133"/>
  <c r="B10" i="133"/>
  <c r="C49" i="133"/>
  <c r="B50" i="133"/>
  <c r="E31" i="133"/>
  <c r="D26" i="133"/>
  <c r="B27" i="133"/>
  <c r="C28" i="133"/>
  <c r="F5" i="133"/>
  <c r="D7" i="133"/>
  <c r="B7" i="133"/>
  <c r="C50" i="133"/>
  <c r="E8" i="133"/>
  <c r="D6" i="133"/>
  <c r="C12" i="133" l="1"/>
  <c r="E5" i="93"/>
  <c r="E6" i="93"/>
  <c r="E7" i="93"/>
  <c r="E8" i="93"/>
  <c r="E9" i="93"/>
  <c r="E10" i="93"/>
  <c r="E11" i="93"/>
  <c r="E12" i="93"/>
  <c r="E13" i="93"/>
  <c r="E14" i="93"/>
  <c r="E4" i="93"/>
  <c r="H5" i="128"/>
  <c r="G4" i="93"/>
  <c r="G5" i="93"/>
  <c r="G6" i="93"/>
  <c r="G7" i="93"/>
  <c r="G8" i="93"/>
  <c r="G9" i="93"/>
  <c r="G10" i="93"/>
  <c r="G11" i="93"/>
  <c r="G12" i="93"/>
  <c r="G13" i="93"/>
  <c r="G14" i="93"/>
  <c r="F5" i="93"/>
  <c r="F6" i="93"/>
  <c r="F7" i="93"/>
  <c r="F8" i="93"/>
  <c r="F9" i="93"/>
  <c r="F10" i="93"/>
  <c r="F11" i="93"/>
  <c r="F12" i="93"/>
  <c r="F13" i="93"/>
  <c r="F14" i="93"/>
  <c r="F4" i="93"/>
  <c r="F5" i="128"/>
  <c r="I4" i="93"/>
  <c r="J4" i="93"/>
  <c r="K4" i="93"/>
  <c r="I5" i="93"/>
  <c r="J5" i="93"/>
  <c r="K5" i="93"/>
  <c r="I6" i="93"/>
  <c r="J6" i="93"/>
  <c r="K6" i="93"/>
  <c r="I7" i="93"/>
  <c r="J7" i="93"/>
  <c r="K7" i="93"/>
  <c r="I8" i="93"/>
  <c r="J8" i="93"/>
  <c r="K8" i="93"/>
  <c r="I9" i="93"/>
  <c r="J9" i="93"/>
  <c r="K9" i="93"/>
  <c r="I10" i="93"/>
  <c r="J10" i="93"/>
  <c r="K10" i="93"/>
  <c r="I11" i="93"/>
  <c r="J11" i="93"/>
  <c r="K11" i="93"/>
  <c r="I12" i="93"/>
  <c r="J12" i="93"/>
  <c r="K12" i="93"/>
  <c r="I13" i="93"/>
  <c r="J13" i="93"/>
  <c r="K13" i="93"/>
  <c r="I14" i="93"/>
  <c r="J14" i="93"/>
  <c r="K14" i="93"/>
  <c r="H5" i="93"/>
  <c r="H6" i="93"/>
  <c r="H7" i="93"/>
  <c r="H8" i="93"/>
  <c r="H9" i="93"/>
  <c r="H10" i="93"/>
  <c r="H11" i="93"/>
  <c r="H12" i="93"/>
  <c r="H13" i="93"/>
  <c r="H14" i="93"/>
  <c r="H4" i="93"/>
  <c r="I5" i="132"/>
  <c r="C28" i="129"/>
  <c r="C15" i="129"/>
  <c r="B15" i="129"/>
  <c r="C32" i="129"/>
  <c r="B31" i="129"/>
  <c r="C26" i="129"/>
  <c r="B29" i="129"/>
  <c r="B32" i="129"/>
  <c r="B28" i="129"/>
  <c r="C27" i="129"/>
  <c r="C30" i="129"/>
  <c r="B26" i="129"/>
  <c r="B30" i="129"/>
  <c r="D8" i="129"/>
  <c r="C29" i="129"/>
  <c r="B27" i="129"/>
  <c r="C31" i="129"/>
  <c r="D15" i="129" l="1"/>
  <c r="B15" i="181"/>
  <c r="F46" i="127" s="1"/>
  <c r="C6" i="129"/>
  <c r="C12" i="129"/>
  <c r="C10" i="129"/>
  <c r="B6" i="129"/>
  <c r="B7" i="129"/>
  <c r="D7" i="129"/>
  <c r="B12" i="129"/>
  <c r="B8" i="129"/>
  <c r="C8" i="129"/>
  <c r="C9" i="129"/>
  <c r="B9" i="129"/>
  <c r="C7" i="129"/>
  <c r="C5" i="129"/>
  <c r="B10" i="129"/>
  <c r="D9" i="129"/>
  <c r="B5" i="129"/>
  <c r="D12" i="129"/>
  <c r="B6" i="170" l="1"/>
  <c r="B7" i="170"/>
  <c r="F25" i="123"/>
  <c r="D6" i="129"/>
  <c r="D5" i="129"/>
  <c r="D10" i="129"/>
  <c r="H21" i="136" l="1"/>
  <c r="F21" i="93" l="1"/>
  <c r="F22" i="93"/>
  <c r="F23" i="93"/>
  <c r="F24" i="93"/>
  <c r="F25" i="93"/>
  <c r="F26" i="93"/>
  <c r="F27" i="93"/>
  <c r="F28" i="93"/>
  <c r="F29" i="93"/>
  <c r="F30" i="93"/>
  <c r="F20" i="93"/>
  <c r="E22" i="93"/>
  <c r="E23" i="93"/>
  <c r="E24" i="93"/>
  <c r="E25" i="93"/>
  <c r="E26" i="93"/>
  <c r="E27" i="93"/>
  <c r="E28" i="93"/>
  <c r="E29" i="93"/>
  <c r="E30" i="93"/>
  <c r="E21" i="93"/>
  <c r="E20" i="93"/>
  <c r="G21" i="93"/>
  <c r="G22" i="93"/>
  <c r="G23" i="93"/>
  <c r="G24" i="93"/>
  <c r="G25" i="93"/>
  <c r="G26" i="93"/>
  <c r="G27" i="93"/>
  <c r="G28" i="93"/>
  <c r="G29" i="93"/>
  <c r="G30" i="93"/>
  <c r="G20" i="93"/>
  <c r="A1" i="228"/>
  <c r="B5" i="95"/>
  <c r="B6" i="95"/>
  <c r="B7" i="95"/>
  <c r="B8" i="95"/>
  <c r="B9" i="95"/>
  <c r="B10" i="95"/>
  <c r="B11" i="95"/>
  <c r="B12" i="95"/>
  <c r="B13" i="95"/>
  <c r="B14" i="95"/>
  <c r="B15" i="95"/>
  <c r="B16" i="95"/>
  <c r="B17" i="95"/>
  <c r="B18" i="95"/>
  <c r="B19" i="95"/>
  <c r="B20" i="95"/>
  <c r="B21" i="95"/>
  <c r="B22" i="95"/>
  <c r="B23" i="95"/>
  <c r="B24" i="95"/>
  <c r="B25" i="95"/>
  <c r="B26" i="95"/>
  <c r="B27" i="95"/>
  <c r="B28" i="95"/>
  <c r="B29" i="95"/>
  <c r="B30" i="95"/>
  <c r="B31" i="95"/>
  <c r="B32" i="95"/>
  <c r="B33" i="95"/>
  <c r="B34" i="95"/>
  <c r="B35" i="95"/>
  <c r="B4" i="95"/>
  <c r="M6" i="132"/>
  <c r="M7" i="132"/>
  <c r="M8" i="132"/>
  <c r="M9" i="132"/>
  <c r="M10" i="132"/>
  <c r="M11" i="132"/>
  <c r="M12" i="132"/>
  <c r="M13" i="132"/>
  <c r="M14" i="132"/>
  <c r="M15" i="132"/>
  <c r="M5" i="132"/>
  <c r="J5" i="132"/>
  <c r="K5" i="132"/>
  <c r="L5" i="132"/>
  <c r="E5" i="132" s="1"/>
  <c r="J6" i="132"/>
  <c r="K6" i="132"/>
  <c r="L6" i="132"/>
  <c r="J7" i="132"/>
  <c r="K7" i="132"/>
  <c r="L7" i="132"/>
  <c r="J8" i="132"/>
  <c r="K8" i="132"/>
  <c r="L8" i="132"/>
  <c r="E8" i="132" s="1"/>
  <c r="J9" i="132"/>
  <c r="K9" i="132"/>
  <c r="L9" i="132"/>
  <c r="J10" i="132"/>
  <c r="K10" i="132"/>
  <c r="L10" i="132"/>
  <c r="J11" i="132"/>
  <c r="K11" i="132"/>
  <c r="L11" i="132"/>
  <c r="J12" i="132"/>
  <c r="K12" i="132"/>
  <c r="L12" i="132"/>
  <c r="J13" i="132"/>
  <c r="K13" i="132"/>
  <c r="L13" i="132"/>
  <c r="J14" i="132"/>
  <c r="K14" i="132"/>
  <c r="L14" i="132"/>
  <c r="J15" i="132"/>
  <c r="K15" i="132"/>
  <c r="L15" i="132"/>
  <c r="I6" i="132"/>
  <c r="I7" i="132"/>
  <c r="I8" i="132"/>
  <c r="I9" i="132"/>
  <c r="I10" i="132"/>
  <c r="I11" i="132"/>
  <c r="I12" i="132"/>
  <c r="I13" i="132"/>
  <c r="I14" i="132"/>
  <c r="I15" i="132"/>
  <c r="I28" i="132"/>
  <c r="H50" i="166"/>
  <c r="H51" i="166"/>
  <c r="H52" i="166"/>
  <c r="H53" i="166"/>
  <c r="H54" i="166"/>
  <c r="H55" i="166"/>
  <c r="H56" i="166"/>
  <c r="H57" i="166"/>
  <c r="H58" i="166"/>
  <c r="H59" i="166"/>
  <c r="H49" i="166"/>
  <c r="H27" i="166"/>
  <c r="B50" i="166"/>
  <c r="B51" i="166"/>
  <c r="B52" i="166"/>
  <c r="B53" i="166"/>
  <c r="B54" i="166"/>
  <c r="B55" i="166"/>
  <c r="B56" i="166"/>
  <c r="B57" i="166"/>
  <c r="B58" i="166"/>
  <c r="B59" i="166"/>
  <c r="B49" i="166"/>
  <c r="C49" i="166" s="1"/>
  <c r="B27" i="166"/>
  <c r="E50" i="166" l="1"/>
  <c r="E51" i="166"/>
  <c r="E52" i="166"/>
  <c r="E53" i="166"/>
  <c r="E54" i="166"/>
  <c r="E55" i="166"/>
  <c r="E56" i="166"/>
  <c r="E49" i="166"/>
  <c r="F49" i="166" s="1"/>
  <c r="C59" i="166"/>
  <c r="C17" i="228" s="1"/>
  <c r="C5" i="229" l="1"/>
  <c r="D5" i="229"/>
  <c r="C6" i="229"/>
  <c r="D6" i="229"/>
  <c r="C8" i="229"/>
  <c r="C9" i="229"/>
  <c r="C10" i="229"/>
  <c r="C11" i="229"/>
  <c r="C12" i="229"/>
  <c r="C13" i="229"/>
  <c r="C14" i="229"/>
  <c r="C15" i="229"/>
  <c r="C16" i="229"/>
  <c r="C17" i="229"/>
  <c r="C18" i="229"/>
  <c r="C19" i="229"/>
  <c r="C20" i="229"/>
  <c r="C21" i="229"/>
  <c r="C22" i="229"/>
  <c r="C23" i="229"/>
  <c r="C24" i="229"/>
  <c r="C25" i="229"/>
  <c r="C7" i="229"/>
  <c r="D7" i="229"/>
  <c r="D25" i="229"/>
  <c r="D24" i="229"/>
  <c r="D23" i="229"/>
  <c r="D22" i="229"/>
  <c r="D21" i="229"/>
  <c r="D20" i="229"/>
  <c r="D19" i="229"/>
  <c r="D18" i="229"/>
  <c r="D17" i="229"/>
  <c r="D16" i="229"/>
  <c r="D15" i="229"/>
  <c r="D14" i="229"/>
  <c r="D13" i="229"/>
  <c r="D12" i="229"/>
  <c r="D11" i="229"/>
  <c r="D10" i="229"/>
  <c r="D9" i="229"/>
  <c r="D8" i="229"/>
  <c r="I37" i="132" l="1"/>
  <c r="J36" i="132"/>
  <c r="K35" i="132"/>
  <c r="L34" i="132"/>
  <c r="J33" i="132"/>
  <c r="I33" i="132"/>
  <c r="J32" i="132"/>
  <c r="L30" i="132"/>
  <c r="I29" i="132"/>
  <c r="J28" i="132"/>
  <c r="K38" i="132"/>
  <c r="J37" i="132"/>
  <c r="K36" i="132"/>
  <c r="H36" i="132"/>
  <c r="J35" i="132"/>
  <c r="I35" i="132"/>
  <c r="L32" i="132"/>
  <c r="K32" i="132"/>
  <c r="J31" i="132"/>
  <c r="I31" i="132"/>
  <c r="K30" i="132"/>
  <c r="J29" i="132"/>
  <c r="L28" i="132"/>
  <c r="K28" i="132"/>
  <c r="L38" i="132"/>
  <c r="H38" i="132"/>
  <c r="H34" i="132"/>
  <c r="H32" i="132"/>
  <c r="K29" i="132"/>
  <c r="H28" i="132"/>
  <c r="J30" i="132"/>
  <c r="H29" i="132"/>
  <c r="L29" i="132"/>
  <c r="H30" i="132"/>
  <c r="H31" i="132"/>
  <c r="K31" i="132"/>
  <c r="L31" i="132"/>
  <c r="I32" i="132"/>
  <c r="H33" i="132"/>
  <c r="K33" i="132"/>
  <c r="L33" i="132"/>
  <c r="I34" i="132"/>
  <c r="J34" i="132"/>
  <c r="K34" i="132"/>
  <c r="H35" i="132"/>
  <c r="L35" i="132"/>
  <c r="I36" i="132"/>
  <c r="L36" i="132"/>
  <c r="H37" i="132"/>
  <c r="K37" i="132"/>
  <c r="L37" i="132"/>
  <c r="I38" i="132"/>
  <c r="J38" i="132"/>
  <c r="E9" i="132"/>
  <c r="B5" i="178"/>
  <c r="B6" i="178"/>
  <c r="B7" i="178"/>
  <c r="B8" i="178"/>
  <c r="A1" i="176"/>
  <c r="B8" i="228"/>
  <c r="B9" i="228"/>
  <c r="B10" i="228"/>
  <c r="B11" i="228"/>
  <c r="B12" i="228"/>
  <c r="B13" i="228"/>
  <c r="B14" i="228"/>
  <c r="B15" i="228"/>
  <c r="B16" i="228"/>
  <c r="B17" i="228"/>
  <c r="B7" i="228"/>
  <c r="B7" i="176"/>
  <c r="B8" i="176"/>
  <c r="B9" i="176"/>
  <c r="B10" i="176"/>
  <c r="M36" i="132" l="1"/>
  <c r="M38" i="132"/>
  <c r="M33" i="132"/>
  <c r="M28" i="132"/>
  <c r="M32" i="132"/>
  <c r="M31" i="132"/>
  <c r="M35" i="132"/>
  <c r="M29" i="132"/>
  <c r="M34" i="132"/>
  <c r="M37" i="132"/>
  <c r="I30" i="132"/>
  <c r="M30" i="132" s="1"/>
  <c r="F23" i="98"/>
  <c r="E8" i="98"/>
  <c r="F38" i="134" l="1"/>
  <c r="A9" i="224"/>
  <c r="T11" i="224"/>
  <c r="U11" i="224"/>
  <c r="V11" i="224"/>
  <c r="T12" i="224"/>
  <c r="U12" i="224"/>
  <c r="T13" i="224"/>
  <c r="U13" i="224"/>
  <c r="T14" i="224"/>
  <c r="U14" i="224"/>
  <c r="T15" i="224"/>
  <c r="U15" i="224"/>
  <c r="T16" i="224"/>
  <c r="U16" i="224"/>
  <c r="O11" i="224"/>
  <c r="P11" i="224"/>
  <c r="Q11" i="224"/>
  <c r="R11" i="224"/>
  <c r="S11" i="224"/>
  <c r="O12" i="224"/>
  <c r="P12" i="224"/>
  <c r="Q12" i="224"/>
  <c r="R12" i="224"/>
  <c r="S12" i="224"/>
  <c r="O13" i="224"/>
  <c r="P13" i="224"/>
  <c r="Q13" i="224"/>
  <c r="R13" i="224"/>
  <c r="S13" i="224"/>
  <c r="O14" i="224"/>
  <c r="P14" i="224"/>
  <c r="Q14" i="224"/>
  <c r="R14" i="224"/>
  <c r="S14" i="224"/>
  <c r="O15" i="224"/>
  <c r="P15" i="224"/>
  <c r="Q15" i="224"/>
  <c r="R15" i="224"/>
  <c r="S15" i="224"/>
  <c r="O16" i="224"/>
  <c r="P16" i="224"/>
  <c r="Q16" i="224"/>
  <c r="R16" i="224"/>
  <c r="S16" i="224"/>
  <c r="K11" i="224"/>
  <c r="L11" i="224"/>
  <c r="M11" i="224"/>
  <c r="N11" i="224"/>
  <c r="K12" i="224"/>
  <c r="L12" i="224"/>
  <c r="M12" i="224"/>
  <c r="N12" i="224"/>
  <c r="K13" i="224"/>
  <c r="L13" i="224"/>
  <c r="M13" i="224"/>
  <c r="N13" i="224"/>
  <c r="K14" i="224"/>
  <c r="L14" i="224"/>
  <c r="M14" i="224"/>
  <c r="N14" i="224"/>
  <c r="K15" i="224"/>
  <c r="L15" i="224"/>
  <c r="M15" i="224"/>
  <c r="N15" i="224"/>
  <c r="K16" i="224"/>
  <c r="L16" i="224"/>
  <c r="M16" i="224"/>
  <c r="N16" i="224"/>
  <c r="B11" i="224"/>
  <c r="C11" i="224"/>
  <c r="D11" i="224"/>
  <c r="E11" i="224"/>
  <c r="F11" i="224"/>
  <c r="G11" i="224"/>
  <c r="H11" i="224"/>
  <c r="I11" i="224"/>
  <c r="J11" i="224"/>
  <c r="B12" i="224"/>
  <c r="C12" i="224"/>
  <c r="D12" i="224"/>
  <c r="E12" i="224"/>
  <c r="F12" i="224"/>
  <c r="G12" i="224"/>
  <c r="H12" i="224"/>
  <c r="I12" i="224"/>
  <c r="J12" i="224"/>
  <c r="B13" i="224"/>
  <c r="C13" i="224"/>
  <c r="D13" i="224"/>
  <c r="E13" i="224"/>
  <c r="F13" i="224"/>
  <c r="G13" i="224"/>
  <c r="H13" i="224"/>
  <c r="I13" i="224"/>
  <c r="J13" i="224"/>
  <c r="B14" i="224"/>
  <c r="C14" i="224"/>
  <c r="D14" i="224"/>
  <c r="E14" i="224"/>
  <c r="F14" i="224"/>
  <c r="G14" i="224"/>
  <c r="H14" i="224"/>
  <c r="I14" i="224"/>
  <c r="J14" i="224"/>
  <c r="B15" i="224"/>
  <c r="C15" i="224"/>
  <c r="D15" i="224"/>
  <c r="E15" i="224"/>
  <c r="F15" i="224"/>
  <c r="G15" i="224"/>
  <c r="H15" i="224"/>
  <c r="I15" i="224"/>
  <c r="J15" i="224"/>
  <c r="B16" i="224"/>
  <c r="C16" i="224"/>
  <c r="D16" i="224"/>
  <c r="E16" i="224"/>
  <c r="F16" i="224"/>
  <c r="G16" i="224"/>
  <c r="H16" i="224"/>
  <c r="I16" i="224"/>
  <c r="J16" i="224"/>
  <c r="A11" i="224"/>
  <c r="A12" i="224"/>
  <c r="A13" i="224"/>
  <c r="A14" i="224"/>
  <c r="A15" i="224"/>
  <c r="A16" i="224"/>
  <c r="C7" i="223"/>
  <c r="D7" i="223"/>
  <c r="E7" i="223"/>
  <c r="F7" i="223"/>
  <c r="C8" i="223"/>
  <c r="D8" i="223"/>
  <c r="E8" i="223"/>
  <c r="F8" i="223"/>
  <c r="C9" i="223"/>
  <c r="D9" i="223"/>
  <c r="E9" i="223"/>
  <c r="F9" i="223"/>
  <c r="C10" i="223"/>
  <c r="D10" i="223"/>
  <c r="E10" i="223"/>
  <c r="F10" i="223"/>
  <c r="C11" i="223"/>
  <c r="D11" i="223"/>
  <c r="E11" i="223"/>
  <c r="F11" i="223"/>
  <c r="C12" i="223"/>
  <c r="D12" i="223"/>
  <c r="E12" i="223"/>
  <c r="F12" i="223"/>
  <c r="C13" i="223"/>
  <c r="D13" i="223"/>
  <c r="E13" i="223"/>
  <c r="F13" i="223"/>
  <c r="C14" i="223"/>
  <c r="D14" i="223"/>
  <c r="E14" i="223"/>
  <c r="F14" i="223"/>
  <c r="C15" i="223"/>
  <c r="D15" i="223"/>
  <c r="E15" i="223"/>
  <c r="F15" i="223"/>
  <c r="C16" i="223"/>
  <c r="D16" i="223"/>
  <c r="E16" i="223"/>
  <c r="F16" i="223"/>
  <c r="C17" i="223"/>
  <c r="D17" i="223"/>
  <c r="E17" i="223"/>
  <c r="F17" i="223"/>
  <c r="C18" i="223"/>
  <c r="D18" i="223"/>
  <c r="E18" i="223"/>
  <c r="F18" i="223"/>
  <c r="C19" i="223"/>
  <c r="D19" i="223"/>
  <c r="E19" i="223"/>
  <c r="F19" i="223"/>
  <c r="C20" i="223"/>
  <c r="D20" i="223"/>
  <c r="E20" i="223"/>
  <c r="F20" i="223"/>
  <c r="C21" i="223"/>
  <c r="D21" i="223"/>
  <c r="E21" i="223"/>
  <c r="F21" i="223"/>
  <c r="C22" i="223"/>
  <c r="D22" i="223"/>
  <c r="E22" i="223"/>
  <c r="F22" i="223"/>
  <c r="C23" i="223"/>
  <c r="D23" i="223"/>
  <c r="E23" i="223"/>
  <c r="F23" i="223"/>
  <c r="C24" i="223"/>
  <c r="D24" i="223"/>
  <c r="E24" i="223"/>
  <c r="F24" i="223"/>
  <c r="C25" i="223"/>
  <c r="D25" i="223"/>
  <c r="E25" i="223"/>
  <c r="F25" i="223"/>
  <c r="C26" i="223"/>
  <c r="D26" i="223"/>
  <c r="E26" i="223"/>
  <c r="F26" i="223"/>
  <c r="B8" i="223"/>
  <c r="B9" i="223"/>
  <c r="B10" i="223"/>
  <c r="B11" i="223"/>
  <c r="B12" i="223"/>
  <c r="B13" i="223"/>
  <c r="B14" i="223"/>
  <c r="B15" i="223"/>
  <c r="B16" i="223"/>
  <c r="B17" i="223"/>
  <c r="B18" i="223"/>
  <c r="B19" i="223"/>
  <c r="B20" i="223"/>
  <c r="B21" i="223"/>
  <c r="B22" i="223"/>
  <c r="B23" i="223"/>
  <c r="B24" i="223"/>
  <c r="B25" i="223"/>
  <c r="B26" i="223"/>
  <c r="B7" i="223"/>
  <c r="B5" i="223"/>
  <c r="A26" i="223"/>
  <c r="A25" i="223"/>
  <c r="A24" i="223"/>
  <c r="A23" i="223"/>
  <c r="A22" i="223"/>
  <c r="A21" i="223"/>
  <c r="A20" i="223"/>
  <c r="A19" i="223"/>
  <c r="A18" i="223"/>
  <c r="A17" i="223"/>
  <c r="A16" i="223"/>
  <c r="A15" i="223"/>
  <c r="A14" i="223"/>
  <c r="A13" i="223"/>
  <c r="A12" i="223"/>
  <c r="A11" i="223"/>
  <c r="A10" i="223"/>
  <c r="A9" i="223"/>
  <c r="A8" i="223"/>
  <c r="A7" i="223"/>
  <c r="I6" i="223"/>
  <c r="H6" i="223"/>
  <c r="G6" i="223"/>
  <c r="F6" i="223"/>
  <c r="E6" i="223"/>
  <c r="D6" i="223"/>
  <c r="C6" i="223"/>
  <c r="B6" i="223"/>
  <c r="A6" i="223"/>
  <c r="B6" i="222" l="1"/>
  <c r="B7" i="222"/>
  <c r="B8" i="222"/>
  <c r="B9" i="222"/>
  <c r="B10" i="222"/>
  <c r="B11" i="222"/>
  <c r="B12" i="222"/>
  <c r="B13" i="222"/>
  <c r="B14" i="222"/>
  <c r="B15" i="222"/>
  <c r="B16" i="222"/>
  <c r="B17" i="222"/>
  <c r="B18" i="222"/>
  <c r="B19" i="222"/>
  <c r="B20" i="222"/>
  <c r="B21" i="222"/>
  <c r="B22" i="222"/>
  <c r="B23" i="222"/>
  <c r="B24" i="222"/>
  <c r="B25" i="222"/>
  <c r="B26" i="222"/>
  <c r="B27" i="222"/>
  <c r="B28" i="222"/>
  <c r="B29" i="222"/>
  <c r="B30" i="222"/>
  <c r="B31" i="222"/>
  <c r="B32" i="222"/>
  <c r="B33" i="222"/>
  <c r="B34" i="222"/>
  <c r="B35" i="222"/>
  <c r="B36" i="222"/>
  <c r="B37" i="222"/>
  <c r="B38" i="222"/>
  <c r="B39" i="222"/>
  <c r="B40" i="222"/>
  <c r="B41" i="222"/>
  <c r="B42" i="222"/>
  <c r="B43" i="222"/>
  <c r="B44" i="222"/>
  <c r="B45" i="222"/>
  <c r="B46" i="222"/>
  <c r="B47" i="222"/>
  <c r="B48" i="222"/>
  <c r="B49" i="222"/>
  <c r="B50" i="222"/>
  <c r="B51" i="222"/>
  <c r="B52" i="222"/>
  <c r="B53" i="222"/>
  <c r="B54" i="222"/>
  <c r="B55" i="222"/>
  <c r="B56" i="222"/>
  <c r="B57" i="222"/>
  <c r="B58" i="222"/>
  <c r="B59" i="222"/>
  <c r="B60" i="222"/>
  <c r="B61" i="222"/>
  <c r="B5" i="222"/>
  <c r="B8" i="172" l="1"/>
  <c r="C8" i="172"/>
  <c r="D8" i="172"/>
  <c r="E8" i="172"/>
  <c r="F8" i="172"/>
  <c r="B9" i="172"/>
  <c r="C9" i="172"/>
  <c r="D9" i="172"/>
  <c r="E9" i="172"/>
  <c r="F9" i="172"/>
  <c r="H24" i="136" l="1"/>
  <c r="H23" i="136"/>
  <c r="A1" i="168"/>
  <c r="D12" i="168"/>
  <c r="D11" i="168"/>
  <c r="D10" i="168"/>
  <c r="A1" i="219" l="1"/>
  <c r="A1" i="218"/>
  <c r="A1" i="217"/>
  <c r="A1" i="215"/>
  <c r="J5" i="221"/>
  <c r="K5" i="221"/>
  <c r="L5" i="221"/>
  <c r="M5" i="221"/>
  <c r="N5" i="221"/>
  <c r="O5" i="221"/>
  <c r="P5" i="221"/>
  <c r="Q5" i="221"/>
  <c r="R5" i="221"/>
  <c r="S5" i="221"/>
  <c r="T5" i="221"/>
  <c r="U5" i="221"/>
  <c r="V5" i="221"/>
  <c r="W5" i="221"/>
  <c r="X5" i="221"/>
  <c r="Y5" i="221"/>
  <c r="Z5" i="221"/>
  <c r="AA5" i="221"/>
  <c r="AB5" i="221"/>
  <c r="AC5" i="221"/>
  <c r="AD5" i="221"/>
  <c r="AE5" i="221"/>
  <c r="AF5" i="221"/>
  <c r="I5" i="221"/>
  <c r="D5" i="218"/>
  <c r="D6" i="218"/>
  <c r="D7" i="218"/>
  <c r="D8" i="218"/>
  <c r="D4" i="218"/>
  <c r="B4" i="218"/>
  <c r="A5" i="218"/>
  <c r="A6" i="218"/>
  <c r="A7" i="218"/>
  <c r="A8" i="218"/>
  <c r="A9" i="218"/>
  <c r="A10" i="218"/>
  <c r="A11" i="218"/>
  <c r="A4" i="218"/>
  <c r="B5" i="218"/>
  <c r="B6" i="218"/>
  <c r="B7" i="218"/>
  <c r="B8" i="218"/>
  <c r="B6" i="217"/>
  <c r="B7" i="217"/>
  <c r="B8" i="217"/>
  <c r="B9" i="217"/>
  <c r="B10" i="217"/>
  <c r="B11" i="217"/>
  <c r="B12" i="217"/>
  <c r="B13" i="217"/>
  <c r="B5" i="217"/>
  <c r="D8" i="171"/>
  <c r="E8" i="171"/>
  <c r="F8" i="171"/>
  <c r="D9" i="171"/>
  <c r="E9" i="171"/>
  <c r="F9" i="171"/>
  <c r="C8" i="171"/>
  <c r="C9" i="171"/>
  <c r="G9" i="171"/>
  <c r="G10" i="171"/>
  <c r="G11" i="171"/>
  <c r="G12" i="171"/>
  <c r="G13" i="171"/>
  <c r="G8" i="171"/>
  <c r="G21" i="134" l="1"/>
  <c r="G125" i="208"/>
  <c r="G122" i="208"/>
  <c r="G123" i="208"/>
  <c r="G124" i="208"/>
  <c r="B75" i="208"/>
  <c r="B74" i="208"/>
  <c r="B73" i="208"/>
  <c r="J61" i="182"/>
  <c r="J62" i="182"/>
  <c r="B11" i="132" l="1"/>
  <c r="W27" i="147" l="1"/>
  <c r="F12" i="182"/>
  <c r="B62" i="182"/>
  <c r="A1" i="214"/>
  <c r="B5" i="93" l="1"/>
  <c r="B6" i="93"/>
  <c r="B7" i="93"/>
  <c r="B8" i="93"/>
  <c r="B9" i="93"/>
  <c r="B10" i="93"/>
  <c r="B11" i="93"/>
  <c r="B12" i="93"/>
  <c r="B13" i="93"/>
  <c r="B14" i="93"/>
  <c r="B15" i="93"/>
  <c r="B16" i="93"/>
  <c r="B17" i="93"/>
  <c r="B18" i="93"/>
  <c r="B19" i="93"/>
  <c r="B20" i="93"/>
  <c r="B21" i="93"/>
  <c r="B22" i="93"/>
  <c r="B23" i="93"/>
  <c r="B24" i="93"/>
  <c r="B25" i="93"/>
  <c r="B26" i="93"/>
  <c r="B27" i="93"/>
  <c r="B28" i="93"/>
  <c r="B29" i="93"/>
  <c r="B30" i="93"/>
  <c r="B31" i="93"/>
  <c r="B32" i="93"/>
  <c r="B33" i="93"/>
  <c r="B34" i="93"/>
  <c r="B35" i="93"/>
  <c r="B4" i="93"/>
  <c r="I6" i="180"/>
  <c r="B7" i="180"/>
  <c r="C7" i="180"/>
  <c r="D7" i="180"/>
  <c r="E7" i="180"/>
  <c r="F7" i="180"/>
  <c r="B8" i="180"/>
  <c r="C8" i="180"/>
  <c r="D8" i="180"/>
  <c r="E8" i="180"/>
  <c r="F8" i="180"/>
  <c r="B9" i="180"/>
  <c r="C9" i="180"/>
  <c r="D9" i="180"/>
  <c r="E9" i="180"/>
  <c r="F9" i="180"/>
  <c r="B10" i="180"/>
  <c r="C10" i="180"/>
  <c r="D10" i="180"/>
  <c r="E10" i="180"/>
  <c r="F10" i="180"/>
  <c r="B11" i="180"/>
  <c r="C11" i="180"/>
  <c r="D11" i="180"/>
  <c r="E11" i="180"/>
  <c r="F11" i="180"/>
  <c r="B12" i="180"/>
  <c r="C12" i="180"/>
  <c r="D12" i="180"/>
  <c r="E12" i="180"/>
  <c r="F12" i="180"/>
  <c r="B13" i="180"/>
  <c r="C13" i="180"/>
  <c r="D13" i="180"/>
  <c r="E13" i="180"/>
  <c r="F13" i="180"/>
  <c r="B14" i="180"/>
  <c r="C14" i="180"/>
  <c r="D14" i="180"/>
  <c r="E14" i="180"/>
  <c r="F14" i="180"/>
  <c r="B15" i="180"/>
  <c r="C15" i="180"/>
  <c r="D15" i="180"/>
  <c r="E15" i="180"/>
  <c r="F15" i="180"/>
  <c r="B16" i="180"/>
  <c r="C16" i="180"/>
  <c r="D16" i="180"/>
  <c r="E16" i="180"/>
  <c r="F16" i="180"/>
  <c r="B17" i="180"/>
  <c r="C17" i="180"/>
  <c r="D17" i="180"/>
  <c r="E17" i="180"/>
  <c r="F17" i="180"/>
  <c r="B18" i="180"/>
  <c r="C18" i="180"/>
  <c r="D18" i="180"/>
  <c r="E18" i="180"/>
  <c r="F18" i="180"/>
  <c r="B19" i="180"/>
  <c r="C19" i="180"/>
  <c r="D19" i="180"/>
  <c r="E19" i="180"/>
  <c r="F19" i="180"/>
  <c r="B20" i="180"/>
  <c r="C20" i="180"/>
  <c r="D20" i="180"/>
  <c r="E20" i="180"/>
  <c r="F20" i="180"/>
  <c r="B21" i="180"/>
  <c r="C21" i="180"/>
  <c r="D21" i="180"/>
  <c r="E21" i="180"/>
  <c r="F21" i="180"/>
  <c r="B22" i="180"/>
  <c r="C22" i="180"/>
  <c r="D22" i="180"/>
  <c r="E22" i="180"/>
  <c r="F22" i="180"/>
  <c r="B23" i="180"/>
  <c r="C23" i="180"/>
  <c r="D23" i="180"/>
  <c r="E23" i="180"/>
  <c r="F23" i="180"/>
  <c r="B24" i="180"/>
  <c r="C24" i="180"/>
  <c r="D24" i="180"/>
  <c r="E24" i="180"/>
  <c r="F24" i="180"/>
  <c r="B25" i="180"/>
  <c r="C25" i="180"/>
  <c r="D25" i="180"/>
  <c r="E25" i="180"/>
  <c r="F25" i="180"/>
  <c r="B26" i="180"/>
  <c r="C26" i="180"/>
  <c r="D26" i="180"/>
  <c r="E26" i="180"/>
  <c r="F26" i="180"/>
  <c r="C6" i="180"/>
  <c r="D6" i="180"/>
  <c r="E6" i="180"/>
  <c r="F6" i="180"/>
  <c r="G6" i="180"/>
  <c r="H6" i="180"/>
  <c r="A24" i="180"/>
  <c r="A25" i="180"/>
  <c r="A26" i="180"/>
  <c r="A18" i="180"/>
  <c r="A19" i="180"/>
  <c r="A20" i="180"/>
  <c r="A21" i="180"/>
  <c r="A22" i="180"/>
  <c r="A23" i="180"/>
  <c r="A16" i="180"/>
  <c r="A17" i="180"/>
  <c r="A8" i="180"/>
  <c r="A9" i="180"/>
  <c r="A10" i="180"/>
  <c r="A11" i="180"/>
  <c r="A12" i="180"/>
  <c r="A13" i="180"/>
  <c r="A14" i="180"/>
  <c r="A15" i="180"/>
  <c r="B11" i="179"/>
  <c r="C11" i="179"/>
  <c r="D11" i="179"/>
  <c r="E11" i="179"/>
  <c r="B12" i="179"/>
  <c r="C12" i="179"/>
  <c r="D12" i="179"/>
  <c r="E12" i="179"/>
  <c r="B13" i="179"/>
  <c r="C13" i="179"/>
  <c r="D13" i="179"/>
  <c r="E13" i="179"/>
  <c r="E10" i="179"/>
  <c r="D10" i="179"/>
  <c r="C10" i="179"/>
  <c r="B10" i="179"/>
  <c r="A1" i="179"/>
  <c r="B10" i="178"/>
  <c r="B11" i="178"/>
  <c r="B12" i="178"/>
  <c r="B13" i="178"/>
  <c r="B14" i="178"/>
  <c r="B15" i="178"/>
  <c r="B9" i="178"/>
  <c r="A1" i="178"/>
  <c r="A1" i="177"/>
  <c r="B6" i="177"/>
  <c r="B7" i="177"/>
  <c r="B8" i="177"/>
  <c r="B9" i="177"/>
  <c r="B10" i="177"/>
  <c r="B11" i="177"/>
  <c r="B5" i="177"/>
  <c r="B12" i="176"/>
  <c r="B13" i="176"/>
  <c r="B14" i="176"/>
  <c r="B15" i="176"/>
  <c r="B16" i="176"/>
  <c r="B17" i="176"/>
  <c r="B11" i="176"/>
  <c r="H38" i="128"/>
  <c r="H29" i="128"/>
  <c r="H30" i="128"/>
  <c r="H31" i="128"/>
  <c r="H32" i="128"/>
  <c r="H33" i="128"/>
  <c r="H34" i="128"/>
  <c r="H35" i="128"/>
  <c r="H36" i="128"/>
  <c r="H37" i="128"/>
  <c r="H28" i="128"/>
  <c r="G28" i="128"/>
  <c r="G29" i="128"/>
  <c r="G30" i="128"/>
  <c r="G31" i="128"/>
  <c r="G32" i="128"/>
  <c r="G33" i="128"/>
  <c r="G34" i="128"/>
  <c r="G35" i="128"/>
  <c r="G36" i="128"/>
  <c r="G37" i="128"/>
  <c r="G38" i="128"/>
  <c r="F29" i="128"/>
  <c r="F30" i="128"/>
  <c r="F31" i="128"/>
  <c r="F32" i="128"/>
  <c r="F33" i="128"/>
  <c r="F34" i="128"/>
  <c r="F35" i="128"/>
  <c r="F36" i="128"/>
  <c r="F37" i="128"/>
  <c r="F38" i="128"/>
  <c r="F28" i="128"/>
  <c r="F6" i="128"/>
  <c r="G6" i="128"/>
  <c r="H6" i="128"/>
  <c r="F7" i="128"/>
  <c r="G7" i="128"/>
  <c r="H7" i="128"/>
  <c r="F8" i="128"/>
  <c r="G8" i="128"/>
  <c r="H8" i="128"/>
  <c r="F9" i="128"/>
  <c r="G9" i="128"/>
  <c r="H9" i="128"/>
  <c r="F10" i="128"/>
  <c r="G10" i="128"/>
  <c r="H10" i="128"/>
  <c r="F11" i="128"/>
  <c r="G11" i="128"/>
  <c r="H11" i="128"/>
  <c r="F12" i="128"/>
  <c r="G12" i="128"/>
  <c r="H12" i="128"/>
  <c r="F13" i="128"/>
  <c r="G13" i="128"/>
  <c r="H13" i="128"/>
  <c r="F14" i="128"/>
  <c r="G14" i="128"/>
  <c r="H14" i="128"/>
  <c r="F15" i="128"/>
  <c r="G15" i="128"/>
  <c r="H15" i="128"/>
  <c r="G5" i="128"/>
  <c r="C11" i="172"/>
  <c r="D11" i="172"/>
  <c r="E11" i="172"/>
  <c r="F11" i="172"/>
  <c r="C12" i="172"/>
  <c r="D12" i="172"/>
  <c r="E12" i="172"/>
  <c r="F12" i="172"/>
  <c r="C13" i="172"/>
  <c r="D13" i="172"/>
  <c r="E13" i="172"/>
  <c r="F13" i="172"/>
  <c r="F10" i="172"/>
  <c r="E10" i="172"/>
  <c r="D10" i="172"/>
  <c r="C10" i="172"/>
  <c r="B11" i="172"/>
  <c r="B12" i="172"/>
  <c r="B13" i="172"/>
  <c r="B14" i="172"/>
  <c r="B15" i="172"/>
  <c r="B16" i="172"/>
  <c r="B10" i="172"/>
  <c r="A1" i="172"/>
  <c r="F11" i="171"/>
  <c r="F12" i="171"/>
  <c r="F13" i="171"/>
  <c r="F10" i="171"/>
  <c r="E11" i="171"/>
  <c r="E12" i="171"/>
  <c r="E13" i="171"/>
  <c r="E10" i="171"/>
  <c r="D11" i="171"/>
  <c r="D12" i="171"/>
  <c r="D13" i="171"/>
  <c r="D10" i="171"/>
  <c r="C11" i="171"/>
  <c r="C12" i="171"/>
  <c r="C13" i="171"/>
  <c r="C10" i="171"/>
  <c r="B11" i="171"/>
  <c r="B12" i="171"/>
  <c r="B13" i="171"/>
  <c r="B14" i="171"/>
  <c r="B15" i="171"/>
  <c r="B16" i="171"/>
  <c r="B10" i="171"/>
  <c r="A1" i="171"/>
  <c r="A1" i="173"/>
  <c r="B9" i="173"/>
  <c r="B8" i="173"/>
  <c r="B7" i="173"/>
  <c r="B6" i="173"/>
  <c r="B5" i="173"/>
  <c r="B4" i="173"/>
  <c r="B14" i="170"/>
  <c r="B13" i="170"/>
  <c r="B12" i="170"/>
  <c r="B11" i="170"/>
  <c r="B10" i="170"/>
  <c r="B9" i="170"/>
  <c r="B8" i="170"/>
  <c r="A1" i="170"/>
  <c r="B37" i="93" l="1"/>
  <c r="A1" i="167"/>
  <c r="C43" i="147"/>
  <c r="D43" i="147"/>
  <c r="E43" i="147"/>
  <c r="F43" i="147"/>
  <c r="G43" i="147"/>
  <c r="H43" i="147"/>
  <c r="I43" i="147"/>
  <c r="J43" i="147"/>
  <c r="K43" i="147"/>
  <c r="L43" i="147"/>
  <c r="M43" i="147"/>
  <c r="N43" i="147"/>
  <c r="O43" i="147"/>
  <c r="P43" i="147"/>
  <c r="Q43" i="147"/>
  <c r="R43" i="147"/>
  <c r="S43" i="147"/>
  <c r="T43" i="147"/>
  <c r="U43" i="147"/>
  <c r="V43" i="147"/>
  <c r="W43" i="147"/>
  <c r="X43" i="147"/>
  <c r="Y43" i="147"/>
  <c r="C44" i="147"/>
  <c r="D44" i="147"/>
  <c r="E44" i="147"/>
  <c r="F44" i="147"/>
  <c r="G44" i="147"/>
  <c r="H44" i="147"/>
  <c r="I44" i="147"/>
  <c r="J44" i="147"/>
  <c r="K44" i="147"/>
  <c r="L44" i="147"/>
  <c r="M44" i="147"/>
  <c r="N44" i="147"/>
  <c r="O44" i="147"/>
  <c r="P44" i="147"/>
  <c r="Q44" i="147"/>
  <c r="R44" i="147"/>
  <c r="S44" i="147"/>
  <c r="T44" i="147"/>
  <c r="U44" i="147"/>
  <c r="V44" i="147"/>
  <c r="W44" i="147"/>
  <c r="X44" i="147"/>
  <c r="Y44" i="147"/>
  <c r="C45" i="147"/>
  <c r="D45" i="147"/>
  <c r="E45" i="147"/>
  <c r="F45" i="147"/>
  <c r="G45" i="147"/>
  <c r="H45" i="147"/>
  <c r="I45" i="147"/>
  <c r="J45" i="147"/>
  <c r="K45" i="147"/>
  <c r="L45" i="147"/>
  <c r="M45" i="147"/>
  <c r="N45" i="147"/>
  <c r="O45" i="147"/>
  <c r="P45" i="147"/>
  <c r="Q45" i="147"/>
  <c r="R45" i="147"/>
  <c r="S45" i="147"/>
  <c r="T45" i="147"/>
  <c r="U45" i="147"/>
  <c r="V45" i="147"/>
  <c r="W45" i="147"/>
  <c r="X45" i="147"/>
  <c r="Y45" i="147"/>
  <c r="B44" i="147"/>
  <c r="B45" i="147"/>
  <c r="B43" i="147"/>
  <c r="C13" i="147"/>
  <c r="D13" i="147"/>
  <c r="E13" i="147"/>
  <c r="F13" i="147"/>
  <c r="G13" i="147"/>
  <c r="H13" i="147"/>
  <c r="I13" i="147"/>
  <c r="J13" i="147"/>
  <c r="K13" i="147"/>
  <c r="L13" i="147"/>
  <c r="M13" i="147"/>
  <c r="N13" i="147"/>
  <c r="O13" i="147"/>
  <c r="P13" i="147"/>
  <c r="Q13" i="147"/>
  <c r="R13" i="147"/>
  <c r="S13" i="147"/>
  <c r="T13" i="147"/>
  <c r="U13" i="147"/>
  <c r="V13" i="147"/>
  <c r="W13" i="147"/>
  <c r="X13" i="147"/>
  <c r="Y13" i="147"/>
  <c r="C14" i="147"/>
  <c r="D14" i="147"/>
  <c r="E14" i="147"/>
  <c r="F14" i="147"/>
  <c r="G14" i="147"/>
  <c r="H14" i="147"/>
  <c r="I14" i="147"/>
  <c r="J14" i="147"/>
  <c r="K14" i="147"/>
  <c r="L14" i="147"/>
  <c r="M14" i="147"/>
  <c r="N14" i="147"/>
  <c r="O14" i="147"/>
  <c r="P14" i="147"/>
  <c r="Q14" i="147"/>
  <c r="R14" i="147"/>
  <c r="S14" i="147"/>
  <c r="T14" i="147"/>
  <c r="U14" i="147"/>
  <c r="V14" i="147"/>
  <c r="W14" i="147"/>
  <c r="X14" i="147"/>
  <c r="Y14" i="147"/>
  <c r="C15" i="147"/>
  <c r="D15" i="147"/>
  <c r="E15" i="147"/>
  <c r="F15" i="147"/>
  <c r="G15" i="147"/>
  <c r="H15" i="147"/>
  <c r="I15" i="147"/>
  <c r="J15" i="147"/>
  <c r="K15" i="147"/>
  <c r="L15" i="147"/>
  <c r="M15" i="147"/>
  <c r="N15" i="147"/>
  <c r="O15" i="147"/>
  <c r="P15" i="147"/>
  <c r="Q15" i="147"/>
  <c r="R15" i="147"/>
  <c r="S15" i="147"/>
  <c r="T15" i="147"/>
  <c r="U15" i="147"/>
  <c r="V15" i="147"/>
  <c r="W15" i="147"/>
  <c r="X15" i="147"/>
  <c r="Y15" i="147"/>
  <c r="B14" i="147"/>
  <c r="B15" i="147"/>
  <c r="B13" i="147"/>
  <c r="AA36" i="147"/>
  <c r="AA40" i="147"/>
  <c r="C58" i="146"/>
  <c r="D58" i="146"/>
  <c r="E58" i="146"/>
  <c r="F58" i="146"/>
  <c r="G58" i="146"/>
  <c r="H58" i="146"/>
  <c r="I58" i="146"/>
  <c r="J58" i="146"/>
  <c r="K58" i="146"/>
  <c r="L58" i="146"/>
  <c r="M58" i="146"/>
  <c r="N58" i="146"/>
  <c r="O58" i="146"/>
  <c r="P58" i="146"/>
  <c r="Q58" i="146"/>
  <c r="R58" i="146"/>
  <c r="S58" i="146"/>
  <c r="T58" i="146"/>
  <c r="U58" i="146"/>
  <c r="V58" i="146"/>
  <c r="W58" i="146"/>
  <c r="X58" i="146"/>
  <c r="Y58" i="146"/>
  <c r="C59" i="146"/>
  <c r="D59" i="146"/>
  <c r="E59" i="146"/>
  <c r="F59" i="146"/>
  <c r="G59" i="146"/>
  <c r="H59" i="146"/>
  <c r="I59" i="146"/>
  <c r="J59" i="146"/>
  <c r="K59" i="146"/>
  <c r="L59" i="146"/>
  <c r="M59" i="146"/>
  <c r="N59" i="146"/>
  <c r="O59" i="146"/>
  <c r="P59" i="146"/>
  <c r="Q59" i="146"/>
  <c r="R59" i="146"/>
  <c r="S59" i="146"/>
  <c r="T59" i="146"/>
  <c r="U59" i="146"/>
  <c r="V59" i="146"/>
  <c r="W59" i="146"/>
  <c r="X59" i="146"/>
  <c r="Y59" i="146"/>
  <c r="C60" i="146"/>
  <c r="D60" i="146"/>
  <c r="E60" i="146"/>
  <c r="F60" i="146"/>
  <c r="G60" i="146"/>
  <c r="H60" i="146"/>
  <c r="I60" i="146"/>
  <c r="J60" i="146"/>
  <c r="K60" i="146"/>
  <c r="L60" i="146"/>
  <c r="M60" i="146"/>
  <c r="N60" i="146"/>
  <c r="O60" i="146"/>
  <c r="P60" i="146"/>
  <c r="Q60" i="146"/>
  <c r="R60" i="146"/>
  <c r="S60" i="146"/>
  <c r="T60" i="146"/>
  <c r="U60" i="146"/>
  <c r="V60" i="146"/>
  <c r="W60" i="146"/>
  <c r="X60" i="146"/>
  <c r="Y60" i="146"/>
  <c r="B59" i="146"/>
  <c r="B60" i="146"/>
  <c r="B58" i="146"/>
  <c r="C43" i="146"/>
  <c r="D43" i="146"/>
  <c r="E43" i="146"/>
  <c r="F43" i="146"/>
  <c r="G43" i="146"/>
  <c r="H43" i="146"/>
  <c r="I43" i="146"/>
  <c r="J43" i="146"/>
  <c r="K43" i="146"/>
  <c r="L43" i="146"/>
  <c r="M43" i="146"/>
  <c r="N43" i="146"/>
  <c r="O43" i="146"/>
  <c r="P43" i="146"/>
  <c r="Q43" i="146"/>
  <c r="R43" i="146"/>
  <c r="S43" i="146"/>
  <c r="T43" i="146"/>
  <c r="U43" i="146"/>
  <c r="V43" i="146"/>
  <c r="W43" i="146"/>
  <c r="X43" i="146"/>
  <c r="Y43" i="146"/>
  <c r="C44" i="146"/>
  <c r="D44" i="146"/>
  <c r="E44" i="146"/>
  <c r="F44" i="146"/>
  <c r="G44" i="146"/>
  <c r="H44" i="146"/>
  <c r="I44" i="146"/>
  <c r="J44" i="146"/>
  <c r="K44" i="146"/>
  <c r="L44" i="146"/>
  <c r="M44" i="146"/>
  <c r="N44" i="146"/>
  <c r="O44" i="146"/>
  <c r="P44" i="146"/>
  <c r="Q44" i="146"/>
  <c r="R44" i="146"/>
  <c r="S44" i="146"/>
  <c r="T44" i="146"/>
  <c r="U44" i="146"/>
  <c r="V44" i="146"/>
  <c r="W44" i="146"/>
  <c r="X44" i="146"/>
  <c r="Y44" i="146"/>
  <c r="C45" i="146"/>
  <c r="D45" i="146"/>
  <c r="E45" i="146"/>
  <c r="F45" i="146"/>
  <c r="G45" i="146"/>
  <c r="H45" i="146"/>
  <c r="I45" i="146"/>
  <c r="J45" i="146"/>
  <c r="K45" i="146"/>
  <c r="L45" i="146"/>
  <c r="M45" i="146"/>
  <c r="N45" i="146"/>
  <c r="O45" i="146"/>
  <c r="P45" i="146"/>
  <c r="Q45" i="146"/>
  <c r="R45" i="146"/>
  <c r="S45" i="146"/>
  <c r="T45" i="146"/>
  <c r="U45" i="146"/>
  <c r="V45" i="146"/>
  <c r="W45" i="146"/>
  <c r="X45" i="146"/>
  <c r="Y45" i="146"/>
  <c r="B44" i="146"/>
  <c r="B45" i="146"/>
  <c r="B43" i="146"/>
  <c r="Y30" i="146"/>
  <c r="C28" i="146"/>
  <c r="D28" i="146"/>
  <c r="E28" i="146"/>
  <c r="F28" i="146"/>
  <c r="G28" i="146"/>
  <c r="H28" i="146"/>
  <c r="I28" i="146"/>
  <c r="J28" i="146"/>
  <c r="K28" i="146"/>
  <c r="L28" i="146"/>
  <c r="M28" i="146"/>
  <c r="N28" i="146"/>
  <c r="O28" i="146"/>
  <c r="P28" i="146"/>
  <c r="Q28" i="146"/>
  <c r="R28" i="146"/>
  <c r="S28" i="146"/>
  <c r="T28" i="146"/>
  <c r="U28" i="146"/>
  <c r="V28" i="146"/>
  <c r="W28" i="146"/>
  <c r="X28" i="146"/>
  <c r="Y28" i="146"/>
  <c r="C29" i="146"/>
  <c r="D29" i="146"/>
  <c r="E29" i="146"/>
  <c r="F29" i="146"/>
  <c r="G29" i="146"/>
  <c r="H29" i="146"/>
  <c r="I29" i="146"/>
  <c r="J29" i="146"/>
  <c r="K29" i="146"/>
  <c r="L29" i="146"/>
  <c r="M29" i="146"/>
  <c r="N29" i="146"/>
  <c r="O29" i="146"/>
  <c r="P29" i="146"/>
  <c r="Q29" i="146"/>
  <c r="R29" i="146"/>
  <c r="S29" i="146"/>
  <c r="T29" i="146"/>
  <c r="U29" i="146"/>
  <c r="V29" i="146"/>
  <c r="W29" i="146"/>
  <c r="X29" i="146"/>
  <c r="Y29" i="146"/>
  <c r="C30" i="146"/>
  <c r="D30" i="146"/>
  <c r="E30" i="146"/>
  <c r="F30" i="146"/>
  <c r="G30" i="146"/>
  <c r="H30" i="146"/>
  <c r="I30" i="146"/>
  <c r="J30" i="146"/>
  <c r="K30" i="146"/>
  <c r="L30" i="146"/>
  <c r="M30" i="146"/>
  <c r="N30" i="146"/>
  <c r="O30" i="146"/>
  <c r="P30" i="146"/>
  <c r="Q30" i="146"/>
  <c r="R30" i="146"/>
  <c r="S30" i="146"/>
  <c r="T30" i="146"/>
  <c r="U30" i="146"/>
  <c r="V30" i="146"/>
  <c r="W30" i="146"/>
  <c r="X30" i="146"/>
  <c r="B29" i="146"/>
  <c r="B30" i="146"/>
  <c r="B15" i="146" s="1"/>
  <c r="B28" i="146"/>
  <c r="B13" i="146" s="1"/>
  <c r="B77" i="136"/>
  <c r="C77" i="136"/>
  <c r="D77" i="136"/>
  <c r="E77" i="136"/>
  <c r="F77" i="136"/>
  <c r="B78" i="136"/>
  <c r="C78" i="136"/>
  <c r="D78" i="136"/>
  <c r="E78" i="136"/>
  <c r="F78" i="136"/>
  <c r="B79" i="136"/>
  <c r="C79" i="136"/>
  <c r="D79" i="136"/>
  <c r="E79" i="136"/>
  <c r="F79" i="136"/>
  <c r="B80" i="136"/>
  <c r="C80" i="136"/>
  <c r="D80" i="136"/>
  <c r="E80" i="136"/>
  <c r="F80" i="136"/>
  <c r="B81" i="136"/>
  <c r="C81" i="136"/>
  <c r="D81" i="136"/>
  <c r="E81" i="136"/>
  <c r="F81" i="136"/>
  <c r="B82" i="136"/>
  <c r="C82" i="136"/>
  <c r="D82" i="136"/>
  <c r="E82" i="136"/>
  <c r="F82" i="136"/>
  <c r="B83" i="136"/>
  <c r="C83" i="136"/>
  <c r="D83" i="136"/>
  <c r="E83" i="136"/>
  <c r="F83" i="136"/>
  <c r="B84" i="136"/>
  <c r="C84" i="136"/>
  <c r="D84" i="136"/>
  <c r="E84" i="136"/>
  <c r="F84" i="136"/>
  <c r="B85" i="136"/>
  <c r="C85" i="136"/>
  <c r="D85" i="136"/>
  <c r="E85" i="136"/>
  <c r="F85" i="136"/>
  <c r="B86" i="136"/>
  <c r="C86" i="136"/>
  <c r="D86" i="136"/>
  <c r="E86" i="136"/>
  <c r="F86" i="136"/>
  <c r="B87" i="136"/>
  <c r="C87" i="136"/>
  <c r="D87" i="136"/>
  <c r="E87" i="136"/>
  <c r="F87" i="136"/>
  <c r="B88" i="136"/>
  <c r="C88" i="136"/>
  <c r="D88" i="136"/>
  <c r="E88" i="136"/>
  <c r="F88" i="136"/>
  <c r="B89" i="136"/>
  <c r="C89" i="136"/>
  <c r="D89" i="136"/>
  <c r="E89" i="136"/>
  <c r="F89" i="136"/>
  <c r="B90" i="136"/>
  <c r="C90" i="136"/>
  <c r="D90" i="136"/>
  <c r="E90" i="136"/>
  <c r="F90" i="136"/>
  <c r="B91" i="136"/>
  <c r="C91" i="136"/>
  <c r="D91" i="136"/>
  <c r="E91" i="136"/>
  <c r="F91" i="136"/>
  <c r="B92" i="136"/>
  <c r="C92" i="136"/>
  <c r="D92" i="136"/>
  <c r="E92" i="136"/>
  <c r="F92" i="136"/>
  <c r="B93" i="136"/>
  <c r="C93" i="136"/>
  <c r="D93" i="136"/>
  <c r="E93" i="136"/>
  <c r="F93" i="136"/>
  <c r="B94" i="136"/>
  <c r="C94" i="136"/>
  <c r="D94" i="136"/>
  <c r="E94" i="136"/>
  <c r="F94" i="136"/>
  <c r="B95" i="136"/>
  <c r="C95" i="136"/>
  <c r="D95" i="136"/>
  <c r="E95" i="136"/>
  <c r="F95" i="136"/>
  <c r="B96" i="136"/>
  <c r="C96" i="136"/>
  <c r="D96" i="136"/>
  <c r="E96" i="136"/>
  <c r="F96" i="136"/>
  <c r="B97" i="136"/>
  <c r="C97" i="136"/>
  <c r="D97" i="136"/>
  <c r="E97" i="136"/>
  <c r="F97" i="136"/>
  <c r="B98" i="136"/>
  <c r="C98" i="136"/>
  <c r="D98" i="136"/>
  <c r="E98" i="136"/>
  <c r="F98" i="136"/>
  <c r="B99" i="136"/>
  <c r="C99" i="136"/>
  <c r="D99" i="136"/>
  <c r="E99" i="136"/>
  <c r="F99" i="136"/>
  <c r="B100" i="136"/>
  <c r="C100" i="136"/>
  <c r="D100" i="136"/>
  <c r="E100" i="136"/>
  <c r="F100" i="136"/>
  <c r="B101" i="136"/>
  <c r="C101" i="136"/>
  <c r="D101" i="136"/>
  <c r="E101" i="136"/>
  <c r="F101" i="136"/>
  <c r="B102" i="136"/>
  <c r="C102" i="136"/>
  <c r="D102" i="136"/>
  <c r="E102" i="136"/>
  <c r="F102" i="136"/>
  <c r="B103" i="136"/>
  <c r="C103" i="136"/>
  <c r="D103" i="136"/>
  <c r="E103" i="136"/>
  <c r="F103" i="136"/>
  <c r="B104" i="136"/>
  <c r="C104" i="136"/>
  <c r="D104" i="136"/>
  <c r="E104" i="136"/>
  <c r="F104" i="136"/>
  <c r="B105" i="136"/>
  <c r="C105" i="136"/>
  <c r="D105" i="136"/>
  <c r="E105" i="136"/>
  <c r="F105" i="136"/>
  <c r="B106" i="136"/>
  <c r="C106" i="136"/>
  <c r="D106" i="136"/>
  <c r="E106" i="136"/>
  <c r="F106" i="136"/>
  <c r="B107" i="136"/>
  <c r="C107" i="136"/>
  <c r="D107" i="136"/>
  <c r="E107" i="136"/>
  <c r="F107" i="136"/>
  <c r="C76" i="136"/>
  <c r="D76" i="136"/>
  <c r="E76" i="136"/>
  <c r="F76" i="136"/>
  <c r="B76" i="136"/>
  <c r="B39" i="136"/>
  <c r="C39" i="136"/>
  <c r="D39" i="136"/>
  <c r="E39" i="136"/>
  <c r="F39" i="136"/>
  <c r="G39" i="136"/>
  <c r="H39" i="136"/>
  <c r="B40" i="136"/>
  <c r="C40" i="136"/>
  <c r="D40" i="136"/>
  <c r="E40" i="136"/>
  <c r="F40" i="136"/>
  <c r="G40" i="136"/>
  <c r="H40" i="136"/>
  <c r="B41" i="136"/>
  <c r="C41" i="136"/>
  <c r="D41" i="136"/>
  <c r="E41" i="136"/>
  <c r="F41" i="136"/>
  <c r="G41" i="136"/>
  <c r="H41" i="136"/>
  <c r="B42" i="136"/>
  <c r="C42" i="136"/>
  <c r="D42" i="136"/>
  <c r="E42" i="136"/>
  <c r="F42" i="136"/>
  <c r="G42" i="136"/>
  <c r="H42" i="136"/>
  <c r="B43" i="136"/>
  <c r="C43" i="136"/>
  <c r="D43" i="136"/>
  <c r="E43" i="136"/>
  <c r="F43" i="136"/>
  <c r="G43" i="136"/>
  <c r="H43" i="136"/>
  <c r="B44" i="136"/>
  <c r="C44" i="136"/>
  <c r="D44" i="136"/>
  <c r="E44" i="136"/>
  <c r="F44" i="136"/>
  <c r="G44" i="136"/>
  <c r="H44" i="136"/>
  <c r="B45" i="136"/>
  <c r="C45" i="136"/>
  <c r="D45" i="136"/>
  <c r="E45" i="136"/>
  <c r="F45" i="136"/>
  <c r="G45" i="136"/>
  <c r="H45" i="136"/>
  <c r="B46" i="136"/>
  <c r="C46" i="136"/>
  <c r="D46" i="136"/>
  <c r="E46" i="136"/>
  <c r="F46" i="136"/>
  <c r="G46" i="136"/>
  <c r="H46" i="136"/>
  <c r="B47" i="136"/>
  <c r="C47" i="136"/>
  <c r="D47" i="136"/>
  <c r="E47" i="136"/>
  <c r="F47" i="136"/>
  <c r="G47" i="136"/>
  <c r="H47" i="136"/>
  <c r="B48" i="136"/>
  <c r="C48" i="136"/>
  <c r="D48" i="136"/>
  <c r="E48" i="136"/>
  <c r="F48" i="136"/>
  <c r="G48" i="136"/>
  <c r="H48" i="136"/>
  <c r="B49" i="136"/>
  <c r="C49" i="136"/>
  <c r="D49" i="136"/>
  <c r="E49" i="136"/>
  <c r="F49" i="136"/>
  <c r="G49" i="136"/>
  <c r="H49" i="136"/>
  <c r="B50" i="136"/>
  <c r="C50" i="136"/>
  <c r="D50" i="136"/>
  <c r="E50" i="136"/>
  <c r="F50" i="136"/>
  <c r="G50" i="136"/>
  <c r="H50" i="136"/>
  <c r="B51" i="136"/>
  <c r="C51" i="136"/>
  <c r="D51" i="136"/>
  <c r="E51" i="136"/>
  <c r="F51" i="136"/>
  <c r="G51" i="136"/>
  <c r="H51" i="136"/>
  <c r="B52" i="136"/>
  <c r="C52" i="136"/>
  <c r="D52" i="136"/>
  <c r="E52" i="136"/>
  <c r="F52" i="136"/>
  <c r="G52" i="136"/>
  <c r="H52" i="136"/>
  <c r="B53" i="136"/>
  <c r="C53" i="136"/>
  <c r="D53" i="136"/>
  <c r="E53" i="136"/>
  <c r="F53" i="136"/>
  <c r="G53" i="136"/>
  <c r="H53" i="136"/>
  <c r="B54" i="136"/>
  <c r="C54" i="136"/>
  <c r="D54" i="136"/>
  <c r="E54" i="136"/>
  <c r="F54" i="136"/>
  <c r="G54" i="136"/>
  <c r="H54" i="136"/>
  <c r="B55" i="136"/>
  <c r="C55" i="136"/>
  <c r="D55" i="136"/>
  <c r="E55" i="136"/>
  <c r="F55" i="136"/>
  <c r="G55" i="136"/>
  <c r="H55" i="136"/>
  <c r="B56" i="136"/>
  <c r="C56" i="136"/>
  <c r="D56" i="136"/>
  <c r="E56" i="136"/>
  <c r="F56" i="136"/>
  <c r="G56" i="136"/>
  <c r="H56" i="136"/>
  <c r="B57" i="136"/>
  <c r="C57" i="136"/>
  <c r="D57" i="136"/>
  <c r="E57" i="136"/>
  <c r="F57" i="136"/>
  <c r="G57" i="136"/>
  <c r="H57" i="136"/>
  <c r="B58" i="136"/>
  <c r="C58" i="136"/>
  <c r="D58" i="136"/>
  <c r="E58" i="136"/>
  <c r="F58" i="136"/>
  <c r="G58" i="136"/>
  <c r="H58" i="136"/>
  <c r="B59" i="136"/>
  <c r="C59" i="136"/>
  <c r="D59" i="136"/>
  <c r="E59" i="136"/>
  <c r="F59" i="136"/>
  <c r="G59" i="136"/>
  <c r="H59" i="136"/>
  <c r="B60" i="136"/>
  <c r="C60" i="136"/>
  <c r="D60" i="136"/>
  <c r="E60" i="136"/>
  <c r="F60" i="136"/>
  <c r="G60" i="136"/>
  <c r="H60" i="136"/>
  <c r="B61" i="136"/>
  <c r="C61" i="136"/>
  <c r="D61" i="136"/>
  <c r="E61" i="136"/>
  <c r="F61" i="136"/>
  <c r="G61" i="136"/>
  <c r="H61" i="136"/>
  <c r="B62" i="136"/>
  <c r="C62" i="136"/>
  <c r="D62" i="136"/>
  <c r="E62" i="136"/>
  <c r="F62" i="136"/>
  <c r="G62" i="136"/>
  <c r="H62" i="136"/>
  <c r="B63" i="136"/>
  <c r="C63" i="136"/>
  <c r="D63" i="136"/>
  <c r="E63" i="136"/>
  <c r="F63" i="136"/>
  <c r="G63" i="136"/>
  <c r="H63" i="136"/>
  <c r="B64" i="136"/>
  <c r="C64" i="136"/>
  <c r="D64" i="136"/>
  <c r="E64" i="136"/>
  <c r="F64" i="136"/>
  <c r="G64" i="136"/>
  <c r="H64" i="136"/>
  <c r="B65" i="136"/>
  <c r="C65" i="136"/>
  <c r="D65" i="136"/>
  <c r="E65" i="136"/>
  <c r="F65" i="136"/>
  <c r="G65" i="136"/>
  <c r="H65" i="136"/>
  <c r="B66" i="136"/>
  <c r="C66" i="136"/>
  <c r="D66" i="136"/>
  <c r="E66" i="136"/>
  <c r="F66" i="136"/>
  <c r="G66" i="136"/>
  <c r="H66" i="136"/>
  <c r="B67" i="136"/>
  <c r="C67" i="136"/>
  <c r="D67" i="136"/>
  <c r="E67" i="136"/>
  <c r="F67" i="136"/>
  <c r="G67" i="136"/>
  <c r="H67" i="136"/>
  <c r="B68" i="136"/>
  <c r="C68" i="136"/>
  <c r="D68" i="136"/>
  <c r="E68" i="136"/>
  <c r="F68" i="136"/>
  <c r="G68" i="136"/>
  <c r="H68" i="136"/>
  <c r="B69" i="136"/>
  <c r="C69" i="136"/>
  <c r="D69" i="136"/>
  <c r="E69" i="136"/>
  <c r="F69" i="136"/>
  <c r="G69" i="136"/>
  <c r="H69" i="136"/>
  <c r="C38" i="136"/>
  <c r="D38" i="136"/>
  <c r="E38" i="136"/>
  <c r="F38" i="136"/>
  <c r="G38" i="136"/>
  <c r="H38" i="136"/>
  <c r="B38" i="136"/>
  <c r="C23" i="136"/>
  <c r="D23" i="136"/>
  <c r="F23" i="136"/>
  <c r="G23" i="136"/>
  <c r="C24" i="136"/>
  <c r="D24" i="136"/>
  <c r="F24" i="136"/>
  <c r="G24" i="136"/>
  <c r="C25" i="136"/>
  <c r="D25" i="136"/>
  <c r="E25" i="136"/>
  <c r="F25" i="136"/>
  <c r="G25" i="136"/>
  <c r="H25" i="136"/>
  <c r="B24" i="136"/>
  <c r="B25" i="136"/>
  <c r="B23" i="136"/>
  <c r="B11" i="136"/>
  <c r="C11" i="136"/>
  <c r="D11" i="136"/>
  <c r="E11" i="136"/>
  <c r="F11" i="136"/>
  <c r="G11" i="136"/>
  <c r="H11" i="136"/>
  <c r="B12" i="136"/>
  <c r="C12" i="136"/>
  <c r="D12" i="136"/>
  <c r="E12" i="136"/>
  <c r="F12" i="136"/>
  <c r="G12" i="136"/>
  <c r="H12" i="136"/>
  <c r="C10" i="136"/>
  <c r="D10" i="136"/>
  <c r="E10" i="136"/>
  <c r="F10" i="136"/>
  <c r="G10" i="136"/>
  <c r="H10" i="136"/>
  <c r="B10" i="136"/>
  <c r="C28" i="138"/>
  <c r="D28" i="138"/>
  <c r="E28" i="138"/>
  <c r="F28" i="138"/>
  <c r="G28" i="138"/>
  <c r="C29" i="138"/>
  <c r="D29" i="138"/>
  <c r="E29" i="138"/>
  <c r="F29" i="138"/>
  <c r="G29" i="138"/>
  <c r="C30" i="138"/>
  <c r="D30" i="138"/>
  <c r="E30" i="138"/>
  <c r="F30" i="138"/>
  <c r="G30" i="138"/>
  <c r="B29" i="138"/>
  <c r="B30" i="138"/>
  <c r="B28" i="138"/>
  <c r="C13" i="138"/>
  <c r="D13" i="138"/>
  <c r="E13" i="138"/>
  <c r="F13" i="138"/>
  <c r="G13" i="138"/>
  <c r="C14" i="138"/>
  <c r="D14" i="138"/>
  <c r="E14" i="138"/>
  <c r="F14" i="138"/>
  <c r="G14" i="138"/>
  <c r="C15" i="138"/>
  <c r="D15" i="138"/>
  <c r="E15" i="138"/>
  <c r="F15" i="138"/>
  <c r="G15" i="138"/>
  <c r="B14" i="138"/>
  <c r="B15" i="138"/>
  <c r="B13" i="138"/>
  <c r="B24" i="139"/>
  <c r="H11" i="139"/>
  <c r="I11" i="139"/>
  <c r="H12" i="139"/>
  <c r="I12" i="139"/>
  <c r="H13" i="139"/>
  <c r="I13" i="139"/>
  <c r="G12" i="139"/>
  <c r="G13" i="139"/>
  <c r="G11" i="139"/>
  <c r="C11" i="139"/>
  <c r="D11" i="139"/>
  <c r="C12" i="139"/>
  <c r="D12" i="139"/>
  <c r="C13" i="139"/>
  <c r="D13" i="139"/>
  <c r="B12" i="139"/>
  <c r="B13" i="139"/>
  <c r="B11" i="139"/>
  <c r="C22" i="140"/>
  <c r="D22" i="140"/>
  <c r="C23" i="140"/>
  <c r="D23" i="140"/>
  <c r="C24" i="140"/>
  <c r="D24" i="140"/>
  <c r="C25" i="140"/>
  <c r="D25" i="140"/>
  <c r="C26" i="140"/>
  <c r="D26" i="140"/>
  <c r="C27" i="140"/>
  <c r="D27" i="140"/>
  <c r="C28" i="140"/>
  <c r="D28" i="140"/>
  <c r="C29" i="140"/>
  <c r="D29" i="140"/>
  <c r="C30" i="140"/>
  <c r="D30" i="140"/>
  <c r="C31" i="140"/>
  <c r="D31" i="140"/>
  <c r="C32" i="140"/>
  <c r="D32" i="140"/>
  <c r="C33" i="140"/>
  <c r="D33" i="140"/>
  <c r="C34" i="140"/>
  <c r="D34" i="140"/>
  <c r="C35" i="140"/>
  <c r="D35" i="140"/>
  <c r="C36" i="140"/>
  <c r="D36" i="140"/>
  <c r="C37" i="140"/>
  <c r="D37" i="140"/>
  <c r="C38" i="140"/>
  <c r="D38" i="140"/>
  <c r="C39" i="140"/>
  <c r="D39" i="140"/>
  <c r="C40" i="140"/>
  <c r="D40" i="140"/>
  <c r="C41" i="140"/>
  <c r="D41" i="140"/>
  <c r="C42" i="140"/>
  <c r="D42" i="140"/>
  <c r="C43" i="140"/>
  <c r="D43" i="140"/>
  <c r="C44" i="140"/>
  <c r="D44" i="140"/>
  <c r="C45" i="140"/>
  <c r="D45" i="140"/>
  <c r="C46" i="140"/>
  <c r="D46" i="140"/>
  <c r="C47" i="140"/>
  <c r="D47" i="140"/>
  <c r="C48" i="140"/>
  <c r="D48" i="140"/>
  <c r="C49" i="140"/>
  <c r="D49" i="140"/>
  <c r="C50" i="140"/>
  <c r="D50" i="140"/>
  <c r="C51" i="140"/>
  <c r="D51" i="140"/>
  <c r="C52" i="140"/>
  <c r="D52" i="140"/>
  <c r="C53" i="140"/>
  <c r="D53" i="140"/>
  <c r="B23" i="140"/>
  <c r="B24" i="140"/>
  <c r="B25" i="140"/>
  <c r="B26" i="140"/>
  <c r="B27" i="140"/>
  <c r="B28" i="140"/>
  <c r="B29" i="140"/>
  <c r="B30" i="140"/>
  <c r="B31" i="140"/>
  <c r="B32" i="140"/>
  <c r="B33" i="140"/>
  <c r="B34" i="140"/>
  <c r="B35" i="140"/>
  <c r="B36" i="140"/>
  <c r="B37" i="140"/>
  <c r="B38" i="140"/>
  <c r="B39" i="140"/>
  <c r="B40" i="140"/>
  <c r="B41" i="140"/>
  <c r="B42" i="140"/>
  <c r="B43" i="140"/>
  <c r="B44" i="140"/>
  <c r="B45" i="140"/>
  <c r="B46" i="140"/>
  <c r="B47" i="140"/>
  <c r="B48" i="140"/>
  <c r="B49" i="140"/>
  <c r="B50" i="140"/>
  <c r="B51" i="140"/>
  <c r="B52" i="140"/>
  <c r="B53" i="140"/>
  <c r="B22" i="140"/>
  <c r="C10" i="140"/>
  <c r="D10" i="140"/>
  <c r="C11" i="140"/>
  <c r="D11" i="140"/>
  <c r="C12" i="140"/>
  <c r="D12" i="140"/>
  <c r="B11" i="140"/>
  <c r="B12" i="140"/>
  <c r="B10" i="140"/>
  <c r="H5" i="142"/>
  <c r="I5" i="142"/>
  <c r="H6" i="142"/>
  <c r="I6" i="142"/>
  <c r="H7" i="142"/>
  <c r="I7" i="142"/>
  <c r="H8" i="142"/>
  <c r="I8" i="142"/>
  <c r="H9" i="142"/>
  <c r="I9" i="142"/>
  <c r="H10" i="142"/>
  <c r="I10" i="142"/>
  <c r="H11" i="142"/>
  <c r="I11" i="142"/>
  <c r="H12" i="142"/>
  <c r="I12" i="142"/>
  <c r="H13" i="142"/>
  <c r="I13" i="142"/>
  <c r="H14" i="142"/>
  <c r="I14" i="142"/>
  <c r="H15" i="142"/>
  <c r="I15" i="142"/>
  <c r="H16" i="142"/>
  <c r="I16" i="142"/>
  <c r="H17" i="142"/>
  <c r="I17" i="142"/>
  <c r="H18" i="142"/>
  <c r="I18" i="142"/>
  <c r="H19" i="142"/>
  <c r="I19" i="142"/>
  <c r="H20" i="142"/>
  <c r="I20" i="142"/>
  <c r="H21" i="142"/>
  <c r="I21" i="142"/>
  <c r="H22" i="142"/>
  <c r="I22" i="142"/>
  <c r="H23" i="142"/>
  <c r="I23" i="142"/>
  <c r="H24" i="142"/>
  <c r="I24" i="142"/>
  <c r="H25" i="142"/>
  <c r="I25" i="142"/>
  <c r="H26" i="142"/>
  <c r="I26" i="142"/>
  <c r="H27" i="142"/>
  <c r="I27" i="142"/>
  <c r="H28" i="142"/>
  <c r="I28" i="142"/>
  <c r="H29" i="142"/>
  <c r="I29" i="142"/>
  <c r="H30" i="142"/>
  <c r="I30" i="142"/>
  <c r="H31" i="142"/>
  <c r="I31" i="142"/>
  <c r="H32" i="142"/>
  <c r="I32" i="142"/>
  <c r="H33" i="142"/>
  <c r="I33" i="142"/>
  <c r="H34" i="142"/>
  <c r="I34" i="142"/>
  <c r="H35" i="142"/>
  <c r="I35" i="142"/>
  <c r="H36" i="142"/>
  <c r="I36" i="142"/>
  <c r="H37" i="142"/>
  <c r="I37" i="142"/>
  <c r="H38" i="142"/>
  <c r="I38" i="142"/>
  <c r="H39" i="142"/>
  <c r="I39" i="142"/>
  <c r="H40" i="142"/>
  <c r="I40" i="142"/>
  <c r="H41" i="142"/>
  <c r="I41" i="142"/>
  <c r="H42" i="142"/>
  <c r="I42" i="142"/>
  <c r="H43" i="142"/>
  <c r="I43" i="142"/>
  <c r="H44" i="142"/>
  <c r="I44" i="142"/>
  <c r="H45" i="142"/>
  <c r="I45" i="142"/>
  <c r="H46" i="142"/>
  <c r="I46" i="142"/>
  <c r="H47" i="142"/>
  <c r="I47" i="142"/>
  <c r="H48" i="142"/>
  <c r="I48" i="142"/>
  <c r="H49" i="142"/>
  <c r="I49" i="142"/>
  <c r="H50" i="142"/>
  <c r="I50" i="142"/>
  <c r="H51" i="142"/>
  <c r="I51" i="142"/>
  <c r="H52" i="142"/>
  <c r="I52" i="142"/>
  <c r="H53" i="142"/>
  <c r="I53" i="142"/>
  <c r="H54" i="142"/>
  <c r="I54" i="142"/>
  <c r="H55" i="142"/>
  <c r="I55" i="142"/>
  <c r="H56" i="142"/>
  <c r="I56" i="142"/>
  <c r="H57" i="142"/>
  <c r="I57" i="142"/>
  <c r="H58" i="142"/>
  <c r="I58" i="142"/>
  <c r="H59" i="142"/>
  <c r="I59" i="142"/>
  <c r="H60" i="142"/>
  <c r="I60" i="142"/>
  <c r="H61" i="142"/>
  <c r="I61" i="142"/>
  <c r="G6" i="142"/>
  <c r="G7" i="142"/>
  <c r="G8" i="142"/>
  <c r="G9" i="142"/>
  <c r="G10" i="142"/>
  <c r="G11" i="142"/>
  <c r="G12" i="142"/>
  <c r="G13" i="142"/>
  <c r="G14" i="142"/>
  <c r="G15" i="142"/>
  <c r="G16" i="142"/>
  <c r="G17" i="142"/>
  <c r="G18" i="142"/>
  <c r="G19" i="142"/>
  <c r="G20" i="142"/>
  <c r="G21" i="142"/>
  <c r="G22" i="142"/>
  <c r="G23" i="142"/>
  <c r="G24" i="142"/>
  <c r="G25" i="142"/>
  <c r="G26" i="142"/>
  <c r="G27" i="142"/>
  <c r="G28" i="142"/>
  <c r="G29" i="142"/>
  <c r="G30" i="142"/>
  <c r="G31" i="142"/>
  <c r="G32" i="142"/>
  <c r="G33" i="142"/>
  <c r="G34" i="142"/>
  <c r="G35" i="142"/>
  <c r="G36" i="142"/>
  <c r="G37" i="142"/>
  <c r="G38" i="142"/>
  <c r="G39" i="142"/>
  <c r="G40" i="142"/>
  <c r="G41" i="142"/>
  <c r="G42" i="142"/>
  <c r="G43" i="142"/>
  <c r="G44" i="142"/>
  <c r="G45" i="142"/>
  <c r="G46" i="142"/>
  <c r="G47" i="142"/>
  <c r="G48" i="142"/>
  <c r="G49" i="142"/>
  <c r="G50" i="142"/>
  <c r="G51" i="142"/>
  <c r="G52" i="142"/>
  <c r="G53" i="142"/>
  <c r="G54" i="142"/>
  <c r="G55" i="142"/>
  <c r="G56" i="142"/>
  <c r="G57" i="142"/>
  <c r="G58" i="142"/>
  <c r="G59" i="142"/>
  <c r="G60" i="142"/>
  <c r="G61" i="142"/>
  <c r="G5" i="142"/>
  <c r="E5" i="145"/>
  <c r="F5" i="145"/>
  <c r="E6" i="145"/>
  <c r="F6" i="145"/>
  <c r="E7" i="145"/>
  <c r="F7" i="145"/>
  <c r="E8" i="145"/>
  <c r="F8" i="145"/>
  <c r="E9" i="145"/>
  <c r="F9" i="145"/>
  <c r="E10" i="145"/>
  <c r="F10" i="145"/>
  <c r="E11" i="145"/>
  <c r="F11" i="145"/>
  <c r="E12" i="145"/>
  <c r="F12" i="145"/>
  <c r="E13" i="145"/>
  <c r="F13" i="145"/>
  <c r="E14" i="145"/>
  <c r="F14" i="145"/>
  <c r="E15" i="145"/>
  <c r="F15" i="145"/>
  <c r="E16" i="145"/>
  <c r="F16" i="145"/>
  <c r="D6" i="145"/>
  <c r="D7" i="145"/>
  <c r="D8" i="145"/>
  <c r="D9" i="145"/>
  <c r="D10" i="145"/>
  <c r="D11" i="145"/>
  <c r="D12" i="145"/>
  <c r="D13" i="145"/>
  <c r="D14" i="145"/>
  <c r="D15" i="145"/>
  <c r="D16" i="145"/>
  <c r="D5" i="145"/>
  <c r="F83" i="137"/>
  <c r="C83" i="137"/>
  <c r="D83" i="137"/>
  <c r="E83" i="137"/>
  <c r="C84" i="137"/>
  <c r="D84" i="137"/>
  <c r="E84" i="137"/>
  <c r="F84" i="137"/>
  <c r="C85" i="137"/>
  <c r="D85" i="137"/>
  <c r="E85" i="137"/>
  <c r="F85" i="137"/>
  <c r="C86" i="137"/>
  <c r="D86" i="137"/>
  <c r="E86" i="137"/>
  <c r="F86" i="137"/>
  <c r="C87" i="137"/>
  <c r="D87" i="137"/>
  <c r="E87" i="137"/>
  <c r="F87" i="137"/>
  <c r="C88" i="137"/>
  <c r="D88" i="137"/>
  <c r="E88" i="137"/>
  <c r="F88" i="137"/>
  <c r="C89" i="137"/>
  <c r="D89" i="137"/>
  <c r="E89" i="137"/>
  <c r="F89" i="137"/>
  <c r="C90" i="137"/>
  <c r="D90" i="137"/>
  <c r="E90" i="137"/>
  <c r="F90" i="137"/>
  <c r="C91" i="137"/>
  <c r="D91" i="137"/>
  <c r="E91" i="137"/>
  <c r="F91" i="137"/>
  <c r="C92" i="137"/>
  <c r="D92" i="137"/>
  <c r="E92" i="137"/>
  <c r="F92" i="137"/>
  <c r="C93" i="137"/>
  <c r="D93" i="137"/>
  <c r="E93" i="137"/>
  <c r="F93" i="137"/>
  <c r="C94" i="137"/>
  <c r="D94" i="137"/>
  <c r="E94" i="137"/>
  <c r="F94" i="137"/>
  <c r="C95" i="137"/>
  <c r="D95" i="137"/>
  <c r="E95" i="137"/>
  <c r="F95" i="137"/>
  <c r="C96" i="137"/>
  <c r="D96" i="137"/>
  <c r="E96" i="137"/>
  <c r="F96" i="137"/>
  <c r="C97" i="137"/>
  <c r="D97" i="137"/>
  <c r="E97" i="137"/>
  <c r="F97" i="137"/>
  <c r="C98" i="137"/>
  <c r="D98" i="137"/>
  <c r="E98" i="137"/>
  <c r="F98" i="137"/>
  <c r="C99" i="137"/>
  <c r="D99" i="137"/>
  <c r="E99" i="137"/>
  <c r="F99" i="137"/>
  <c r="C100" i="137"/>
  <c r="D100" i="137"/>
  <c r="E100" i="137"/>
  <c r="F100" i="137"/>
  <c r="C101" i="137"/>
  <c r="D101" i="137"/>
  <c r="E101" i="137"/>
  <c r="F101" i="137"/>
  <c r="C102" i="137"/>
  <c r="D102" i="137"/>
  <c r="E102" i="137"/>
  <c r="F102" i="137"/>
  <c r="C103" i="137"/>
  <c r="D103" i="137"/>
  <c r="E103" i="137"/>
  <c r="F103" i="137"/>
  <c r="C104" i="137"/>
  <c r="D104" i="137"/>
  <c r="E104" i="137"/>
  <c r="F104" i="137"/>
  <c r="C105" i="137"/>
  <c r="D105" i="137"/>
  <c r="E105" i="137"/>
  <c r="F105" i="137"/>
  <c r="C106" i="137"/>
  <c r="D106" i="137"/>
  <c r="E106" i="137"/>
  <c r="F106" i="137"/>
  <c r="C107" i="137"/>
  <c r="D107" i="137"/>
  <c r="E107" i="137"/>
  <c r="F107" i="137"/>
  <c r="C108" i="137"/>
  <c r="D108" i="137"/>
  <c r="E108" i="137"/>
  <c r="F108" i="137"/>
  <c r="C109" i="137"/>
  <c r="D109" i="137"/>
  <c r="E109" i="137"/>
  <c r="F109" i="137"/>
  <c r="C110" i="137"/>
  <c r="D110" i="137"/>
  <c r="E110" i="137"/>
  <c r="F110" i="137"/>
  <c r="C111" i="137"/>
  <c r="D111" i="137"/>
  <c r="E111" i="137"/>
  <c r="F111" i="137"/>
  <c r="C112" i="137"/>
  <c r="D112" i="137"/>
  <c r="E112" i="137"/>
  <c r="F112" i="137"/>
  <c r="C113" i="137"/>
  <c r="D113" i="137"/>
  <c r="E113" i="137"/>
  <c r="F113" i="137"/>
  <c r="C114" i="137"/>
  <c r="D114" i="137"/>
  <c r="E114" i="137"/>
  <c r="F114" i="137"/>
  <c r="B84" i="137"/>
  <c r="B85" i="137"/>
  <c r="B86" i="137"/>
  <c r="B87" i="137"/>
  <c r="B88" i="137"/>
  <c r="B89" i="137"/>
  <c r="B90" i="137"/>
  <c r="B91" i="137"/>
  <c r="B92" i="137"/>
  <c r="B93" i="137"/>
  <c r="B94" i="137"/>
  <c r="B95" i="137"/>
  <c r="B96" i="137"/>
  <c r="B97" i="137"/>
  <c r="B98" i="137"/>
  <c r="B99" i="137"/>
  <c r="B100" i="137"/>
  <c r="B101" i="137"/>
  <c r="B102" i="137"/>
  <c r="B103" i="137"/>
  <c r="B104" i="137"/>
  <c r="B105" i="137"/>
  <c r="B106" i="137"/>
  <c r="B107" i="137"/>
  <c r="B108" i="137"/>
  <c r="B109" i="137"/>
  <c r="B110" i="137"/>
  <c r="B111" i="137"/>
  <c r="B112" i="137"/>
  <c r="B113" i="137"/>
  <c r="B114" i="137"/>
  <c r="B83" i="137"/>
  <c r="B45" i="137"/>
  <c r="C45" i="137"/>
  <c r="D45" i="137"/>
  <c r="E45" i="137"/>
  <c r="F45" i="137"/>
  <c r="B46" i="137"/>
  <c r="C46" i="137"/>
  <c r="D46" i="137"/>
  <c r="E46" i="137"/>
  <c r="F46" i="137"/>
  <c r="B47" i="137"/>
  <c r="C47" i="137"/>
  <c r="D47" i="137"/>
  <c r="E47" i="137"/>
  <c r="F47" i="137"/>
  <c r="B48" i="137"/>
  <c r="C48" i="137"/>
  <c r="D48" i="137"/>
  <c r="E48" i="137"/>
  <c r="F48" i="137"/>
  <c r="B49" i="137"/>
  <c r="C49" i="137"/>
  <c r="D49" i="137"/>
  <c r="E49" i="137"/>
  <c r="F49" i="137"/>
  <c r="B50" i="137"/>
  <c r="C50" i="137"/>
  <c r="D50" i="137"/>
  <c r="E50" i="137"/>
  <c r="F50" i="137"/>
  <c r="B51" i="137"/>
  <c r="C51" i="137"/>
  <c r="D51" i="137"/>
  <c r="E51" i="137"/>
  <c r="F51" i="137"/>
  <c r="B52" i="137"/>
  <c r="C52" i="137"/>
  <c r="D52" i="137"/>
  <c r="E52" i="137"/>
  <c r="F52" i="137"/>
  <c r="B53" i="137"/>
  <c r="C53" i="137"/>
  <c r="D53" i="137"/>
  <c r="E53" i="137"/>
  <c r="F53" i="137"/>
  <c r="B54" i="137"/>
  <c r="C54" i="137"/>
  <c r="D54" i="137"/>
  <c r="E54" i="137"/>
  <c r="F54" i="137"/>
  <c r="B55" i="137"/>
  <c r="C55" i="137"/>
  <c r="D55" i="137"/>
  <c r="E55" i="137"/>
  <c r="F55" i="137"/>
  <c r="B56" i="137"/>
  <c r="C56" i="137"/>
  <c r="D56" i="137"/>
  <c r="E56" i="137"/>
  <c r="F56" i="137"/>
  <c r="B57" i="137"/>
  <c r="C57" i="137"/>
  <c r="D57" i="137"/>
  <c r="E57" i="137"/>
  <c r="F57" i="137"/>
  <c r="B58" i="137"/>
  <c r="C58" i="137"/>
  <c r="D58" i="137"/>
  <c r="E58" i="137"/>
  <c r="F58" i="137"/>
  <c r="B59" i="137"/>
  <c r="C59" i="137"/>
  <c r="D59" i="137"/>
  <c r="E59" i="137"/>
  <c r="F59" i="137"/>
  <c r="B60" i="137"/>
  <c r="C60" i="137"/>
  <c r="D60" i="137"/>
  <c r="E60" i="137"/>
  <c r="F60" i="137"/>
  <c r="B61" i="137"/>
  <c r="C61" i="137"/>
  <c r="D61" i="137"/>
  <c r="E61" i="137"/>
  <c r="F61" i="137"/>
  <c r="B62" i="137"/>
  <c r="C62" i="137"/>
  <c r="D62" i="137"/>
  <c r="E62" i="137"/>
  <c r="F62" i="137"/>
  <c r="B63" i="137"/>
  <c r="C63" i="137"/>
  <c r="D63" i="137"/>
  <c r="E63" i="137"/>
  <c r="F63" i="137"/>
  <c r="B64" i="137"/>
  <c r="C64" i="137"/>
  <c r="D64" i="137"/>
  <c r="E64" i="137"/>
  <c r="F64" i="137"/>
  <c r="B65" i="137"/>
  <c r="C65" i="137"/>
  <c r="D65" i="137"/>
  <c r="E65" i="137"/>
  <c r="F65" i="137"/>
  <c r="B66" i="137"/>
  <c r="C66" i="137"/>
  <c r="D66" i="137"/>
  <c r="E66" i="137"/>
  <c r="F66" i="137"/>
  <c r="B67" i="137"/>
  <c r="C67" i="137"/>
  <c r="D67" i="137"/>
  <c r="E67" i="137"/>
  <c r="F67" i="137"/>
  <c r="B68" i="137"/>
  <c r="C68" i="137"/>
  <c r="D68" i="137"/>
  <c r="E68" i="137"/>
  <c r="F68" i="137"/>
  <c r="B69" i="137"/>
  <c r="C69" i="137"/>
  <c r="D69" i="137"/>
  <c r="E69" i="137"/>
  <c r="F69" i="137"/>
  <c r="B70" i="137"/>
  <c r="C70" i="137"/>
  <c r="D70" i="137"/>
  <c r="E70" i="137"/>
  <c r="F70" i="137"/>
  <c r="B71" i="137"/>
  <c r="C71" i="137"/>
  <c r="D71" i="137"/>
  <c r="E71" i="137"/>
  <c r="F71" i="137"/>
  <c r="B72" i="137"/>
  <c r="C72" i="137"/>
  <c r="D72" i="137"/>
  <c r="E72" i="137"/>
  <c r="F72" i="137"/>
  <c r="B73" i="137"/>
  <c r="C73" i="137"/>
  <c r="D73" i="137"/>
  <c r="E73" i="137"/>
  <c r="F73" i="137"/>
  <c r="B74" i="137"/>
  <c r="C74" i="137"/>
  <c r="D74" i="137"/>
  <c r="E74" i="137"/>
  <c r="F74" i="137"/>
  <c r="B75" i="137"/>
  <c r="C75" i="137"/>
  <c r="D75" i="137"/>
  <c r="E75" i="137"/>
  <c r="F75" i="137"/>
  <c r="C44" i="137"/>
  <c r="D44" i="137"/>
  <c r="E44" i="137"/>
  <c r="F44" i="137"/>
  <c r="B44" i="137"/>
  <c r="C5" i="137"/>
  <c r="D5" i="137"/>
  <c r="E5" i="137"/>
  <c r="F5" i="137"/>
  <c r="C6" i="137"/>
  <c r="D6" i="137"/>
  <c r="E6" i="137"/>
  <c r="F6" i="137"/>
  <c r="C7" i="137"/>
  <c r="D7" i="137"/>
  <c r="E7" i="137"/>
  <c r="F7" i="137"/>
  <c r="C8" i="137"/>
  <c r="D8" i="137"/>
  <c r="E8" i="137"/>
  <c r="F8" i="137"/>
  <c r="C9" i="137"/>
  <c r="D9" i="137"/>
  <c r="E9" i="137"/>
  <c r="F9" i="137"/>
  <c r="C10" i="137"/>
  <c r="D10" i="137"/>
  <c r="E10" i="137"/>
  <c r="F10" i="137"/>
  <c r="C11" i="137"/>
  <c r="D11" i="137"/>
  <c r="E11" i="137"/>
  <c r="F11" i="137"/>
  <c r="C12" i="137"/>
  <c r="D12" i="137"/>
  <c r="E12" i="137"/>
  <c r="F12" i="137"/>
  <c r="C13" i="137"/>
  <c r="D13" i="137"/>
  <c r="E13" i="137"/>
  <c r="F13" i="137"/>
  <c r="C14" i="137"/>
  <c r="D14" i="137"/>
  <c r="E14" i="137"/>
  <c r="F14" i="137"/>
  <c r="C15" i="137"/>
  <c r="D15" i="137"/>
  <c r="E15" i="137"/>
  <c r="F15" i="137"/>
  <c r="C16" i="137"/>
  <c r="D16" i="137"/>
  <c r="E16" i="137"/>
  <c r="F16" i="137"/>
  <c r="C17" i="137"/>
  <c r="D17" i="137"/>
  <c r="E17" i="137"/>
  <c r="F17" i="137"/>
  <c r="C18" i="137"/>
  <c r="D18" i="137"/>
  <c r="E18" i="137"/>
  <c r="F18" i="137"/>
  <c r="C19" i="137"/>
  <c r="D19" i="137"/>
  <c r="E19" i="137"/>
  <c r="F19" i="137"/>
  <c r="C20" i="137"/>
  <c r="D20" i="137"/>
  <c r="E20" i="137"/>
  <c r="F20" i="137"/>
  <c r="C21" i="137"/>
  <c r="D21" i="137"/>
  <c r="E21" i="137"/>
  <c r="F21" i="137"/>
  <c r="C22" i="137"/>
  <c r="D22" i="137"/>
  <c r="E22" i="137"/>
  <c r="F22" i="137"/>
  <c r="C23" i="137"/>
  <c r="D23" i="137"/>
  <c r="E23" i="137"/>
  <c r="F23" i="137"/>
  <c r="C24" i="137"/>
  <c r="D24" i="137"/>
  <c r="E24" i="137"/>
  <c r="F24" i="137"/>
  <c r="C25" i="137"/>
  <c r="D25" i="137"/>
  <c r="E25" i="137"/>
  <c r="F25" i="137"/>
  <c r="C26" i="137"/>
  <c r="D26" i="137"/>
  <c r="E26" i="137"/>
  <c r="F26" i="137"/>
  <c r="C27" i="137"/>
  <c r="D27" i="137"/>
  <c r="E27" i="137"/>
  <c r="F27" i="137"/>
  <c r="C28" i="137"/>
  <c r="D28" i="137"/>
  <c r="E28" i="137"/>
  <c r="F28" i="137"/>
  <c r="C29" i="137"/>
  <c r="D29" i="137"/>
  <c r="E29" i="137"/>
  <c r="F29" i="137"/>
  <c r="C30" i="137"/>
  <c r="D30" i="137"/>
  <c r="E30" i="137"/>
  <c r="F30" i="137"/>
  <c r="C31" i="137"/>
  <c r="D31" i="137"/>
  <c r="E31" i="137"/>
  <c r="F31" i="137"/>
  <c r="C32" i="137"/>
  <c r="D32" i="137"/>
  <c r="E32" i="137"/>
  <c r="F32" i="137"/>
  <c r="C33" i="137"/>
  <c r="D33" i="137"/>
  <c r="E33" i="137"/>
  <c r="F33" i="137"/>
  <c r="C34" i="137"/>
  <c r="D34" i="137"/>
  <c r="E34" i="137"/>
  <c r="F34" i="137"/>
  <c r="C35" i="137"/>
  <c r="D35" i="137"/>
  <c r="E35" i="137"/>
  <c r="F35" i="137"/>
  <c r="C36" i="137"/>
  <c r="D36" i="137"/>
  <c r="E36" i="137"/>
  <c r="F36" i="137"/>
  <c r="B6" i="137"/>
  <c r="B7" i="137"/>
  <c r="B8" i="137"/>
  <c r="B9" i="137"/>
  <c r="B10" i="137"/>
  <c r="B11" i="137"/>
  <c r="B12" i="137"/>
  <c r="B13" i="137"/>
  <c r="B14" i="137"/>
  <c r="B15" i="137"/>
  <c r="B16" i="137"/>
  <c r="B17" i="137"/>
  <c r="B18" i="137"/>
  <c r="B19" i="137"/>
  <c r="B20" i="137"/>
  <c r="B21" i="137"/>
  <c r="B22" i="137"/>
  <c r="B23" i="137"/>
  <c r="B24" i="137"/>
  <c r="B25" i="137"/>
  <c r="B26" i="137"/>
  <c r="B27" i="137"/>
  <c r="B28" i="137"/>
  <c r="B29" i="137"/>
  <c r="B30" i="137"/>
  <c r="B31" i="137"/>
  <c r="B32" i="137"/>
  <c r="B33" i="137"/>
  <c r="B34" i="137"/>
  <c r="B35" i="137"/>
  <c r="B36" i="137"/>
  <c r="B5" i="137"/>
  <c r="C43" i="135"/>
  <c r="D43" i="135"/>
  <c r="E43" i="135"/>
  <c r="F43" i="135"/>
  <c r="C44" i="135"/>
  <c r="D44" i="135"/>
  <c r="E44" i="135"/>
  <c r="F44" i="135"/>
  <c r="C45" i="135"/>
  <c r="D45" i="135"/>
  <c r="E45" i="135"/>
  <c r="F45" i="135"/>
  <c r="B44" i="135"/>
  <c r="B45" i="135"/>
  <c r="B43" i="135"/>
  <c r="C28" i="135"/>
  <c r="D28" i="135"/>
  <c r="E28" i="135"/>
  <c r="F28" i="135"/>
  <c r="C29" i="135"/>
  <c r="D29" i="135"/>
  <c r="E29" i="135"/>
  <c r="F29" i="135"/>
  <c r="C30" i="135"/>
  <c r="D30" i="135"/>
  <c r="E30" i="135"/>
  <c r="F30" i="135"/>
  <c r="B29" i="135"/>
  <c r="B30" i="135"/>
  <c r="B28" i="135"/>
  <c r="C13" i="135"/>
  <c r="D13" i="135"/>
  <c r="E13" i="135"/>
  <c r="F13" i="135"/>
  <c r="C14" i="135"/>
  <c r="D14" i="135"/>
  <c r="E14" i="135"/>
  <c r="F14" i="135"/>
  <c r="C15" i="135"/>
  <c r="D15" i="135"/>
  <c r="E15" i="135"/>
  <c r="F15" i="135"/>
  <c r="B14" i="135"/>
  <c r="B15" i="135"/>
  <c r="B13" i="135"/>
  <c r="C26" i="134"/>
  <c r="D26" i="134"/>
  <c r="E26" i="134"/>
  <c r="F26" i="134"/>
  <c r="C27" i="134"/>
  <c r="D27" i="134"/>
  <c r="E27" i="134"/>
  <c r="F27" i="134"/>
  <c r="C28" i="134"/>
  <c r="D28" i="134"/>
  <c r="E28" i="134"/>
  <c r="F28" i="134"/>
  <c r="B27" i="134"/>
  <c r="B28" i="134"/>
  <c r="B26" i="134"/>
  <c r="H11" i="134"/>
  <c r="H12" i="134"/>
  <c r="H10" i="134"/>
  <c r="F11" i="134"/>
  <c r="F12" i="134"/>
  <c r="F10" i="134"/>
  <c r="C11" i="134"/>
  <c r="C12" i="134"/>
  <c r="C10" i="134"/>
  <c r="A101" i="208"/>
  <c r="B101" i="208"/>
  <c r="C101" i="208"/>
  <c r="D101" i="208"/>
  <c r="E101" i="208"/>
  <c r="F101" i="208"/>
  <c r="G101" i="208"/>
  <c r="H101" i="208"/>
  <c r="I101" i="208"/>
  <c r="J101" i="208"/>
  <c r="K101" i="208"/>
  <c r="L101" i="208"/>
  <c r="A102" i="208"/>
  <c r="B102" i="208"/>
  <c r="C102" i="208"/>
  <c r="D102" i="208"/>
  <c r="E102" i="208"/>
  <c r="F102" i="208"/>
  <c r="G102" i="208"/>
  <c r="H102" i="208"/>
  <c r="I102" i="208"/>
  <c r="J102" i="208"/>
  <c r="K102" i="208"/>
  <c r="L102" i="208"/>
  <c r="A103" i="208"/>
  <c r="B103" i="208"/>
  <c r="C103" i="208"/>
  <c r="D103" i="208"/>
  <c r="E103" i="208"/>
  <c r="F103" i="208"/>
  <c r="G103" i="208"/>
  <c r="H103" i="208"/>
  <c r="I103" i="208"/>
  <c r="J103" i="208"/>
  <c r="K103" i="208"/>
  <c r="L103" i="208"/>
  <c r="A104" i="208"/>
  <c r="B104" i="208"/>
  <c r="C104" i="208"/>
  <c r="D104" i="208"/>
  <c r="E104" i="208"/>
  <c r="F104" i="208"/>
  <c r="G104" i="208"/>
  <c r="H104" i="208"/>
  <c r="I104" i="208"/>
  <c r="J104" i="208"/>
  <c r="K104" i="208"/>
  <c r="L104" i="208"/>
  <c r="A105" i="208"/>
  <c r="B105" i="208"/>
  <c r="C105" i="208"/>
  <c r="D105" i="208"/>
  <c r="E105" i="208"/>
  <c r="F105" i="208"/>
  <c r="G105" i="208"/>
  <c r="H105" i="208"/>
  <c r="I105" i="208"/>
  <c r="J105" i="208"/>
  <c r="K105" i="208"/>
  <c r="L105" i="208"/>
  <c r="A106" i="208"/>
  <c r="B106" i="208"/>
  <c r="C106" i="208"/>
  <c r="D106" i="208"/>
  <c r="E106" i="208"/>
  <c r="F106" i="208"/>
  <c r="G106" i="208"/>
  <c r="H106" i="208"/>
  <c r="I106" i="208"/>
  <c r="J106" i="208"/>
  <c r="K106" i="208"/>
  <c r="L106" i="208"/>
  <c r="A107" i="208"/>
  <c r="B107" i="208"/>
  <c r="C107" i="208"/>
  <c r="D107" i="208"/>
  <c r="E107" i="208"/>
  <c r="F107" i="208"/>
  <c r="G107" i="208"/>
  <c r="H107" i="208"/>
  <c r="I107" i="208"/>
  <c r="J107" i="208"/>
  <c r="K107" i="208"/>
  <c r="L107" i="208"/>
  <c r="A108" i="208"/>
  <c r="B108" i="208"/>
  <c r="C108" i="208"/>
  <c r="D108" i="208"/>
  <c r="E108" i="208"/>
  <c r="F108" i="208"/>
  <c r="G108" i="208"/>
  <c r="H108" i="208"/>
  <c r="I108" i="208"/>
  <c r="J108" i="208"/>
  <c r="K108" i="208"/>
  <c r="L108" i="208"/>
  <c r="A109" i="208"/>
  <c r="B109" i="208"/>
  <c r="C109" i="208"/>
  <c r="D109" i="208"/>
  <c r="E109" i="208"/>
  <c r="F109" i="208"/>
  <c r="G109" i="208"/>
  <c r="H109" i="208"/>
  <c r="I109" i="208"/>
  <c r="J109" i="208"/>
  <c r="K109" i="208"/>
  <c r="L109" i="208"/>
  <c r="A110" i="208"/>
  <c r="B110" i="208"/>
  <c r="C110" i="208"/>
  <c r="D110" i="208"/>
  <c r="E110" i="208"/>
  <c r="F110" i="208"/>
  <c r="G110" i="208"/>
  <c r="H110" i="208"/>
  <c r="I110" i="208"/>
  <c r="J110" i="208"/>
  <c r="K110" i="208"/>
  <c r="L110" i="208"/>
  <c r="A111" i="208"/>
  <c r="B111" i="208"/>
  <c r="C111" i="208"/>
  <c r="D111" i="208"/>
  <c r="E111" i="208"/>
  <c r="F111" i="208"/>
  <c r="G111" i="208"/>
  <c r="H111" i="208"/>
  <c r="I111" i="208"/>
  <c r="J111" i="208"/>
  <c r="K111" i="208"/>
  <c r="L111" i="208"/>
  <c r="A112" i="208"/>
  <c r="B112" i="208"/>
  <c r="C112" i="208"/>
  <c r="D112" i="208"/>
  <c r="E112" i="208"/>
  <c r="F112" i="208"/>
  <c r="G112" i="208"/>
  <c r="H112" i="208"/>
  <c r="I112" i="208"/>
  <c r="J112" i="208"/>
  <c r="K112" i="208"/>
  <c r="L112" i="208"/>
  <c r="J100" i="208"/>
  <c r="K100" i="208"/>
  <c r="L100" i="208"/>
  <c r="H100" i="208"/>
  <c r="I100" i="208"/>
  <c r="B100" i="208"/>
  <c r="C100" i="208"/>
  <c r="D100" i="208"/>
  <c r="E100" i="208"/>
  <c r="F100" i="208"/>
  <c r="G100" i="208"/>
  <c r="A100" i="208"/>
  <c r="A41" i="208"/>
  <c r="B41" i="208"/>
  <c r="C41" i="208"/>
  <c r="D41" i="208"/>
  <c r="E41" i="208"/>
  <c r="F41" i="208"/>
  <c r="G41" i="208"/>
  <c r="H41" i="208"/>
  <c r="I41" i="208"/>
  <c r="A42" i="208"/>
  <c r="B42" i="208"/>
  <c r="C42" i="208"/>
  <c r="D42" i="208"/>
  <c r="E42" i="208"/>
  <c r="F42" i="208"/>
  <c r="G42" i="208"/>
  <c r="H42" i="208"/>
  <c r="I42" i="208"/>
  <c r="A43" i="208"/>
  <c r="B43" i="208"/>
  <c r="C43" i="208"/>
  <c r="D43" i="208"/>
  <c r="E43" i="208"/>
  <c r="F43" i="208"/>
  <c r="G43" i="208"/>
  <c r="H43" i="208"/>
  <c r="I43" i="208"/>
  <c r="A44" i="208"/>
  <c r="B44" i="208"/>
  <c r="C44" i="208"/>
  <c r="D44" i="208"/>
  <c r="E44" i="208"/>
  <c r="F44" i="208"/>
  <c r="G44" i="208"/>
  <c r="H44" i="208"/>
  <c r="I44" i="208"/>
  <c r="A45" i="208"/>
  <c r="B45" i="208"/>
  <c r="C45" i="208"/>
  <c r="D45" i="208"/>
  <c r="E45" i="208"/>
  <c r="F45" i="208"/>
  <c r="G45" i="208"/>
  <c r="H45" i="208"/>
  <c r="I45" i="208"/>
  <c r="A46" i="208"/>
  <c r="B46" i="208"/>
  <c r="C46" i="208"/>
  <c r="D46" i="208"/>
  <c r="E46" i="208"/>
  <c r="F46" i="208"/>
  <c r="G46" i="208"/>
  <c r="H46" i="208"/>
  <c r="I46" i="208"/>
  <c r="A47" i="208"/>
  <c r="B47" i="208"/>
  <c r="C47" i="208"/>
  <c r="D47" i="208"/>
  <c r="E47" i="208"/>
  <c r="F47" i="208"/>
  <c r="G47" i="208"/>
  <c r="H47" i="208"/>
  <c r="I47" i="208"/>
  <c r="A48" i="208"/>
  <c r="B48" i="208"/>
  <c r="C48" i="208"/>
  <c r="D48" i="208"/>
  <c r="E48" i="208"/>
  <c r="F48" i="208"/>
  <c r="G48" i="208"/>
  <c r="H48" i="208"/>
  <c r="I48" i="208"/>
  <c r="A49" i="208"/>
  <c r="B49" i="208"/>
  <c r="C49" i="208"/>
  <c r="D49" i="208"/>
  <c r="E49" i="208"/>
  <c r="F49" i="208"/>
  <c r="G49" i="208"/>
  <c r="H49" i="208"/>
  <c r="I49" i="208"/>
  <c r="A50" i="208"/>
  <c r="B50" i="208"/>
  <c r="C50" i="208"/>
  <c r="D50" i="208"/>
  <c r="E50" i="208"/>
  <c r="F50" i="208"/>
  <c r="G50" i="208"/>
  <c r="H50" i="208"/>
  <c r="I50" i="208"/>
  <c r="A51" i="208"/>
  <c r="B51" i="208"/>
  <c r="C51" i="208"/>
  <c r="D51" i="208"/>
  <c r="E51" i="208"/>
  <c r="F51" i="208"/>
  <c r="G51" i="208"/>
  <c r="H51" i="208"/>
  <c r="I51" i="208"/>
  <c r="A52" i="208"/>
  <c r="B52" i="208"/>
  <c r="C52" i="208"/>
  <c r="D52" i="208"/>
  <c r="E52" i="208"/>
  <c r="F52" i="208"/>
  <c r="G52" i="208"/>
  <c r="H52" i="208"/>
  <c r="I52" i="208"/>
  <c r="A53" i="208"/>
  <c r="B53" i="208"/>
  <c r="C53" i="208"/>
  <c r="D53" i="208"/>
  <c r="E53" i="208"/>
  <c r="F53" i="208"/>
  <c r="G53" i="208"/>
  <c r="H53" i="208"/>
  <c r="I53" i="208"/>
  <c r="A54" i="208"/>
  <c r="B54" i="208"/>
  <c r="C54" i="208"/>
  <c r="D54" i="208"/>
  <c r="E54" i="208"/>
  <c r="F54" i="208"/>
  <c r="G54" i="208"/>
  <c r="H54" i="208"/>
  <c r="I54" i="208"/>
  <c r="A55" i="208"/>
  <c r="B55" i="208"/>
  <c r="C55" i="208"/>
  <c r="D55" i="208"/>
  <c r="E55" i="208"/>
  <c r="F55" i="208"/>
  <c r="G55" i="208"/>
  <c r="H55" i="208"/>
  <c r="I55" i="208"/>
  <c r="A56" i="208"/>
  <c r="B56" i="208"/>
  <c r="C56" i="208"/>
  <c r="D56" i="208"/>
  <c r="E56" i="208"/>
  <c r="F56" i="208"/>
  <c r="G56" i="208"/>
  <c r="H56" i="208"/>
  <c r="I56" i="208"/>
  <c r="A57" i="208"/>
  <c r="B57" i="208"/>
  <c r="C57" i="208"/>
  <c r="D57" i="208"/>
  <c r="E57" i="208"/>
  <c r="F57" i="208"/>
  <c r="G57" i="208"/>
  <c r="H57" i="208"/>
  <c r="I57" i="208"/>
  <c r="A58" i="208"/>
  <c r="B58" i="208"/>
  <c r="C58" i="208"/>
  <c r="D58" i="208"/>
  <c r="E58" i="208"/>
  <c r="F58" i="208"/>
  <c r="G58" i="208"/>
  <c r="H58" i="208"/>
  <c r="I58" i="208"/>
  <c r="A59" i="208"/>
  <c r="B59" i="208"/>
  <c r="C59" i="208"/>
  <c r="D59" i="208"/>
  <c r="E59" i="208"/>
  <c r="F59" i="208"/>
  <c r="G59" i="208"/>
  <c r="H59" i="208"/>
  <c r="I59" i="208"/>
  <c r="A60" i="208"/>
  <c r="B60" i="208"/>
  <c r="C60" i="208"/>
  <c r="D60" i="208"/>
  <c r="E60" i="208"/>
  <c r="F60" i="208"/>
  <c r="G60" i="208"/>
  <c r="H60" i="208"/>
  <c r="I60" i="208"/>
  <c r="A61" i="208"/>
  <c r="B61" i="208"/>
  <c r="C61" i="208"/>
  <c r="D61" i="208"/>
  <c r="E61" i="208"/>
  <c r="F61" i="208"/>
  <c r="G61" i="208"/>
  <c r="H61" i="208"/>
  <c r="I61" i="208"/>
  <c r="A62" i="208"/>
  <c r="B62" i="208"/>
  <c r="C62" i="208"/>
  <c r="D62" i="208"/>
  <c r="E62" i="208"/>
  <c r="F62" i="208"/>
  <c r="G62" i="208"/>
  <c r="H62" i="208"/>
  <c r="I62" i="208"/>
  <c r="A63" i="208"/>
  <c r="B63" i="208"/>
  <c r="C63" i="208"/>
  <c r="D63" i="208"/>
  <c r="E63" i="208"/>
  <c r="F63" i="208"/>
  <c r="G63" i="208"/>
  <c r="H63" i="208"/>
  <c r="I63" i="208"/>
  <c r="A64" i="208"/>
  <c r="B64" i="208"/>
  <c r="C64" i="208"/>
  <c r="D64" i="208"/>
  <c r="E64" i="208"/>
  <c r="F64" i="208"/>
  <c r="G64" i="208"/>
  <c r="H64" i="208"/>
  <c r="I64" i="208"/>
  <c r="A65" i="208"/>
  <c r="B65" i="208"/>
  <c r="C65" i="208"/>
  <c r="D65" i="208"/>
  <c r="E65" i="208"/>
  <c r="F65" i="208"/>
  <c r="G65" i="208"/>
  <c r="H65" i="208"/>
  <c r="I65" i="208"/>
  <c r="A66" i="208"/>
  <c r="B66" i="208"/>
  <c r="C66" i="208"/>
  <c r="D66" i="208"/>
  <c r="E66" i="208"/>
  <c r="F66" i="208"/>
  <c r="G66" i="208"/>
  <c r="H66" i="208"/>
  <c r="I66" i="208"/>
  <c r="A67" i="208"/>
  <c r="B67" i="208"/>
  <c r="C67" i="208"/>
  <c r="D67" i="208"/>
  <c r="E67" i="208"/>
  <c r="F67" i="208"/>
  <c r="G67" i="208"/>
  <c r="H67" i="208"/>
  <c r="I67" i="208"/>
  <c r="A68" i="208"/>
  <c r="B68" i="208"/>
  <c r="C68" i="208"/>
  <c r="D68" i="208"/>
  <c r="E68" i="208"/>
  <c r="F68" i="208"/>
  <c r="G68" i="208"/>
  <c r="H68" i="208"/>
  <c r="I68" i="208"/>
  <c r="A69" i="208"/>
  <c r="B69" i="208"/>
  <c r="C69" i="208"/>
  <c r="D69" i="208"/>
  <c r="E69" i="208"/>
  <c r="F69" i="208"/>
  <c r="G69" i="208"/>
  <c r="H69" i="208"/>
  <c r="I69" i="208"/>
  <c r="A70" i="208"/>
  <c r="B70" i="208"/>
  <c r="C70" i="208"/>
  <c r="D70" i="208"/>
  <c r="E70" i="208"/>
  <c r="F70" i="208"/>
  <c r="G70" i="208"/>
  <c r="H70" i="208"/>
  <c r="I70" i="208"/>
  <c r="A71" i="208"/>
  <c r="B71" i="208"/>
  <c r="C71" i="208"/>
  <c r="D71" i="208"/>
  <c r="E71" i="208"/>
  <c r="F71" i="208"/>
  <c r="G71" i="208"/>
  <c r="H71" i="208"/>
  <c r="I71" i="208"/>
  <c r="A72" i="208"/>
  <c r="B72" i="208"/>
  <c r="C72" i="208"/>
  <c r="D72" i="208"/>
  <c r="E72" i="208"/>
  <c r="F72" i="208"/>
  <c r="G72" i="208"/>
  <c r="H72" i="208"/>
  <c r="I72" i="208"/>
  <c r="I40" i="208"/>
  <c r="B40" i="208"/>
  <c r="C40" i="208"/>
  <c r="D40" i="208"/>
  <c r="E40" i="208"/>
  <c r="F40" i="208"/>
  <c r="G40" i="208"/>
  <c r="H40" i="208"/>
  <c r="A40" i="208"/>
  <c r="A20" i="208"/>
  <c r="A21" i="208"/>
  <c r="A19" i="208"/>
  <c r="F20" i="208"/>
  <c r="G20" i="208"/>
  <c r="H20" i="208"/>
  <c r="I20" i="208"/>
  <c r="F21" i="208"/>
  <c r="G21" i="208"/>
  <c r="H21" i="208"/>
  <c r="I21" i="208"/>
  <c r="G19" i="208"/>
  <c r="H19" i="208"/>
  <c r="I19" i="208"/>
  <c r="F19" i="208"/>
  <c r="A5" i="208"/>
  <c r="B5" i="208"/>
  <c r="C5" i="208"/>
  <c r="D5" i="208"/>
  <c r="E5" i="208"/>
  <c r="G5" i="208"/>
  <c r="H5" i="208"/>
  <c r="I5" i="208"/>
  <c r="J5" i="208"/>
  <c r="A6" i="208"/>
  <c r="B6" i="208"/>
  <c r="C6" i="208"/>
  <c r="D6" i="208"/>
  <c r="E6" i="208"/>
  <c r="G6" i="208"/>
  <c r="H6" i="208"/>
  <c r="I6" i="208"/>
  <c r="J6" i="208"/>
  <c r="A7" i="208"/>
  <c r="B7" i="208"/>
  <c r="C7" i="208"/>
  <c r="D7" i="208"/>
  <c r="E7" i="208"/>
  <c r="G7" i="208"/>
  <c r="H7" i="208"/>
  <c r="I7" i="208"/>
  <c r="J7" i="208"/>
  <c r="A8" i="208"/>
  <c r="B8" i="208"/>
  <c r="C8" i="208"/>
  <c r="D8" i="208"/>
  <c r="E8" i="208"/>
  <c r="G8" i="208"/>
  <c r="H8" i="208"/>
  <c r="I8" i="208"/>
  <c r="J8" i="208"/>
  <c r="A9" i="208"/>
  <c r="B9" i="208"/>
  <c r="C9" i="208"/>
  <c r="D9" i="208"/>
  <c r="E9" i="208"/>
  <c r="G9" i="208"/>
  <c r="H9" i="208"/>
  <c r="I9" i="208"/>
  <c r="J9" i="208"/>
  <c r="A10" i="208"/>
  <c r="B10" i="208"/>
  <c r="C10" i="208"/>
  <c r="D10" i="208"/>
  <c r="E10" i="208"/>
  <c r="G10" i="208"/>
  <c r="H10" i="208"/>
  <c r="I10" i="208"/>
  <c r="J10" i="208"/>
  <c r="A11" i="208"/>
  <c r="B11" i="208"/>
  <c r="C11" i="208"/>
  <c r="D11" i="208"/>
  <c r="E11" i="208"/>
  <c r="G11" i="208"/>
  <c r="H11" i="208"/>
  <c r="I11" i="208"/>
  <c r="J11" i="208"/>
  <c r="A12" i="208"/>
  <c r="B12" i="208"/>
  <c r="C12" i="208"/>
  <c r="D12" i="208"/>
  <c r="E12" i="208"/>
  <c r="G12" i="208"/>
  <c r="H12" i="208"/>
  <c r="I12" i="208"/>
  <c r="J12" i="208"/>
  <c r="A13" i="208"/>
  <c r="B13" i="208"/>
  <c r="C13" i="208"/>
  <c r="D13" i="208"/>
  <c r="E13" i="208"/>
  <c r="G13" i="208"/>
  <c r="H13" i="208"/>
  <c r="I13" i="208"/>
  <c r="J13" i="208"/>
  <c r="A14" i="208"/>
  <c r="B14" i="208"/>
  <c r="C14" i="208"/>
  <c r="D14" i="208"/>
  <c r="E14" i="208"/>
  <c r="G14" i="208"/>
  <c r="H14" i="208"/>
  <c r="I14" i="208"/>
  <c r="J14" i="208"/>
  <c r="A15" i="208"/>
  <c r="B15" i="208"/>
  <c r="C15" i="208"/>
  <c r="D15" i="208"/>
  <c r="E15" i="208"/>
  <c r="G15" i="208"/>
  <c r="H15" i="208"/>
  <c r="I15" i="208"/>
  <c r="J15" i="208"/>
  <c r="A16" i="208"/>
  <c r="B16" i="208"/>
  <c r="C16" i="208"/>
  <c r="D16" i="208"/>
  <c r="E16" i="208"/>
  <c r="G16" i="208"/>
  <c r="H16" i="208"/>
  <c r="I16" i="208"/>
  <c r="J16" i="208"/>
  <c r="A17" i="208"/>
  <c r="B17" i="208"/>
  <c r="C17" i="208"/>
  <c r="D17" i="208"/>
  <c r="E17" i="208"/>
  <c r="G17" i="208"/>
  <c r="H17" i="208"/>
  <c r="I17" i="208"/>
  <c r="J17" i="208"/>
  <c r="A18" i="208"/>
  <c r="B18" i="208"/>
  <c r="C18" i="208"/>
  <c r="D18" i="208"/>
  <c r="E18" i="208"/>
  <c r="G18" i="208"/>
  <c r="H18" i="208"/>
  <c r="I18" i="208"/>
  <c r="J18" i="208"/>
  <c r="B4" i="208"/>
  <c r="C4" i="208"/>
  <c r="D4" i="208"/>
  <c r="E4" i="208"/>
  <c r="G4" i="208"/>
  <c r="H4" i="208"/>
  <c r="I4" i="208"/>
  <c r="J4" i="208"/>
  <c r="A4" i="208"/>
  <c r="B15" i="132"/>
  <c r="B28" i="132"/>
  <c r="B29" i="132"/>
  <c r="B30" i="132"/>
  <c r="B31" i="132"/>
  <c r="B33" i="132"/>
  <c r="C28" i="132"/>
  <c r="C5" i="132"/>
  <c r="D5" i="132"/>
  <c r="C6" i="132"/>
  <c r="D6" i="132"/>
  <c r="E6" i="132"/>
  <c r="C7" i="132"/>
  <c r="D7" i="132"/>
  <c r="E7" i="132"/>
  <c r="C8" i="132"/>
  <c r="D8" i="132"/>
  <c r="C9" i="132"/>
  <c r="D9" i="132"/>
  <c r="C10" i="132"/>
  <c r="D10" i="132"/>
  <c r="E10" i="132"/>
  <c r="C11" i="132"/>
  <c r="D11" i="132"/>
  <c r="E11" i="132"/>
  <c r="C12" i="132"/>
  <c r="D12" i="132"/>
  <c r="E12" i="132"/>
  <c r="B6" i="132"/>
  <c r="B7" i="132"/>
  <c r="B8" i="132"/>
  <c r="B9" i="132"/>
  <c r="B10" i="132"/>
  <c r="B12" i="132"/>
  <c r="B5" i="132"/>
  <c r="Y15" i="146" l="1"/>
  <c r="AD6" i="221"/>
  <c r="AD7" i="221" s="1"/>
  <c r="Z6" i="221"/>
  <c r="Z7" i="221" s="1"/>
  <c r="V6" i="221"/>
  <c r="V7" i="221" s="1"/>
  <c r="R6" i="221"/>
  <c r="R7" i="221" s="1"/>
  <c r="N6" i="221"/>
  <c r="N7" i="221" s="1"/>
  <c r="J6" i="221"/>
  <c r="J7" i="221" s="1"/>
  <c r="AD8" i="221"/>
  <c r="AD9" i="221" s="1"/>
  <c r="Z8" i="221"/>
  <c r="Z9" i="221" s="1"/>
  <c r="V8" i="221"/>
  <c r="V9" i="221" s="1"/>
  <c r="R8" i="221"/>
  <c r="R9" i="221" s="1"/>
  <c r="N8" i="221"/>
  <c r="N9" i="221" s="1"/>
  <c r="J8" i="221"/>
  <c r="J9" i="221" s="1"/>
  <c r="F41" i="134"/>
  <c r="F40" i="134"/>
  <c r="AE6" i="221"/>
  <c r="AE7" i="221" s="1"/>
  <c r="AA6" i="221"/>
  <c r="AA7" i="221" s="1"/>
  <c r="W6" i="221"/>
  <c r="W7" i="221" s="1"/>
  <c r="S6" i="221"/>
  <c r="S7" i="221" s="1"/>
  <c r="O6" i="221"/>
  <c r="O7" i="221" s="1"/>
  <c r="K6" i="221"/>
  <c r="K7" i="221" s="1"/>
  <c r="AE8" i="221"/>
  <c r="AE9" i="221" s="1"/>
  <c r="AA8" i="221"/>
  <c r="AA9" i="221" s="1"/>
  <c r="W8" i="221"/>
  <c r="W9" i="221" s="1"/>
  <c r="S8" i="221"/>
  <c r="S9" i="221" s="1"/>
  <c r="O8" i="221"/>
  <c r="O9" i="221" s="1"/>
  <c r="K8" i="221"/>
  <c r="K9" i="221" s="1"/>
  <c r="G31" i="139"/>
  <c r="AF6" i="221"/>
  <c r="AF7" i="221" s="1"/>
  <c r="AB6" i="221"/>
  <c r="AB7" i="221" s="1"/>
  <c r="X6" i="221"/>
  <c r="X7" i="221" s="1"/>
  <c r="T6" i="221"/>
  <c r="T7" i="221" s="1"/>
  <c r="P6" i="221"/>
  <c r="P7" i="221" s="1"/>
  <c r="L6" i="221"/>
  <c r="L7" i="221" s="1"/>
  <c r="AF8" i="221"/>
  <c r="AF9" i="221" s="1"/>
  <c r="AB8" i="221"/>
  <c r="AB9" i="221" s="1"/>
  <c r="X8" i="221"/>
  <c r="X9" i="221" s="1"/>
  <c r="T8" i="221"/>
  <c r="T9" i="221" s="1"/>
  <c r="P8" i="221"/>
  <c r="P9" i="221" s="1"/>
  <c r="L8" i="221"/>
  <c r="L9" i="221" s="1"/>
  <c r="I6" i="221"/>
  <c r="I7" i="221" s="1"/>
  <c r="AC6" i="221"/>
  <c r="AC7" i="221" s="1"/>
  <c r="Y6" i="221"/>
  <c r="Y7" i="221" s="1"/>
  <c r="U6" i="221"/>
  <c r="U7" i="221" s="1"/>
  <c r="Q6" i="221"/>
  <c r="Q7" i="221" s="1"/>
  <c r="M6" i="221"/>
  <c r="M7" i="221" s="1"/>
  <c r="I8" i="221"/>
  <c r="I9" i="221" s="1"/>
  <c r="AC8" i="221"/>
  <c r="AC9" i="221" s="1"/>
  <c r="Y8" i="221"/>
  <c r="Y9" i="221" s="1"/>
  <c r="U8" i="221"/>
  <c r="U9" i="221" s="1"/>
  <c r="Q8" i="221"/>
  <c r="Q9" i="221" s="1"/>
  <c r="M8" i="221"/>
  <c r="M9" i="221" s="1"/>
  <c r="F57" i="133"/>
  <c r="F49" i="133" s="1"/>
  <c r="E11" i="140"/>
  <c r="G11" i="140" s="1"/>
  <c r="V59" i="147"/>
  <c r="D30" i="139"/>
  <c r="F59" i="147"/>
  <c r="N59" i="147"/>
  <c r="X14" i="146"/>
  <c r="T14" i="146"/>
  <c r="P14" i="146"/>
  <c r="L14" i="146"/>
  <c r="H14" i="146"/>
  <c r="D14" i="146"/>
  <c r="W13" i="146"/>
  <c r="O13" i="146"/>
  <c r="G13" i="146"/>
  <c r="V58" i="147"/>
  <c r="F37" i="134"/>
  <c r="B34" i="132"/>
  <c r="C55" i="140"/>
  <c r="B35" i="132"/>
  <c r="F39" i="134"/>
  <c r="B32" i="132"/>
  <c r="G30" i="135"/>
  <c r="L30" i="135" s="1"/>
  <c r="G44" i="135"/>
  <c r="L44" i="135" s="1"/>
  <c r="H60" i="147"/>
  <c r="O59" i="147"/>
  <c r="F58" i="147"/>
  <c r="B30" i="139"/>
  <c r="C30" i="139"/>
  <c r="I30" i="139"/>
  <c r="I24" i="136"/>
  <c r="O24" i="136" s="1"/>
  <c r="V15" i="146"/>
  <c r="R15" i="146"/>
  <c r="N15" i="146"/>
  <c r="J15" i="146"/>
  <c r="F15" i="146"/>
  <c r="Y14" i="146"/>
  <c r="U14" i="146"/>
  <c r="Q14" i="146"/>
  <c r="M14" i="146"/>
  <c r="I14" i="146"/>
  <c r="X13" i="146"/>
  <c r="T13" i="146"/>
  <c r="P13" i="146"/>
  <c r="L13" i="146"/>
  <c r="H13" i="146"/>
  <c r="D13" i="146"/>
  <c r="V14" i="146"/>
  <c r="X15" i="146"/>
  <c r="T15" i="146"/>
  <c r="P15" i="146"/>
  <c r="L15" i="146"/>
  <c r="H15" i="146"/>
  <c r="D15" i="146"/>
  <c r="W14" i="146"/>
  <c r="S14" i="146"/>
  <c r="O14" i="146"/>
  <c r="K14" i="146"/>
  <c r="G14" i="146"/>
  <c r="C14" i="146"/>
  <c r="V13" i="146"/>
  <c r="R13" i="146"/>
  <c r="N13" i="146"/>
  <c r="J13" i="146"/>
  <c r="F13" i="146"/>
  <c r="Y30" i="147"/>
  <c r="U30" i="147"/>
  <c r="Q30" i="147"/>
  <c r="M30" i="147"/>
  <c r="I30" i="147"/>
  <c r="E30" i="147"/>
  <c r="X29" i="147"/>
  <c r="T29" i="147"/>
  <c r="P29" i="147"/>
  <c r="L29" i="147"/>
  <c r="H29" i="147"/>
  <c r="D29" i="147"/>
  <c r="W28" i="147"/>
  <c r="S28" i="147"/>
  <c r="O28" i="147"/>
  <c r="K28" i="147"/>
  <c r="G28" i="147"/>
  <c r="C28" i="147"/>
  <c r="Y60" i="147"/>
  <c r="U60" i="147"/>
  <c r="Q60" i="147"/>
  <c r="M60" i="147"/>
  <c r="I60" i="147"/>
  <c r="E60" i="147"/>
  <c r="X59" i="147"/>
  <c r="T59" i="147"/>
  <c r="P59" i="147"/>
  <c r="L59" i="147"/>
  <c r="H59" i="147"/>
  <c r="D59" i="147"/>
  <c r="W58" i="147"/>
  <c r="S58" i="147"/>
  <c r="O58" i="147"/>
  <c r="K58" i="147"/>
  <c r="G58" i="147"/>
  <c r="C58" i="147"/>
  <c r="G28" i="134"/>
  <c r="G29" i="139"/>
  <c r="X60" i="147"/>
  <c r="T60" i="147"/>
  <c r="P60" i="147"/>
  <c r="L60" i="147"/>
  <c r="D60" i="147"/>
  <c r="W59" i="147"/>
  <c r="S59" i="147"/>
  <c r="K59" i="147"/>
  <c r="G59" i="147"/>
  <c r="C59" i="147"/>
  <c r="R58" i="147"/>
  <c r="N58" i="147"/>
  <c r="J58" i="147"/>
  <c r="F18" i="145"/>
  <c r="F31" i="145" s="1"/>
  <c r="G27" i="134"/>
  <c r="B31" i="139"/>
  <c r="E12" i="139"/>
  <c r="I31" i="139"/>
  <c r="H14" i="138"/>
  <c r="L14" i="138" s="1"/>
  <c r="W15" i="146"/>
  <c r="S15" i="146"/>
  <c r="O15" i="146"/>
  <c r="K15" i="146"/>
  <c r="G15" i="146"/>
  <c r="C15" i="146"/>
  <c r="R14" i="146"/>
  <c r="J14" i="146"/>
  <c r="Y13" i="146"/>
  <c r="U13" i="146"/>
  <c r="Q13" i="146"/>
  <c r="M13" i="146"/>
  <c r="I13" i="146"/>
  <c r="E13" i="146"/>
  <c r="B29" i="147"/>
  <c r="V30" i="147"/>
  <c r="R30" i="147"/>
  <c r="N30" i="147"/>
  <c r="J30" i="147"/>
  <c r="F30" i="147"/>
  <c r="Y29" i="147"/>
  <c r="U29" i="147"/>
  <c r="Q29" i="147"/>
  <c r="M29" i="147"/>
  <c r="I29" i="147"/>
  <c r="E29" i="147"/>
  <c r="X28" i="147"/>
  <c r="T28" i="147"/>
  <c r="P28" i="147"/>
  <c r="L28" i="147"/>
  <c r="H28" i="147"/>
  <c r="D28" i="147"/>
  <c r="B59" i="147"/>
  <c r="V60" i="147"/>
  <c r="R60" i="147"/>
  <c r="N60" i="147"/>
  <c r="J60" i="147"/>
  <c r="F60" i="147"/>
  <c r="Y59" i="147"/>
  <c r="U59" i="147"/>
  <c r="Q59" i="147"/>
  <c r="M59" i="147"/>
  <c r="I59" i="147"/>
  <c r="E59" i="147"/>
  <c r="X58" i="147"/>
  <c r="T58" i="147"/>
  <c r="P58" i="147"/>
  <c r="L58" i="147"/>
  <c r="H58" i="147"/>
  <c r="D58" i="147"/>
  <c r="H15" i="138"/>
  <c r="M15" i="138" s="1"/>
  <c r="AA29" i="146"/>
  <c r="G29" i="135"/>
  <c r="M29" i="135" s="1"/>
  <c r="D31" i="139"/>
  <c r="B14" i="146"/>
  <c r="N14" i="146"/>
  <c r="X30" i="147"/>
  <c r="T30" i="147"/>
  <c r="P30" i="147"/>
  <c r="L30" i="147"/>
  <c r="H30" i="147"/>
  <c r="D30" i="147"/>
  <c r="W29" i="147"/>
  <c r="S29" i="147"/>
  <c r="O29" i="147"/>
  <c r="K29" i="147"/>
  <c r="G29" i="147"/>
  <c r="V28" i="147"/>
  <c r="R28" i="147"/>
  <c r="N28" i="147"/>
  <c r="J28" i="147"/>
  <c r="F28" i="147"/>
  <c r="G14" i="135"/>
  <c r="M14" i="135" s="1"/>
  <c r="H63" i="142"/>
  <c r="G30" i="139"/>
  <c r="H30" i="139"/>
  <c r="U15" i="146"/>
  <c r="Q15" i="146"/>
  <c r="M15" i="146"/>
  <c r="I15" i="146"/>
  <c r="E15" i="146"/>
  <c r="S13" i="146"/>
  <c r="K13" i="146"/>
  <c r="C13" i="146"/>
  <c r="F14" i="146"/>
  <c r="G103" i="137"/>
  <c r="E43" i="134"/>
  <c r="B42" i="134"/>
  <c r="H30" i="138"/>
  <c r="L30" i="138" s="1"/>
  <c r="G45" i="135"/>
  <c r="K45" i="135" s="1"/>
  <c r="E18" i="145"/>
  <c r="E29" i="145" s="1"/>
  <c r="H31" i="139"/>
  <c r="H29" i="138"/>
  <c r="M29" i="138" s="1"/>
  <c r="E14" i="146"/>
  <c r="S60" i="147"/>
  <c r="K60" i="147"/>
  <c r="C60" i="147"/>
  <c r="R59" i="147"/>
  <c r="J59" i="147"/>
  <c r="Y58" i="147"/>
  <c r="Q58" i="147"/>
  <c r="I58" i="147"/>
  <c r="B13" i="132"/>
  <c r="B43" i="134"/>
  <c r="G15" i="135"/>
  <c r="M15" i="135" s="1"/>
  <c r="J13" i="139"/>
  <c r="AA30" i="146"/>
  <c r="B28" i="147"/>
  <c r="I63" i="142"/>
  <c r="C56" i="222" s="1"/>
  <c r="C31" i="139"/>
  <c r="B30" i="147"/>
  <c r="W30" i="147"/>
  <c r="S30" i="147"/>
  <c r="O30" i="147"/>
  <c r="K30" i="147"/>
  <c r="G30" i="147"/>
  <c r="C30" i="147"/>
  <c r="V29" i="147"/>
  <c r="R29" i="147"/>
  <c r="N29" i="147"/>
  <c r="J29" i="147"/>
  <c r="F29" i="147"/>
  <c r="Y28" i="147"/>
  <c r="U28" i="147"/>
  <c r="Q28" i="147"/>
  <c r="M28" i="147"/>
  <c r="I28" i="147"/>
  <c r="E28" i="147"/>
  <c r="B60" i="147"/>
  <c r="W60" i="147"/>
  <c r="O60" i="147"/>
  <c r="G60" i="147"/>
  <c r="U58" i="147"/>
  <c r="M58" i="147"/>
  <c r="E58" i="147"/>
  <c r="E12" i="140"/>
  <c r="H12" i="140" s="1"/>
  <c r="B29" i="139"/>
  <c r="AA59" i="146"/>
  <c r="AA14" i="147"/>
  <c r="C29" i="147"/>
  <c r="AA44" i="147"/>
  <c r="E13" i="139"/>
  <c r="J12" i="139"/>
  <c r="AA13" i="147"/>
  <c r="AA60" i="146"/>
  <c r="AA44" i="146"/>
  <c r="AA45" i="146"/>
  <c r="I12" i="136"/>
  <c r="Q12" i="136" s="1"/>
  <c r="I11" i="136"/>
  <c r="N11" i="136" s="1"/>
  <c r="I25" i="136"/>
  <c r="O25" i="136" s="1"/>
  <c r="B109" i="136"/>
  <c r="D71" i="136"/>
  <c r="I65" i="136"/>
  <c r="I57" i="136"/>
  <c r="D109" i="136"/>
  <c r="G71" i="136"/>
  <c r="I46" i="136"/>
  <c r="G97" i="136"/>
  <c r="G76" i="136"/>
  <c r="D55" i="140"/>
  <c r="B55" i="140"/>
  <c r="G95" i="137"/>
  <c r="G83" i="137"/>
  <c r="G75" i="137"/>
  <c r="G71" i="137"/>
  <c r="G67" i="137"/>
  <c r="G63" i="137"/>
  <c r="G59" i="137"/>
  <c r="G51" i="137"/>
  <c r="G47" i="137"/>
  <c r="G55" i="137"/>
  <c r="G74" i="137"/>
  <c r="G66" i="137"/>
  <c r="G54" i="137"/>
  <c r="G113" i="137"/>
  <c r="G97" i="137"/>
  <c r="G85" i="137"/>
  <c r="G62" i="137"/>
  <c r="G46" i="137"/>
  <c r="G105" i="137"/>
  <c r="G101" i="137"/>
  <c r="G93" i="137"/>
  <c r="G89" i="137"/>
  <c r="G73" i="137"/>
  <c r="G69" i="137"/>
  <c r="G65" i="137"/>
  <c r="G61" i="137"/>
  <c r="G57" i="137"/>
  <c r="G53" i="137"/>
  <c r="G49" i="137"/>
  <c r="G45" i="137"/>
  <c r="G112" i="137"/>
  <c r="G108" i="137"/>
  <c r="G104" i="137"/>
  <c r="G100" i="137"/>
  <c r="G96" i="137"/>
  <c r="G92" i="137"/>
  <c r="G88" i="137"/>
  <c r="G84" i="137"/>
  <c r="G114" i="137"/>
  <c r="G111" i="137"/>
  <c r="G110" i="137"/>
  <c r="G107" i="137"/>
  <c r="G106" i="137"/>
  <c r="G102" i="137"/>
  <c r="G99" i="137"/>
  <c r="G98" i="137"/>
  <c r="G94" i="137"/>
  <c r="G91" i="137"/>
  <c r="G90" i="137"/>
  <c r="G87" i="137"/>
  <c r="G86" i="137"/>
  <c r="G70" i="137"/>
  <c r="L70" i="137" s="1"/>
  <c r="G58" i="137"/>
  <c r="G50" i="137"/>
  <c r="G109" i="137"/>
  <c r="G44" i="137"/>
  <c r="G72" i="137"/>
  <c r="G68" i="137"/>
  <c r="G64" i="137"/>
  <c r="G60" i="137"/>
  <c r="G56" i="137"/>
  <c r="G52" i="137"/>
  <c r="G48" i="137"/>
  <c r="E38" i="137"/>
  <c r="G13" i="137"/>
  <c r="G36" i="137"/>
  <c r="F37" i="133"/>
  <c r="B14" i="132"/>
  <c r="B44" i="134"/>
  <c r="E42" i="134"/>
  <c r="D42" i="134"/>
  <c r="C44" i="134"/>
  <c r="C43" i="134"/>
  <c r="C42" i="134"/>
  <c r="F32" i="133"/>
  <c r="F26" i="133"/>
  <c r="F9" i="133"/>
  <c r="M14" i="138" l="1"/>
  <c r="M30" i="135"/>
  <c r="E30" i="139"/>
  <c r="J30" i="139"/>
  <c r="M44" i="135"/>
  <c r="K44" i="135"/>
  <c r="J44" i="135"/>
  <c r="H11" i="140"/>
  <c r="J14" i="135"/>
  <c r="N44" i="135"/>
  <c r="J30" i="135"/>
  <c r="N30" i="135"/>
  <c r="K15" i="138"/>
  <c r="K14" i="138"/>
  <c r="C5" i="222"/>
  <c r="C13" i="222"/>
  <c r="C21" i="222"/>
  <c r="C29" i="222"/>
  <c r="C37" i="222"/>
  <c r="C45" i="222"/>
  <c r="C53" i="222"/>
  <c r="C61" i="222"/>
  <c r="C10" i="222"/>
  <c r="C18" i="222"/>
  <c r="C26" i="222"/>
  <c r="C34" i="222"/>
  <c r="C42" i="222"/>
  <c r="C50" i="222"/>
  <c r="C58" i="222"/>
  <c r="C7" i="222"/>
  <c r="C15" i="222"/>
  <c r="C23" i="222"/>
  <c r="C31" i="222"/>
  <c r="C39" i="222"/>
  <c r="C47" i="222"/>
  <c r="C55" i="222"/>
  <c r="C12" i="222"/>
  <c r="C20" i="222"/>
  <c r="C28" i="222"/>
  <c r="C36" i="222"/>
  <c r="C44" i="222"/>
  <c r="C52" i="222"/>
  <c r="C60" i="222"/>
  <c r="C9" i="222"/>
  <c r="C17" i="222"/>
  <c r="C25" i="222"/>
  <c r="C33" i="222"/>
  <c r="C41" i="222"/>
  <c r="C49" i="222"/>
  <c r="C57" i="222"/>
  <c r="C6" i="222"/>
  <c r="C14" i="222"/>
  <c r="C22" i="222"/>
  <c r="C30" i="222"/>
  <c r="C38" i="222"/>
  <c r="C46" i="222"/>
  <c r="C54" i="222"/>
  <c r="L15" i="138"/>
  <c r="C11" i="222"/>
  <c r="C19" i="222"/>
  <c r="C27" i="222"/>
  <c r="C35" i="222"/>
  <c r="C43" i="222"/>
  <c r="C51" i="222"/>
  <c r="C59" i="222"/>
  <c r="C8" i="222"/>
  <c r="C16" i="222"/>
  <c r="C24" i="222"/>
  <c r="C32" i="222"/>
  <c r="C40" i="222"/>
  <c r="C48" i="222"/>
  <c r="AA29" i="147"/>
  <c r="L24" i="136"/>
  <c r="M24" i="136"/>
  <c r="K24" i="136"/>
  <c r="N24" i="136"/>
  <c r="P24" i="136"/>
  <c r="Q24" i="136"/>
  <c r="L29" i="135"/>
  <c r="I11" i="140"/>
  <c r="J29" i="135"/>
  <c r="K29" i="135"/>
  <c r="F52" i="133"/>
  <c r="F50" i="133"/>
  <c r="F51" i="133"/>
  <c r="K30" i="135"/>
  <c r="AA59" i="147"/>
  <c r="E34" i="133"/>
  <c r="B54" i="133"/>
  <c r="C34" i="133"/>
  <c r="B34" i="133"/>
  <c r="D34" i="133"/>
  <c r="O15" i="138"/>
  <c r="O30" i="138"/>
  <c r="N15" i="138"/>
  <c r="O14" i="138"/>
  <c r="J14" i="138"/>
  <c r="N14" i="138"/>
  <c r="AA15" i="146"/>
  <c r="J15" i="138"/>
  <c r="AA14" i="146"/>
  <c r="J30" i="138"/>
  <c r="K30" i="138"/>
  <c r="M45" i="135"/>
  <c r="N45" i="135"/>
  <c r="F26" i="145"/>
  <c r="F28" i="145"/>
  <c r="F27" i="145"/>
  <c r="F29" i="145"/>
  <c r="F23" i="145"/>
  <c r="F34" i="145"/>
  <c r="E28" i="145"/>
  <c r="E25" i="145"/>
  <c r="E30" i="145"/>
  <c r="E33" i="145"/>
  <c r="E27" i="145"/>
  <c r="E24" i="145"/>
  <c r="E32" i="145"/>
  <c r="F30" i="145"/>
  <c r="E31" i="145"/>
  <c r="E26" i="145"/>
  <c r="E34" i="145"/>
  <c r="E23" i="145"/>
  <c r="F24" i="145"/>
  <c r="F32" i="145"/>
  <c r="F25" i="145"/>
  <c r="F33" i="145"/>
  <c r="L29" i="138"/>
  <c r="N14" i="135"/>
  <c r="N29" i="135"/>
  <c r="N12" i="136"/>
  <c r="L14" i="135"/>
  <c r="K14" i="135"/>
  <c r="J45" i="135"/>
  <c r="L45" i="135"/>
  <c r="E44" i="134"/>
  <c r="E31" i="139"/>
  <c r="J31" i="139"/>
  <c r="I12" i="140"/>
  <c r="L15" i="135"/>
  <c r="K29" i="138"/>
  <c r="N29" i="138"/>
  <c r="O29" i="138"/>
  <c r="N30" i="138"/>
  <c r="M30" i="138"/>
  <c r="N15" i="135"/>
  <c r="J29" i="138"/>
  <c r="J15" i="135"/>
  <c r="K15" i="135"/>
  <c r="G12" i="140"/>
  <c r="D44" i="134"/>
  <c r="D43" i="134"/>
  <c r="L12" i="136"/>
  <c r="L11" i="136"/>
  <c r="P12" i="136"/>
  <c r="P11" i="136"/>
  <c r="O12" i="136"/>
  <c r="M11" i="136"/>
  <c r="K11" i="136"/>
  <c r="M12" i="136"/>
  <c r="K12" i="136"/>
  <c r="Q11" i="136"/>
  <c r="O11" i="136"/>
  <c r="P25" i="136"/>
  <c r="N25" i="136"/>
  <c r="Q25" i="136"/>
  <c r="M25" i="136"/>
  <c r="L25" i="136"/>
  <c r="K25" i="136"/>
  <c r="K76" i="136"/>
  <c r="G116" i="137"/>
  <c r="B12" i="133"/>
  <c r="E12" i="133"/>
  <c r="D12" i="133"/>
  <c r="F42" i="134"/>
  <c r="F43" i="134"/>
  <c r="F44" i="134"/>
  <c r="F10" i="133"/>
  <c r="F31" i="133"/>
  <c r="F7" i="133"/>
  <c r="F29" i="133"/>
  <c r="F28" i="133"/>
  <c r="F8" i="133"/>
  <c r="F6" i="133"/>
  <c r="F27" i="133"/>
  <c r="F30" i="133"/>
  <c r="F34" i="133" l="1"/>
  <c r="G9" i="222"/>
  <c r="G8" i="222"/>
  <c r="F12" i="133"/>
  <c r="G7" i="222"/>
  <c r="G11" i="222"/>
  <c r="G10" i="222"/>
  <c r="F36" i="145"/>
  <c r="E36" i="145"/>
  <c r="F54" i="133"/>
  <c r="G12" i="222" l="1"/>
  <c r="K43" i="131"/>
  <c r="L43" i="131"/>
  <c r="M43" i="131"/>
  <c r="K44" i="131"/>
  <c r="L44" i="131"/>
  <c r="M44" i="131"/>
  <c r="K45" i="131"/>
  <c r="L45" i="131"/>
  <c r="M45" i="131"/>
  <c r="K46" i="131"/>
  <c r="L46" i="131"/>
  <c r="M46" i="131"/>
  <c r="J44" i="131"/>
  <c r="J45" i="131"/>
  <c r="J46" i="131"/>
  <c r="J43" i="131"/>
  <c r="C43" i="131"/>
  <c r="D43" i="131"/>
  <c r="E43" i="131"/>
  <c r="F43" i="131"/>
  <c r="C44" i="131"/>
  <c r="D44" i="131"/>
  <c r="E44" i="131"/>
  <c r="F44" i="131"/>
  <c r="C45" i="131"/>
  <c r="D45" i="131"/>
  <c r="E45" i="131"/>
  <c r="F45" i="131"/>
  <c r="C46" i="131"/>
  <c r="D46" i="131"/>
  <c r="E46" i="131"/>
  <c r="F46" i="131"/>
  <c r="B44" i="131"/>
  <c r="B45" i="131"/>
  <c r="B46" i="131"/>
  <c r="B43" i="131"/>
  <c r="J23" i="131"/>
  <c r="K23" i="131"/>
  <c r="L23" i="131"/>
  <c r="M23" i="131"/>
  <c r="J24" i="131"/>
  <c r="K24" i="131"/>
  <c r="L24" i="131"/>
  <c r="M24" i="131"/>
  <c r="J25" i="131"/>
  <c r="K25" i="131"/>
  <c r="L25" i="131"/>
  <c r="M25" i="131"/>
  <c r="J26" i="131"/>
  <c r="K26" i="131"/>
  <c r="L26" i="131"/>
  <c r="M26" i="131"/>
  <c r="J27" i="131"/>
  <c r="K27" i="131"/>
  <c r="L27" i="131"/>
  <c r="M27" i="131"/>
  <c r="J28" i="131"/>
  <c r="K28" i="131"/>
  <c r="L28" i="131"/>
  <c r="M28" i="131"/>
  <c r="J29" i="131"/>
  <c r="K29" i="131"/>
  <c r="L29" i="131"/>
  <c r="M29" i="131"/>
  <c r="I24" i="131"/>
  <c r="I25" i="131"/>
  <c r="I26" i="131"/>
  <c r="I27" i="131"/>
  <c r="I28" i="131"/>
  <c r="I29" i="131"/>
  <c r="I23" i="131"/>
  <c r="C23" i="131"/>
  <c r="D23" i="131"/>
  <c r="E23" i="131"/>
  <c r="F23" i="131"/>
  <c r="C24" i="131"/>
  <c r="D24" i="131"/>
  <c r="E24" i="131"/>
  <c r="F24" i="131"/>
  <c r="C25" i="131"/>
  <c r="D25" i="131"/>
  <c r="E25" i="131"/>
  <c r="F25" i="131"/>
  <c r="C26" i="131"/>
  <c r="D26" i="131"/>
  <c r="E26" i="131"/>
  <c r="F26" i="131"/>
  <c r="C27" i="131"/>
  <c r="D27" i="131"/>
  <c r="E27" i="131"/>
  <c r="F27" i="131"/>
  <c r="C28" i="131"/>
  <c r="D28" i="131"/>
  <c r="E28" i="131"/>
  <c r="F28" i="131"/>
  <c r="C29" i="131"/>
  <c r="D29" i="131"/>
  <c r="E29" i="131"/>
  <c r="F29" i="131"/>
  <c r="B24" i="131"/>
  <c r="B25" i="131"/>
  <c r="B26" i="131"/>
  <c r="B27" i="131"/>
  <c r="B28" i="131"/>
  <c r="B29" i="131"/>
  <c r="B23" i="131"/>
  <c r="F9" i="131"/>
  <c r="C5" i="131"/>
  <c r="F5" i="131"/>
  <c r="B8" i="131"/>
  <c r="D7" i="131"/>
  <c r="D8" i="131"/>
  <c r="D6" i="131"/>
  <c r="D10" i="131"/>
  <c r="C9" i="131"/>
  <c r="E6" i="131"/>
  <c r="F10" i="131"/>
  <c r="E5" i="131"/>
  <c r="F8" i="131"/>
  <c r="E10" i="131"/>
  <c r="C8" i="131"/>
  <c r="D5" i="131"/>
  <c r="C6" i="131"/>
  <c r="F6" i="131"/>
  <c r="B7" i="131"/>
  <c r="F7" i="131"/>
  <c r="D9" i="131"/>
  <c r="C7" i="131"/>
  <c r="E7" i="131"/>
  <c r="E8" i="131"/>
  <c r="B10" i="131"/>
  <c r="B9" i="131"/>
  <c r="E9" i="131"/>
  <c r="C10" i="131"/>
  <c r="B6" i="131"/>
  <c r="B5" i="131"/>
  <c r="G5" i="131" l="1"/>
  <c r="N29" i="131"/>
  <c r="F48" i="131"/>
  <c r="B48" i="131"/>
  <c r="B31" i="131"/>
  <c r="G6" i="131"/>
  <c r="K6" i="131" s="1"/>
  <c r="G7" i="131"/>
  <c r="K7" i="131" s="1"/>
  <c r="G8" i="131"/>
  <c r="K8" i="131" s="1"/>
  <c r="G9" i="131"/>
  <c r="K9" i="131" s="1"/>
  <c r="J34" i="130"/>
  <c r="K34" i="130"/>
  <c r="L34" i="130"/>
  <c r="M34" i="130"/>
  <c r="J35" i="130"/>
  <c r="K35" i="130"/>
  <c r="L35" i="130"/>
  <c r="M35" i="130"/>
  <c r="J36" i="130"/>
  <c r="K36" i="130"/>
  <c r="L36" i="130"/>
  <c r="M36" i="130"/>
  <c r="I35" i="130"/>
  <c r="I36" i="130"/>
  <c r="I34" i="130"/>
  <c r="C34" i="130"/>
  <c r="D34" i="130"/>
  <c r="E34" i="130"/>
  <c r="E36" i="132" s="1"/>
  <c r="F34" i="130"/>
  <c r="C35" i="130"/>
  <c r="C37" i="132" s="1"/>
  <c r="D35" i="130"/>
  <c r="D37" i="132" s="1"/>
  <c r="E35" i="130"/>
  <c r="E37" i="132" s="1"/>
  <c r="F35" i="130"/>
  <c r="C36" i="130"/>
  <c r="C38" i="132" s="1"/>
  <c r="D36" i="130"/>
  <c r="D38" i="132" s="1"/>
  <c r="E36" i="130"/>
  <c r="E38" i="132" s="1"/>
  <c r="F36" i="130"/>
  <c r="B35" i="130"/>
  <c r="B37" i="132" s="1"/>
  <c r="B36" i="130"/>
  <c r="B38" i="132" s="1"/>
  <c r="B34" i="130"/>
  <c r="B36" i="132" s="1"/>
  <c r="D13" i="130"/>
  <c r="D13" i="132" s="1"/>
  <c r="E13" i="130"/>
  <c r="E13" i="132" s="1"/>
  <c r="F13" i="130"/>
  <c r="D14" i="130"/>
  <c r="D14" i="132" s="1"/>
  <c r="E14" i="130"/>
  <c r="F14" i="130"/>
  <c r="D15" i="130"/>
  <c r="D15" i="132" s="1"/>
  <c r="E15" i="130"/>
  <c r="E15" i="132" s="1"/>
  <c r="F15" i="130"/>
  <c r="C14" i="130"/>
  <c r="C14" i="132" s="1"/>
  <c r="C15" i="130"/>
  <c r="C15" i="132" s="1"/>
  <c r="C13" i="130"/>
  <c r="C13" i="132" s="1"/>
  <c r="N36" i="130" l="1"/>
  <c r="G15" i="130"/>
  <c r="F15" i="132" s="1"/>
  <c r="G14" i="130"/>
  <c r="F14" i="132" s="1"/>
  <c r="E14" i="132"/>
  <c r="G35" i="130"/>
  <c r="F37" i="132" s="1"/>
  <c r="G36" i="130"/>
  <c r="F38" i="132" s="1"/>
  <c r="N35" i="130"/>
  <c r="C29" i="128"/>
  <c r="C30" i="128"/>
  <c r="C31" i="128"/>
  <c r="C32" i="128"/>
  <c r="C33" i="128"/>
  <c r="C34" i="128"/>
  <c r="C35" i="128"/>
  <c r="B29" i="128"/>
  <c r="B30" i="128"/>
  <c r="B31" i="128"/>
  <c r="B32" i="128"/>
  <c r="B33" i="128"/>
  <c r="B34" i="128"/>
  <c r="B35" i="128"/>
  <c r="C6" i="128"/>
  <c r="C7" i="128"/>
  <c r="C8" i="128"/>
  <c r="C9" i="128"/>
  <c r="C10" i="128"/>
  <c r="C11" i="128"/>
  <c r="C12" i="128"/>
  <c r="C5" i="128"/>
  <c r="B6" i="128"/>
  <c r="B7" i="128"/>
  <c r="B8" i="128"/>
  <c r="B9" i="128"/>
  <c r="B10" i="128"/>
  <c r="B11" i="128"/>
  <c r="B12" i="128"/>
  <c r="B5" i="128"/>
  <c r="C27" i="127"/>
  <c r="D27" i="127"/>
  <c r="E27" i="127"/>
  <c r="C28" i="127"/>
  <c r="D28" i="127"/>
  <c r="E28" i="127"/>
  <c r="C29" i="127"/>
  <c r="D29" i="127"/>
  <c r="E29" i="127"/>
  <c r="B28" i="127"/>
  <c r="B29" i="127"/>
  <c r="B27" i="127"/>
  <c r="C10" i="127"/>
  <c r="D10" i="127"/>
  <c r="E10" i="127"/>
  <c r="C11" i="127"/>
  <c r="D11" i="127"/>
  <c r="E11" i="127"/>
  <c r="C12" i="127"/>
  <c r="D12" i="127"/>
  <c r="E12" i="127"/>
  <c r="B11" i="127"/>
  <c r="B12" i="127"/>
  <c r="B10" i="127"/>
  <c r="D44" i="126"/>
  <c r="D45" i="126"/>
  <c r="D46" i="126"/>
  <c r="D43" i="126"/>
  <c r="I44" i="126"/>
  <c r="I45" i="126"/>
  <c r="I46" i="126"/>
  <c r="I43" i="126"/>
  <c r="H43" i="126"/>
  <c r="H44" i="126"/>
  <c r="H45" i="126"/>
  <c r="H46" i="126"/>
  <c r="G44" i="126"/>
  <c r="G45" i="126"/>
  <c r="G46" i="126"/>
  <c r="G43" i="126"/>
  <c r="C43" i="126"/>
  <c r="C44" i="126"/>
  <c r="C45" i="126"/>
  <c r="C46" i="126"/>
  <c r="B44" i="126"/>
  <c r="B45" i="126"/>
  <c r="B46" i="126"/>
  <c r="B43" i="126"/>
  <c r="I24" i="126"/>
  <c r="I25" i="126"/>
  <c r="I26" i="126"/>
  <c r="I27" i="126"/>
  <c r="I28" i="126"/>
  <c r="I29" i="126"/>
  <c r="I23" i="126"/>
  <c r="D24" i="126"/>
  <c r="D25" i="126"/>
  <c r="D26" i="126"/>
  <c r="D27" i="126"/>
  <c r="D28" i="126"/>
  <c r="D29" i="126"/>
  <c r="D23" i="126"/>
  <c r="H27" i="126"/>
  <c r="C27" i="126"/>
  <c r="C23" i="126"/>
  <c r="H23" i="126"/>
  <c r="B25" i="126"/>
  <c r="B24" i="126"/>
  <c r="H24" i="126"/>
  <c r="G26" i="126"/>
  <c r="B23" i="126"/>
  <c r="G25" i="126"/>
  <c r="B29" i="126"/>
  <c r="H29" i="126"/>
  <c r="B26" i="126"/>
  <c r="C28" i="126"/>
  <c r="B27" i="126"/>
  <c r="G23" i="126"/>
  <c r="B28" i="126"/>
  <c r="G24" i="126"/>
  <c r="G27" i="126"/>
  <c r="H28" i="126"/>
  <c r="G28" i="126"/>
  <c r="C25" i="126"/>
  <c r="C29" i="126"/>
  <c r="C26" i="126"/>
  <c r="H26" i="126"/>
  <c r="C24" i="126"/>
  <c r="G29" i="126"/>
  <c r="H25" i="126"/>
  <c r="B11" i="218" l="1"/>
  <c r="D9" i="218"/>
  <c r="B10" i="218"/>
  <c r="D10" i="218"/>
  <c r="B9" i="218"/>
  <c r="D11" i="218"/>
  <c r="P36" i="130"/>
  <c r="G11" i="127"/>
  <c r="G28" i="127"/>
  <c r="P35" i="130"/>
  <c r="K14" i="130"/>
  <c r="G29" i="127"/>
  <c r="G12" i="127"/>
  <c r="D57" i="129"/>
  <c r="D37" i="129"/>
  <c r="I35" i="125"/>
  <c r="I36" i="125"/>
  <c r="I34" i="125"/>
  <c r="H34" i="125"/>
  <c r="H35" i="125"/>
  <c r="H36" i="125"/>
  <c r="G35" i="125"/>
  <c r="G36" i="125"/>
  <c r="G34" i="125"/>
  <c r="D35" i="125"/>
  <c r="D36" i="125"/>
  <c r="D34" i="125"/>
  <c r="C34" i="125"/>
  <c r="C36" i="128" s="1"/>
  <c r="C35" i="125"/>
  <c r="C37" i="128" s="1"/>
  <c r="C36" i="125"/>
  <c r="C38" i="128" s="1"/>
  <c r="B35" i="125"/>
  <c r="B36" i="125"/>
  <c r="B34" i="125"/>
  <c r="B36" i="128" s="1"/>
  <c r="C13" i="125"/>
  <c r="C13" i="128" s="1"/>
  <c r="D13" i="125"/>
  <c r="C14" i="125"/>
  <c r="C14" i="128" s="1"/>
  <c r="D14" i="125"/>
  <c r="C15" i="125"/>
  <c r="C15" i="128" s="1"/>
  <c r="D15" i="125"/>
  <c r="B14" i="125"/>
  <c r="B14" i="128" s="1"/>
  <c r="B15" i="125"/>
  <c r="B15" i="128" s="1"/>
  <c r="B13" i="125"/>
  <c r="B13" i="128" s="1"/>
  <c r="B5" i="80"/>
  <c r="F5" i="80" s="1"/>
  <c r="C5" i="80"/>
  <c r="G5" i="80" s="1"/>
  <c r="B6" i="80"/>
  <c r="F6" i="80" s="1"/>
  <c r="C6" i="80"/>
  <c r="G6" i="80" s="1"/>
  <c r="B7" i="80"/>
  <c r="F7" i="80" s="1"/>
  <c r="C7" i="80"/>
  <c r="G7" i="80" s="1"/>
  <c r="B8" i="80"/>
  <c r="F8" i="80" s="1"/>
  <c r="C8" i="80"/>
  <c r="G8" i="80" s="1"/>
  <c r="B9" i="80"/>
  <c r="F9" i="80" s="1"/>
  <c r="C9" i="80"/>
  <c r="G9" i="80" s="1"/>
  <c r="B10" i="80"/>
  <c r="F10" i="80" s="1"/>
  <c r="C10" i="80"/>
  <c r="G10" i="80" s="1"/>
  <c r="B11" i="80"/>
  <c r="F11" i="80" s="1"/>
  <c r="C11" i="80"/>
  <c r="G11" i="80" s="1"/>
  <c r="B12" i="80"/>
  <c r="F12" i="80" s="1"/>
  <c r="C12" i="80"/>
  <c r="G12" i="80" s="1"/>
  <c r="B13" i="80"/>
  <c r="F13" i="80" s="1"/>
  <c r="C13" i="80"/>
  <c r="G13" i="80" s="1"/>
  <c r="B14" i="80"/>
  <c r="F14" i="80" s="1"/>
  <c r="C14" i="80"/>
  <c r="G14" i="80" s="1"/>
  <c r="B15" i="80"/>
  <c r="F15" i="80" s="1"/>
  <c r="C15" i="80"/>
  <c r="G15" i="80" s="1"/>
  <c r="B16" i="80"/>
  <c r="F16" i="80" s="1"/>
  <c r="C16" i="80"/>
  <c r="G16" i="80" s="1"/>
  <c r="B17" i="80"/>
  <c r="F17" i="80" s="1"/>
  <c r="C17" i="80"/>
  <c r="G17" i="80" s="1"/>
  <c r="B18" i="80"/>
  <c r="F18" i="80" s="1"/>
  <c r="C18" i="80"/>
  <c r="G18" i="80" s="1"/>
  <c r="B19" i="80"/>
  <c r="F19" i="80" s="1"/>
  <c r="C19" i="80"/>
  <c r="G19" i="80" s="1"/>
  <c r="B20" i="80"/>
  <c r="F20" i="80" s="1"/>
  <c r="C20" i="80"/>
  <c r="G20" i="80" s="1"/>
  <c r="B21" i="80"/>
  <c r="F21" i="80" s="1"/>
  <c r="C21" i="80"/>
  <c r="G21" i="80" s="1"/>
  <c r="B22" i="80"/>
  <c r="F22" i="80" s="1"/>
  <c r="C22" i="80"/>
  <c r="G22" i="80" s="1"/>
  <c r="B23" i="80"/>
  <c r="F23" i="80" s="1"/>
  <c r="C23" i="80"/>
  <c r="G23" i="80" s="1"/>
  <c r="B24" i="80"/>
  <c r="F24" i="80" s="1"/>
  <c r="C24" i="80"/>
  <c r="G24" i="80" s="1"/>
  <c r="B25" i="80"/>
  <c r="F25" i="80" s="1"/>
  <c r="C25" i="80"/>
  <c r="G25" i="80" s="1"/>
  <c r="B26" i="80"/>
  <c r="F26" i="80" s="1"/>
  <c r="C26" i="80"/>
  <c r="G26" i="80" s="1"/>
  <c r="B27" i="80"/>
  <c r="F27" i="80" s="1"/>
  <c r="C27" i="80"/>
  <c r="G27" i="80" s="1"/>
  <c r="B28" i="80"/>
  <c r="F28" i="80" s="1"/>
  <c r="C28" i="80"/>
  <c r="G28" i="80" s="1"/>
  <c r="B29" i="80"/>
  <c r="F29" i="80" s="1"/>
  <c r="C29" i="80"/>
  <c r="G29" i="80" s="1"/>
  <c r="B30" i="80"/>
  <c r="F30" i="80" s="1"/>
  <c r="C30" i="80"/>
  <c r="G30" i="80" s="1"/>
  <c r="B31" i="80"/>
  <c r="F31" i="80" s="1"/>
  <c r="C31" i="80"/>
  <c r="G31" i="80" s="1"/>
  <c r="B32" i="80"/>
  <c r="F32" i="80" s="1"/>
  <c r="C32" i="80"/>
  <c r="G32" i="80" s="1"/>
  <c r="B33" i="80"/>
  <c r="F33" i="80" s="1"/>
  <c r="C33" i="80"/>
  <c r="G33" i="80" s="1"/>
  <c r="B34" i="80"/>
  <c r="F34" i="80" s="1"/>
  <c r="C34" i="80"/>
  <c r="G34" i="80" s="1"/>
  <c r="B35" i="80"/>
  <c r="F35" i="80" s="1"/>
  <c r="C35" i="80"/>
  <c r="G35" i="80" s="1"/>
  <c r="C4" i="80"/>
  <c r="G4" i="80" s="1"/>
  <c r="B4" i="80"/>
  <c r="F4" i="80" s="1"/>
  <c r="C43" i="28"/>
  <c r="D43" i="28"/>
  <c r="E43" i="28"/>
  <c r="F43" i="28"/>
  <c r="G43" i="28"/>
  <c r="H43" i="28"/>
  <c r="I43" i="28"/>
  <c r="J43" i="28"/>
  <c r="C44" i="28"/>
  <c r="D44" i="28"/>
  <c r="E44" i="28"/>
  <c r="F44" i="28"/>
  <c r="G44" i="28"/>
  <c r="H44" i="28"/>
  <c r="I44" i="28"/>
  <c r="J44" i="28"/>
  <c r="C45" i="28"/>
  <c r="D45" i="28"/>
  <c r="E45" i="28"/>
  <c r="F45" i="28"/>
  <c r="G45" i="28"/>
  <c r="H45" i="28"/>
  <c r="I45" i="28"/>
  <c r="J45" i="28"/>
  <c r="C46" i="28"/>
  <c r="D46" i="28"/>
  <c r="E46" i="28"/>
  <c r="F46" i="28"/>
  <c r="G46" i="28"/>
  <c r="H46" i="28"/>
  <c r="I46" i="28"/>
  <c r="J46" i="28"/>
  <c r="C47" i="28"/>
  <c r="D47" i="28"/>
  <c r="E47" i="28"/>
  <c r="F47" i="28"/>
  <c r="G47" i="28"/>
  <c r="H47" i="28"/>
  <c r="I47" i="28"/>
  <c r="J47" i="28"/>
  <c r="C48" i="28"/>
  <c r="D48" i="28"/>
  <c r="E48" i="28"/>
  <c r="F48" i="28"/>
  <c r="G48" i="28"/>
  <c r="H48" i="28"/>
  <c r="I48" i="28"/>
  <c r="J48" i="28"/>
  <c r="C49" i="28"/>
  <c r="D49" i="28"/>
  <c r="E49" i="28"/>
  <c r="F49" i="28"/>
  <c r="G49" i="28"/>
  <c r="H49" i="28"/>
  <c r="I49" i="28"/>
  <c r="J49" i="28"/>
  <c r="C50" i="28"/>
  <c r="D50" i="28"/>
  <c r="E50" i="28"/>
  <c r="F50" i="28"/>
  <c r="G50" i="28"/>
  <c r="H50" i="28"/>
  <c r="I50" i="28"/>
  <c r="J50" i="28"/>
  <c r="C51" i="28"/>
  <c r="D51" i="28"/>
  <c r="E51" i="28"/>
  <c r="F51" i="28"/>
  <c r="G51" i="28"/>
  <c r="H51" i="28"/>
  <c r="I51" i="28"/>
  <c r="J51" i="28"/>
  <c r="C52" i="28"/>
  <c r="D52" i="28"/>
  <c r="E52" i="28"/>
  <c r="F52" i="28"/>
  <c r="G52" i="28"/>
  <c r="H52" i="28"/>
  <c r="I52" i="28"/>
  <c r="J52" i="28"/>
  <c r="C53" i="28"/>
  <c r="D53" i="28"/>
  <c r="E53" i="28"/>
  <c r="F53" i="28"/>
  <c r="G53" i="28"/>
  <c r="H53" i="28"/>
  <c r="I53" i="28"/>
  <c r="J53" i="28"/>
  <c r="C54" i="28"/>
  <c r="D54" i="28"/>
  <c r="E54" i="28"/>
  <c r="F54" i="28"/>
  <c r="G54" i="28"/>
  <c r="H54" i="28"/>
  <c r="I54" i="28"/>
  <c r="J54" i="28"/>
  <c r="C55" i="28"/>
  <c r="D55" i="28"/>
  <c r="E55" i="28"/>
  <c r="F55" i="28"/>
  <c r="G55" i="28"/>
  <c r="H55" i="28"/>
  <c r="I55" i="28"/>
  <c r="J55" i="28"/>
  <c r="C56" i="28"/>
  <c r="D56" i="28"/>
  <c r="E56" i="28"/>
  <c r="F56" i="28"/>
  <c r="G56" i="28"/>
  <c r="H56" i="28"/>
  <c r="I56" i="28"/>
  <c r="J56" i="28"/>
  <c r="C57" i="28"/>
  <c r="D57" i="28"/>
  <c r="E57" i="28"/>
  <c r="F57" i="28"/>
  <c r="G57" i="28"/>
  <c r="H57" i="28"/>
  <c r="I57" i="28"/>
  <c r="J57" i="28"/>
  <c r="C58" i="28"/>
  <c r="D58" i="28"/>
  <c r="E58" i="28"/>
  <c r="F58" i="28"/>
  <c r="G58" i="28"/>
  <c r="H58" i="28"/>
  <c r="I58" i="28"/>
  <c r="J58" i="28"/>
  <c r="C59" i="28"/>
  <c r="D59" i="28"/>
  <c r="E59" i="28"/>
  <c r="F59" i="28"/>
  <c r="G59" i="28"/>
  <c r="H59" i="28"/>
  <c r="I59" i="28"/>
  <c r="J59" i="28"/>
  <c r="C60" i="28"/>
  <c r="D60" i="28"/>
  <c r="E60" i="28"/>
  <c r="F60" i="28"/>
  <c r="G60" i="28"/>
  <c r="H60" i="28"/>
  <c r="I60" i="28"/>
  <c r="J60" i="28"/>
  <c r="C61" i="28"/>
  <c r="D61" i="28"/>
  <c r="E61" i="28"/>
  <c r="F61" i="28"/>
  <c r="G61" i="28"/>
  <c r="H61" i="28"/>
  <c r="I61" i="28"/>
  <c r="J61" i="28"/>
  <c r="C62" i="28"/>
  <c r="D62" i="28"/>
  <c r="E62" i="28"/>
  <c r="F62" i="28"/>
  <c r="G62" i="28"/>
  <c r="H62" i="28"/>
  <c r="I62" i="28"/>
  <c r="J62" i="28"/>
  <c r="C63" i="28"/>
  <c r="D63" i="28"/>
  <c r="E63" i="28"/>
  <c r="F63" i="28"/>
  <c r="G63" i="28"/>
  <c r="H63" i="28"/>
  <c r="I63" i="28"/>
  <c r="J63" i="28"/>
  <c r="C64" i="28"/>
  <c r="D64" i="28"/>
  <c r="E64" i="28"/>
  <c r="F64" i="28"/>
  <c r="G64" i="28"/>
  <c r="H64" i="28"/>
  <c r="I64" i="28"/>
  <c r="J64" i="28"/>
  <c r="C65" i="28"/>
  <c r="D65" i="28"/>
  <c r="E65" i="28"/>
  <c r="F65" i="28"/>
  <c r="G65" i="28"/>
  <c r="H65" i="28"/>
  <c r="I65" i="28"/>
  <c r="J65" i="28"/>
  <c r="C66" i="28"/>
  <c r="D66" i="28"/>
  <c r="E66" i="28"/>
  <c r="F66" i="28"/>
  <c r="G66" i="28"/>
  <c r="H66" i="28"/>
  <c r="I66" i="28"/>
  <c r="J66" i="28"/>
  <c r="C67" i="28"/>
  <c r="D67" i="28"/>
  <c r="E67" i="28"/>
  <c r="F67" i="28"/>
  <c r="G67" i="28"/>
  <c r="H67" i="28"/>
  <c r="I67" i="28"/>
  <c r="J67" i="28"/>
  <c r="C68" i="28"/>
  <c r="D68" i="28"/>
  <c r="E68" i="28"/>
  <c r="F68" i="28"/>
  <c r="G68" i="28"/>
  <c r="H68" i="28"/>
  <c r="I68" i="28"/>
  <c r="J68" i="28"/>
  <c r="C69" i="28"/>
  <c r="D69" i="28"/>
  <c r="E69" i="28"/>
  <c r="F69" i="28"/>
  <c r="G69" i="28"/>
  <c r="H69" i="28"/>
  <c r="I69" i="28"/>
  <c r="J69" i="28"/>
  <c r="C70" i="28"/>
  <c r="D70" i="28"/>
  <c r="E70" i="28"/>
  <c r="F70" i="28"/>
  <c r="G70" i="28"/>
  <c r="H70" i="28"/>
  <c r="I70" i="28"/>
  <c r="J70" i="28"/>
  <c r="C71" i="28"/>
  <c r="D71" i="28"/>
  <c r="E71" i="28"/>
  <c r="F71" i="28"/>
  <c r="G71" i="28"/>
  <c r="H71" i="28"/>
  <c r="I71" i="28"/>
  <c r="J71" i="28"/>
  <c r="C72" i="28"/>
  <c r="D72" i="28"/>
  <c r="E72" i="28"/>
  <c r="F72" i="28"/>
  <c r="G72" i="28"/>
  <c r="H72" i="28"/>
  <c r="I72" i="28"/>
  <c r="J72" i="28"/>
  <c r="C73" i="28"/>
  <c r="D73" i="28"/>
  <c r="E73" i="28"/>
  <c r="F73" i="28"/>
  <c r="G73" i="28"/>
  <c r="H73" i="28"/>
  <c r="I73" i="28"/>
  <c r="J73" i="28"/>
  <c r="C74" i="28"/>
  <c r="D74" i="28"/>
  <c r="E74" i="28"/>
  <c r="F74" i="28"/>
  <c r="G74" i="28"/>
  <c r="H74" i="28"/>
  <c r="I74" i="28"/>
  <c r="J74"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43" i="28"/>
  <c r="C5" i="28"/>
  <c r="D5" i="28"/>
  <c r="E5" i="28"/>
  <c r="F5" i="28"/>
  <c r="G5" i="28"/>
  <c r="H5" i="28"/>
  <c r="I5" i="28"/>
  <c r="J5" i="28"/>
  <c r="C6" i="28"/>
  <c r="D6" i="28"/>
  <c r="E6" i="28"/>
  <c r="F6" i="28"/>
  <c r="G6" i="28"/>
  <c r="H6" i="28"/>
  <c r="I6" i="28"/>
  <c r="J6" i="28"/>
  <c r="C7" i="28"/>
  <c r="D7" i="28"/>
  <c r="E7" i="28"/>
  <c r="F7" i="28"/>
  <c r="G7" i="28"/>
  <c r="H7" i="28"/>
  <c r="I7" i="28"/>
  <c r="J7" i="28"/>
  <c r="C8" i="28"/>
  <c r="D8" i="28"/>
  <c r="E8" i="28"/>
  <c r="F8" i="28"/>
  <c r="G8" i="28"/>
  <c r="H8" i="28"/>
  <c r="I8" i="28"/>
  <c r="J8" i="28"/>
  <c r="C9" i="28"/>
  <c r="D9" i="28"/>
  <c r="E9" i="28"/>
  <c r="F9" i="28"/>
  <c r="G9" i="28"/>
  <c r="H9" i="28"/>
  <c r="I9" i="28"/>
  <c r="J9" i="28"/>
  <c r="C10" i="28"/>
  <c r="D10" i="28"/>
  <c r="E10" i="28"/>
  <c r="F10" i="28"/>
  <c r="G10" i="28"/>
  <c r="H10" i="28"/>
  <c r="I10" i="28"/>
  <c r="J10" i="28"/>
  <c r="C11" i="28"/>
  <c r="D11" i="28"/>
  <c r="E11" i="28"/>
  <c r="F11" i="28"/>
  <c r="G11" i="28"/>
  <c r="H11" i="28"/>
  <c r="I11" i="28"/>
  <c r="J11" i="28"/>
  <c r="C12" i="28"/>
  <c r="D12" i="28"/>
  <c r="E12" i="28"/>
  <c r="F12" i="28"/>
  <c r="G12" i="28"/>
  <c r="H12" i="28"/>
  <c r="I12" i="28"/>
  <c r="J12" i="28"/>
  <c r="C13" i="28"/>
  <c r="D13" i="28"/>
  <c r="E13" i="28"/>
  <c r="F13" i="28"/>
  <c r="G13" i="28"/>
  <c r="H13" i="28"/>
  <c r="I13" i="28"/>
  <c r="J13" i="28"/>
  <c r="C14" i="28"/>
  <c r="D14" i="28"/>
  <c r="E14" i="28"/>
  <c r="F14" i="28"/>
  <c r="G14" i="28"/>
  <c r="H14" i="28"/>
  <c r="I14" i="28"/>
  <c r="J14" i="28"/>
  <c r="C15" i="28"/>
  <c r="D15" i="28"/>
  <c r="E15" i="28"/>
  <c r="F15" i="28"/>
  <c r="G15" i="28"/>
  <c r="H15" i="28"/>
  <c r="I15" i="28"/>
  <c r="J15" i="28"/>
  <c r="C16" i="28"/>
  <c r="D16" i="28"/>
  <c r="E16" i="28"/>
  <c r="F16" i="28"/>
  <c r="G16" i="28"/>
  <c r="H16" i="28"/>
  <c r="I16" i="28"/>
  <c r="J16" i="28"/>
  <c r="C17" i="28"/>
  <c r="D17" i="28"/>
  <c r="E17" i="28"/>
  <c r="F17" i="28"/>
  <c r="G17" i="28"/>
  <c r="H17" i="28"/>
  <c r="I17" i="28"/>
  <c r="J17" i="28"/>
  <c r="C18" i="28"/>
  <c r="D18" i="28"/>
  <c r="E18" i="28"/>
  <c r="F18" i="28"/>
  <c r="G18" i="28"/>
  <c r="H18" i="28"/>
  <c r="I18" i="28"/>
  <c r="J18" i="28"/>
  <c r="C19" i="28"/>
  <c r="D19" i="28"/>
  <c r="E19" i="28"/>
  <c r="F19" i="28"/>
  <c r="G19" i="28"/>
  <c r="H19" i="28"/>
  <c r="I19" i="28"/>
  <c r="J19" i="28"/>
  <c r="C20" i="28"/>
  <c r="D20" i="28"/>
  <c r="E20" i="28"/>
  <c r="F20" i="28"/>
  <c r="G20" i="28"/>
  <c r="H20" i="28"/>
  <c r="I20" i="28"/>
  <c r="J20" i="28"/>
  <c r="C21" i="28"/>
  <c r="D21" i="28"/>
  <c r="E21" i="28"/>
  <c r="F21" i="28"/>
  <c r="G21" i="28"/>
  <c r="H21" i="28"/>
  <c r="I21" i="28"/>
  <c r="J21" i="28"/>
  <c r="C22" i="28"/>
  <c r="D22" i="28"/>
  <c r="E22" i="28"/>
  <c r="F22" i="28"/>
  <c r="G22" i="28"/>
  <c r="H22" i="28"/>
  <c r="I22" i="28"/>
  <c r="J22" i="28"/>
  <c r="C23" i="28"/>
  <c r="D23" i="28"/>
  <c r="E23" i="28"/>
  <c r="F23" i="28"/>
  <c r="G23" i="28"/>
  <c r="H23" i="28"/>
  <c r="I23" i="28"/>
  <c r="J23" i="28"/>
  <c r="C24" i="28"/>
  <c r="D24" i="28"/>
  <c r="E24" i="28"/>
  <c r="F24" i="28"/>
  <c r="G24" i="28"/>
  <c r="H24" i="28"/>
  <c r="I24" i="28"/>
  <c r="J24" i="28"/>
  <c r="C25" i="28"/>
  <c r="D25" i="28"/>
  <c r="E25" i="28"/>
  <c r="F25" i="28"/>
  <c r="G25" i="28"/>
  <c r="H25" i="28"/>
  <c r="I25" i="28"/>
  <c r="J25" i="28"/>
  <c r="C26" i="28"/>
  <c r="D26" i="28"/>
  <c r="E26" i="28"/>
  <c r="F26" i="28"/>
  <c r="G26" i="28"/>
  <c r="H26" i="28"/>
  <c r="I26" i="28"/>
  <c r="J26" i="28"/>
  <c r="C27" i="28"/>
  <c r="D27" i="28"/>
  <c r="E27" i="28"/>
  <c r="F27" i="28"/>
  <c r="G27" i="28"/>
  <c r="H27" i="28"/>
  <c r="I27" i="28"/>
  <c r="J27" i="28"/>
  <c r="C28" i="28"/>
  <c r="D28" i="28"/>
  <c r="E28" i="28"/>
  <c r="F28" i="28"/>
  <c r="G28" i="28"/>
  <c r="H28" i="28"/>
  <c r="I28" i="28"/>
  <c r="J28" i="28"/>
  <c r="C29" i="28"/>
  <c r="D29" i="28"/>
  <c r="E29" i="28"/>
  <c r="F29" i="28"/>
  <c r="G29" i="28"/>
  <c r="H29" i="28"/>
  <c r="I29" i="28"/>
  <c r="J29" i="28"/>
  <c r="C30" i="28"/>
  <c r="D30" i="28"/>
  <c r="E30" i="28"/>
  <c r="F30" i="28"/>
  <c r="G30" i="28"/>
  <c r="H30" i="28"/>
  <c r="I30" i="28"/>
  <c r="J30" i="28"/>
  <c r="C31" i="28"/>
  <c r="D31" i="28"/>
  <c r="E31" i="28"/>
  <c r="F31" i="28"/>
  <c r="G31" i="28"/>
  <c r="H31" i="28"/>
  <c r="I31" i="28"/>
  <c r="J31" i="28"/>
  <c r="C32" i="28"/>
  <c r="D32" i="28"/>
  <c r="E32" i="28"/>
  <c r="F32" i="28"/>
  <c r="G32" i="28"/>
  <c r="H32" i="28"/>
  <c r="I32" i="28"/>
  <c r="J32" i="28"/>
  <c r="C33" i="28"/>
  <c r="D33" i="28"/>
  <c r="E33" i="28"/>
  <c r="F33" i="28"/>
  <c r="G33" i="28"/>
  <c r="H33" i="28"/>
  <c r="I33" i="28"/>
  <c r="J33" i="28"/>
  <c r="C34" i="28"/>
  <c r="D34" i="28"/>
  <c r="E34" i="28"/>
  <c r="F34" i="28"/>
  <c r="G34" i="28"/>
  <c r="H34" i="28"/>
  <c r="I34" i="28"/>
  <c r="J34" i="28"/>
  <c r="C35" i="28"/>
  <c r="D35" i="28"/>
  <c r="E35" i="28"/>
  <c r="F35" i="28"/>
  <c r="G35" i="28"/>
  <c r="H35" i="28"/>
  <c r="I35" i="28"/>
  <c r="J35" i="28"/>
  <c r="C36" i="28"/>
  <c r="D36" i="28"/>
  <c r="E36" i="28"/>
  <c r="F36" i="28"/>
  <c r="G36" i="28"/>
  <c r="H36" i="28"/>
  <c r="I36" i="28"/>
  <c r="J36" i="28"/>
  <c r="B6"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5" i="28"/>
  <c r="C22" i="27"/>
  <c r="D22" i="27"/>
  <c r="E22" i="27"/>
  <c r="F22" i="27"/>
  <c r="G22" i="27"/>
  <c r="H22" i="27"/>
  <c r="I22" i="27"/>
  <c r="J22" i="27"/>
  <c r="C23" i="27"/>
  <c r="D23" i="27"/>
  <c r="E23" i="27"/>
  <c r="F23" i="27"/>
  <c r="G23" i="27"/>
  <c r="H23" i="27"/>
  <c r="I23" i="27"/>
  <c r="J23" i="27"/>
  <c r="C24" i="27"/>
  <c r="D24" i="27"/>
  <c r="E24" i="27"/>
  <c r="F24" i="27"/>
  <c r="G24" i="27"/>
  <c r="H24" i="27"/>
  <c r="I24" i="27"/>
  <c r="J24" i="27"/>
  <c r="B23" i="27"/>
  <c r="B24" i="27"/>
  <c r="B22" i="27"/>
  <c r="C10" i="27"/>
  <c r="D10" i="27"/>
  <c r="E10" i="27"/>
  <c r="F10" i="27"/>
  <c r="G10" i="27"/>
  <c r="H10" i="27"/>
  <c r="I10" i="27"/>
  <c r="J10" i="27"/>
  <c r="C11" i="27"/>
  <c r="D11" i="27"/>
  <c r="E11" i="27"/>
  <c r="F11" i="27"/>
  <c r="G11" i="27"/>
  <c r="H11" i="27"/>
  <c r="I11" i="27"/>
  <c r="J11" i="27"/>
  <c r="C12" i="27"/>
  <c r="D12" i="27"/>
  <c r="E12" i="27"/>
  <c r="F12" i="27"/>
  <c r="G12" i="27"/>
  <c r="H12" i="27"/>
  <c r="I12" i="27"/>
  <c r="J12" i="27"/>
  <c r="B11" i="27"/>
  <c r="B12" i="27"/>
  <c r="B10" i="27"/>
  <c r="B6" i="26"/>
  <c r="C6" i="26"/>
  <c r="D6" i="26"/>
  <c r="F6" i="26"/>
  <c r="G6" i="26"/>
  <c r="H6" i="26"/>
  <c r="B7" i="26"/>
  <c r="C7" i="26"/>
  <c r="D7" i="26"/>
  <c r="F7" i="26"/>
  <c r="G7" i="26"/>
  <c r="H7" i="26"/>
  <c r="B8" i="26"/>
  <c r="C8" i="26"/>
  <c r="D8" i="26"/>
  <c r="F8" i="26"/>
  <c r="G8" i="26"/>
  <c r="H8" i="26"/>
  <c r="B9" i="26"/>
  <c r="C9" i="26"/>
  <c r="D9" i="26"/>
  <c r="F9" i="26"/>
  <c r="G9" i="26"/>
  <c r="H9" i="26"/>
  <c r="B10" i="26"/>
  <c r="C10" i="26"/>
  <c r="D10" i="26"/>
  <c r="F10" i="26"/>
  <c r="G10" i="26"/>
  <c r="H10" i="26"/>
  <c r="B11" i="26"/>
  <c r="C11" i="26"/>
  <c r="D11" i="26"/>
  <c r="F11" i="26"/>
  <c r="G11" i="26"/>
  <c r="H11" i="26"/>
  <c r="B12" i="26"/>
  <c r="C12" i="26"/>
  <c r="D12" i="26"/>
  <c r="F12" i="26"/>
  <c r="G12" i="26"/>
  <c r="H12" i="26"/>
  <c r="B13" i="26"/>
  <c r="C13" i="26"/>
  <c r="D13" i="26"/>
  <c r="F13" i="26"/>
  <c r="G13" i="26"/>
  <c r="H13" i="26"/>
  <c r="B14" i="26"/>
  <c r="C14" i="26"/>
  <c r="D14" i="26"/>
  <c r="F14" i="26"/>
  <c r="G14" i="26"/>
  <c r="H14" i="26"/>
  <c r="B15" i="26"/>
  <c r="C15" i="26"/>
  <c r="D15" i="26"/>
  <c r="F15" i="26"/>
  <c r="G15" i="26"/>
  <c r="H15" i="26"/>
  <c r="B16" i="26"/>
  <c r="C16" i="26"/>
  <c r="D16" i="26"/>
  <c r="F16" i="26"/>
  <c r="G16" i="26"/>
  <c r="H16" i="26"/>
  <c r="B17" i="26"/>
  <c r="C17" i="26"/>
  <c r="D17" i="26"/>
  <c r="F17" i="26"/>
  <c r="G17" i="26"/>
  <c r="H17" i="26"/>
  <c r="B18" i="26"/>
  <c r="C18" i="26"/>
  <c r="D18" i="26"/>
  <c r="F18" i="26"/>
  <c r="G18" i="26"/>
  <c r="H18" i="26"/>
  <c r="B19" i="26"/>
  <c r="C19" i="26"/>
  <c r="D19" i="26"/>
  <c r="F19" i="26"/>
  <c r="G19" i="26"/>
  <c r="H19" i="26"/>
  <c r="B20" i="26"/>
  <c r="C20" i="26"/>
  <c r="D20" i="26"/>
  <c r="F20" i="26"/>
  <c r="G20" i="26"/>
  <c r="H20" i="26"/>
  <c r="B21" i="26"/>
  <c r="C21" i="26"/>
  <c r="D21" i="26"/>
  <c r="F21" i="26"/>
  <c r="G21" i="26"/>
  <c r="H21" i="26"/>
  <c r="B22" i="26"/>
  <c r="C22" i="26"/>
  <c r="D22" i="26"/>
  <c r="F22" i="26"/>
  <c r="G22" i="26"/>
  <c r="H22" i="26"/>
  <c r="B23" i="26"/>
  <c r="C23" i="26"/>
  <c r="D23" i="26"/>
  <c r="F23" i="26"/>
  <c r="G23" i="26"/>
  <c r="H23" i="26"/>
  <c r="B24" i="26"/>
  <c r="C24" i="26"/>
  <c r="D24" i="26"/>
  <c r="F24" i="26"/>
  <c r="G24" i="26"/>
  <c r="H24" i="26"/>
  <c r="B25" i="26"/>
  <c r="C25" i="26"/>
  <c r="D25" i="26"/>
  <c r="F25" i="26"/>
  <c r="G25" i="26"/>
  <c r="H25" i="26"/>
  <c r="B26" i="26"/>
  <c r="C26" i="26"/>
  <c r="D26" i="26"/>
  <c r="F26" i="26"/>
  <c r="G26" i="26"/>
  <c r="H26" i="26"/>
  <c r="B27" i="26"/>
  <c r="C27" i="26"/>
  <c r="D27" i="26"/>
  <c r="F27" i="26"/>
  <c r="G27" i="26"/>
  <c r="H27" i="26"/>
  <c r="B28" i="26"/>
  <c r="C28" i="26"/>
  <c r="D28" i="26"/>
  <c r="F28" i="26"/>
  <c r="G28" i="26"/>
  <c r="H28" i="26"/>
  <c r="B29" i="26"/>
  <c r="C29" i="26"/>
  <c r="D29" i="26"/>
  <c r="F29" i="26"/>
  <c r="G29" i="26"/>
  <c r="H29" i="26"/>
  <c r="B30" i="26"/>
  <c r="C30" i="26"/>
  <c r="D30" i="26"/>
  <c r="F30" i="26"/>
  <c r="G30" i="26"/>
  <c r="H30" i="26"/>
  <c r="B31" i="26"/>
  <c r="C31" i="26"/>
  <c r="D31" i="26"/>
  <c r="F31" i="26"/>
  <c r="G31" i="26"/>
  <c r="H31" i="26"/>
  <c r="B32" i="26"/>
  <c r="C32" i="26"/>
  <c r="D32" i="26"/>
  <c r="F32" i="26"/>
  <c r="G32" i="26"/>
  <c r="H32" i="26"/>
  <c r="B33" i="26"/>
  <c r="C33" i="26"/>
  <c r="D33" i="26"/>
  <c r="F33" i="26"/>
  <c r="G33" i="26"/>
  <c r="H33" i="26"/>
  <c r="B34" i="26"/>
  <c r="C34" i="26"/>
  <c r="D34" i="26"/>
  <c r="F34" i="26"/>
  <c r="G34" i="26"/>
  <c r="H34" i="26"/>
  <c r="B35" i="26"/>
  <c r="C35" i="26"/>
  <c r="D35" i="26"/>
  <c r="F35" i="26"/>
  <c r="G35" i="26"/>
  <c r="H35" i="26"/>
  <c r="B36" i="26"/>
  <c r="C36" i="26"/>
  <c r="D36" i="26"/>
  <c r="F36" i="26"/>
  <c r="G36" i="26"/>
  <c r="H36" i="26"/>
  <c r="G5" i="26"/>
  <c r="H5" i="26"/>
  <c r="F5" i="26"/>
  <c r="D5" i="26"/>
  <c r="C5" i="26"/>
  <c r="B5" i="26"/>
  <c r="B5" i="79"/>
  <c r="C5" i="79"/>
  <c r="G5" i="79" s="1"/>
  <c r="B6" i="79"/>
  <c r="F6" i="79" s="1"/>
  <c r="C6" i="79"/>
  <c r="B7" i="79"/>
  <c r="F7" i="79" s="1"/>
  <c r="C7" i="79"/>
  <c r="G7" i="79" s="1"/>
  <c r="B8" i="79"/>
  <c r="F8" i="79" s="1"/>
  <c r="C8" i="79"/>
  <c r="G8" i="79" s="1"/>
  <c r="B9" i="79"/>
  <c r="F9" i="79" s="1"/>
  <c r="C9" i="79"/>
  <c r="G9" i="79" s="1"/>
  <c r="B10" i="79"/>
  <c r="F10" i="79" s="1"/>
  <c r="C10" i="79"/>
  <c r="B11" i="79"/>
  <c r="C11" i="79"/>
  <c r="G11" i="79" s="1"/>
  <c r="B12" i="79"/>
  <c r="C12" i="79"/>
  <c r="G12" i="79" s="1"/>
  <c r="B13" i="79"/>
  <c r="F13" i="79" s="1"/>
  <c r="C13" i="79"/>
  <c r="G13" i="79" s="1"/>
  <c r="B14" i="79"/>
  <c r="F14" i="79" s="1"/>
  <c r="C14" i="79"/>
  <c r="G14" i="79" s="1"/>
  <c r="B15" i="79"/>
  <c r="C15" i="79"/>
  <c r="G15" i="79" s="1"/>
  <c r="B16" i="79"/>
  <c r="F16" i="79" s="1"/>
  <c r="C16" i="79"/>
  <c r="G16" i="79" s="1"/>
  <c r="B17" i="79"/>
  <c r="C17" i="79"/>
  <c r="G17" i="79" s="1"/>
  <c r="B18" i="79"/>
  <c r="F18" i="79" s="1"/>
  <c r="C18" i="79"/>
  <c r="B19" i="79"/>
  <c r="F19" i="79" s="1"/>
  <c r="C19" i="79"/>
  <c r="G19" i="79" s="1"/>
  <c r="B20" i="79"/>
  <c r="F20" i="79" s="1"/>
  <c r="C20" i="79"/>
  <c r="G20" i="79" s="1"/>
  <c r="B21" i="79"/>
  <c r="F21" i="79" s="1"/>
  <c r="C21" i="79"/>
  <c r="G21" i="79" s="1"/>
  <c r="B22" i="79"/>
  <c r="F22" i="79" s="1"/>
  <c r="C22" i="79"/>
  <c r="B23" i="79"/>
  <c r="C23" i="79"/>
  <c r="G23" i="79" s="1"/>
  <c r="B24" i="79"/>
  <c r="C24" i="79"/>
  <c r="G24" i="79" s="1"/>
  <c r="B25" i="79"/>
  <c r="C25" i="79"/>
  <c r="G25" i="79" s="1"/>
  <c r="B26" i="79"/>
  <c r="F26" i="79" s="1"/>
  <c r="C26" i="79"/>
  <c r="G26" i="79" s="1"/>
  <c r="B27" i="79"/>
  <c r="F27" i="79" s="1"/>
  <c r="C27" i="79"/>
  <c r="G27" i="79" s="1"/>
  <c r="B28" i="79"/>
  <c r="C28" i="79"/>
  <c r="G28" i="79" s="1"/>
  <c r="B29" i="79"/>
  <c r="C29" i="79"/>
  <c r="G29" i="79" s="1"/>
  <c r="B30" i="79"/>
  <c r="F30" i="79" s="1"/>
  <c r="C30" i="79"/>
  <c r="G30" i="79" s="1"/>
  <c r="B31" i="79"/>
  <c r="C31" i="79"/>
  <c r="G31" i="79" s="1"/>
  <c r="B32" i="79"/>
  <c r="F32" i="79" s="1"/>
  <c r="C32" i="79"/>
  <c r="G32" i="79" s="1"/>
  <c r="B33" i="79"/>
  <c r="C33" i="79"/>
  <c r="G33" i="79" s="1"/>
  <c r="B34" i="79"/>
  <c r="F34" i="79" s="1"/>
  <c r="C34" i="79"/>
  <c r="B35" i="79"/>
  <c r="C35" i="79"/>
  <c r="G35" i="79" s="1"/>
  <c r="F11" i="79"/>
  <c r="C4" i="79"/>
  <c r="G4" i="79" s="1"/>
  <c r="B4" i="79"/>
  <c r="F4" i="79" s="1"/>
  <c r="G48" i="79"/>
  <c r="G49" i="79"/>
  <c r="G50" i="79"/>
  <c r="G51" i="79"/>
  <c r="G52" i="79"/>
  <c r="G53" i="79"/>
  <c r="G54" i="79"/>
  <c r="G47" i="79"/>
  <c r="E47" i="79"/>
  <c r="E48" i="79"/>
  <c r="E49" i="79"/>
  <c r="E50" i="79"/>
  <c r="E51" i="79"/>
  <c r="E52" i="79"/>
  <c r="E53" i="79"/>
  <c r="E54" i="79"/>
  <c r="T12" i="25"/>
  <c r="P31" i="25"/>
  <c r="P30" i="25"/>
  <c r="P29" i="25"/>
  <c r="P15" i="25"/>
  <c r="P14" i="25"/>
  <c r="P13" i="25"/>
  <c r="O31" i="25"/>
  <c r="O30" i="25"/>
  <c r="O29" i="25"/>
  <c r="O15" i="25"/>
  <c r="O14" i="25"/>
  <c r="O13" i="25"/>
  <c r="N31" i="25"/>
  <c r="F16" i="172" s="1"/>
  <c r="N30" i="25"/>
  <c r="F15" i="172" s="1"/>
  <c r="N29" i="25"/>
  <c r="F14" i="172" s="1"/>
  <c r="N15" i="25"/>
  <c r="F16" i="171" s="1"/>
  <c r="N14" i="25"/>
  <c r="F15" i="171" s="1"/>
  <c r="N13" i="25"/>
  <c r="F14" i="171" s="1"/>
  <c r="L31" i="25"/>
  <c r="L30" i="25"/>
  <c r="L29" i="25"/>
  <c r="L15" i="25"/>
  <c r="L14" i="25"/>
  <c r="L13" i="25"/>
  <c r="K31" i="25"/>
  <c r="K30" i="25"/>
  <c r="K29" i="25"/>
  <c r="K15" i="25"/>
  <c r="K14" i="25"/>
  <c r="K13" i="25"/>
  <c r="J31" i="25"/>
  <c r="E16" i="172" s="1"/>
  <c r="J30" i="25"/>
  <c r="E15" i="172" s="1"/>
  <c r="J29" i="25"/>
  <c r="E14" i="172" s="1"/>
  <c r="J15" i="25"/>
  <c r="E16" i="171" s="1"/>
  <c r="J14" i="25"/>
  <c r="E15" i="171" s="1"/>
  <c r="J13" i="25"/>
  <c r="E14" i="171" s="1"/>
  <c r="H31" i="25"/>
  <c r="H30" i="25"/>
  <c r="H29" i="25"/>
  <c r="H15" i="25"/>
  <c r="H14" i="25"/>
  <c r="H13" i="25"/>
  <c r="G31" i="25"/>
  <c r="G30" i="25"/>
  <c r="G29" i="25"/>
  <c r="G15" i="25"/>
  <c r="G14" i="25"/>
  <c r="G13" i="25"/>
  <c r="F31" i="25"/>
  <c r="D16" i="172" s="1"/>
  <c r="F30" i="25"/>
  <c r="D15" i="172" s="1"/>
  <c r="F29" i="25"/>
  <c r="D14" i="172" s="1"/>
  <c r="F15" i="25"/>
  <c r="D16" i="171" s="1"/>
  <c r="F14" i="25"/>
  <c r="D15" i="171" s="1"/>
  <c r="F13" i="25"/>
  <c r="D14" i="171" s="1"/>
  <c r="D31" i="25"/>
  <c r="G57" i="79" s="1"/>
  <c r="D30" i="25"/>
  <c r="G56" i="79" s="1"/>
  <c r="D29" i="25"/>
  <c r="G55" i="79" s="1"/>
  <c r="D15" i="25"/>
  <c r="E57" i="79" s="1"/>
  <c r="D14" i="25"/>
  <c r="E56" i="79" s="1"/>
  <c r="D13" i="25"/>
  <c r="E55" i="79" s="1"/>
  <c r="B31" i="25"/>
  <c r="B30" i="25"/>
  <c r="B29" i="25"/>
  <c r="C31" i="25"/>
  <c r="C30" i="25"/>
  <c r="C29" i="25"/>
  <c r="C15" i="25"/>
  <c r="C14" i="25"/>
  <c r="C13" i="25"/>
  <c r="B15" i="25"/>
  <c r="B14" i="25"/>
  <c r="B13" i="25"/>
  <c r="H37" i="166"/>
  <c r="I37" i="166" s="1"/>
  <c r="E17" i="176" s="1"/>
  <c r="H36" i="166"/>
  <c r="I36" i="166" s="1"/>
  <c r="E16" i="176" s="1"/>
  <c r="H34" i="166"/>
  <c r="I34" i="166" s="1"/>
  <c r="E14" i="176" s="1"/>
  <c r="H35" i="166"/>
  <c r="I35" i="166" s="1"/>
  <c r="E15" i="176" s="1"/>
  <c r="H32" i="166"/>
  <c r="I32" i="166" s="1"/>
  <c r="E12" i="176" s="1"/>
  <c r="H33" i="166"/>
  <c r="I33" i="166" s="1"/>
  <c r="E13" i="176" s="1"/>
  <c r="H30" i="166"/>
  <c r="I30" i="166" s="1"/>
  <c r="E10" i="176" s="1"/>
  <c r="H31" i="166"/>
  <c r="I31" i="166" s="1"/>
  <c r="E11" i="176" s="1"/>
  <c r="H28" i="166"/>
  <c r="I28" i="166" s="1"/>
  <c r="E8" i="176" s="1"/>
  <c r="H29" i="166"/>
  <c r="I29" i="166" s="1"/>
  <c r="E9" i="176" s="1"/>
  <c r="I27" i="166"/>
  <c r="E7" i="176" s="1"/>
  <c r="B37" i="166"/>
  <c r="C37" i="166" s="1"/>
  <c r="C17" i="176" s="1"/>
  <c r="B36" i="166"/>
  <c r="C36" i="166" s="1"/>
  <c r="C16" i="176" s="1"/>
  <c r="B35" i="166"/>
  <c r="C35" i="166" s="1"/>
  <c r="C15" i="176" s="1"/>
  <c r="B34" i="166"/>
  <c r="C34" i="166" s="1"/>
  <c r="C14" i="176" s="1"/>
  <c r="B32" i="166"/>
  <c r="C32" i="166" s="1"/>
  <c r="C12" i="176" s="1"/>
  <c r="B33" i="166"/>
  <c r="C33" i="166" s="1"/>
  <c r="C13" i="176" s="1"/>
  <c r="B30" i="166"/>
  <c r="C30" i="166" s="1"/>
  <c r="C10" i="176" s="1"/>
  <c r="B31" i="166"/>
  <c r="C31" i="166" s="1"/>
  <c r="C11" i="176" s="1"/>
  <c r="B28" i="166"/>
  <c r="C28" i="166" s="1"/>
  <c r="C8" i="176" s="1"/>
  <c r="B29" i="166"/>
  <c r="C29" i="166" s="1"/>
  <c r="C9" i="176" s="1"/>
  <c r="C27" i="166"/>
  <c r="C7" i="176" s="1"/>
  <c r="H15" i="166"/>
  <c r="H14" i="166"/>
  <c r="H13" i="166"/>
  <c r="H12" i="166"/>
  <c r="H11" i="166"/>
  <c r="H10" i="166"/>
  <c r="H9" i="166"/>
  <c r="H8" i="166"/>
  <c r="H7" i="166"/>
  <c r="H6" i="166"/>
  <c r="H5" i="166"/>
  <c r="B15" i="166"/>
  <c r="B14" i="166"/>
  <c r="B13" i="166"/>
  <c r="B12" i="166"/>
  <c r="B11" i="166"/>
  <c r="B10" i="166"/>
  <c r="B9" i="166"/>
  <c r="B8" i="166"/>
  <c r="B7" i="166"/>
  <c r="B6" i="166"/>
  <c r="B5" i="166"/>
  <c r="E27" i="14"/>
  <c r="F27" i="14" s="1"/>
  <c r="D5" i="178" s="1"/>
  <c r="E28" i="14"/>
  <c r="F28" i="14" s="1"/>
  <c r="D6" i="178" s="1"/>
  <c r="E29" i="14"/>
  <c r="F29" i="14" s="1"/>
  <c r="D7" i="178" s="1"/>
  <c r="E30" i="14"/>
  <c r="F30" i="14" s="1"/>
  <c r="D8" i="178" s="1"/>
  <c r="E31" i="14"/>
  <c r="F31" i="14" s="1"/>
  <c r="D9" i="178" s="1"/>
  <c r="E32" i="14"/>
  <c r="F32" i="14" s="1"/>
  <c r="D10" i="178" s="1"/>
  <c r="E33" i="14"/>
  <c r="F33" i="14" s="1"/>
  <c r="D11" i="178" s="1"/>
  <c r="E34" i="14"/>
  <c r="F34" i="14" s="1"/>
  <c r="D12" i="178" s="1"/>
  <c r="H31" i="14"/>
  <c r="I31" i="14" s="1"/>
  <c r="E9" i="178" s="1"/>
  <c r="H32" i="14"/>
  <c r="I32" i="14" s="1"/>
  <c r="E10" i="178" s="1"/>
  <c r="H33" i="14"/>
  <c r="I33" i="14" s="1"/>
  <c r="E11" i="178" s="1"/>
  <c r="H34" i="14"/>
  <c r="I34" i="14" s="1"/>
  <c r="E12" i="178" s="1"/>
  <c r="H35" i="14"/>
  <c r="I35" i="14" s="1"/>
  <c r="E13" i="178" s="1"/>
  <c r="H36" i="14"/>
  <c r="I36" i="14" s="1"/>
  <c r="E14" i="178" s="1"/>
  <c r="H37" i="14"/>
  <c r="I37" i="14" s="1"/>
  <c r="E15" i="178" s="1"/>
  <c r="H30" i="14"/>
  <c r="I30" i="14" s="1"/>
  <c r="E8" i="178" s="1"/>
  <c r="H29" i="14"/>
  <c r="I29" i="14" s="1"/>
  <c r="E7" i="178" s="1"/>
  <c r="H28" i="14"/>
  <c r="I28" i="14" s="1"/>
  <c r="E6" i="178" s="1"/>
  <c r="H27" i="14"/>
  <c r="I27" i="14" s="1"/>
  <c r="E5" i="178" s="1"/>
  <c r="B37" i="14"/>
  <c r="C37" i="14" s="1"/>
  <c r="C15" i="178" s="1"/>
  <c r="H6" i="14"/>
  <c r="I6" i="14" s="1"/>
  <c r="H7" i="14"/>
  <c r="I7" i="14" s="1"/>
  <c r="H8" i="14"/>
  <c r="I8" i="14" s="1"/>
  <c r="H9" i="14"/>
  <c r="I9" i="14" s="1"/>
  <c r="E5" i="177" s="1"/>
  <c r="H10" i="14"/>
  <c r="I10" i="14" s="1"/>
  <c r="E6" i="177" s="1"/>
  <c r="H11" i="14"/>
  <c r="I11" i="14" s="1"/>
  <c r="E7" i="177" s="1"/>
  <c r="H12" i="14"/>
  <c r="I12" i="14" s="1"/>
  <c r="E8" i="177" s="1"/>
  <c r="H13" i="14"/>
  <c r="I13" i="14" s="1"/>
  <c r="E9" i="177" s="1"/>
  <c r="H14" i="14"/>
  <c r="I14" i="14" s="1"/>
  <c r="E10" i="177" s="1"/>
  <c r="H15" i="14"/>
  <c r="I15" i="14" s="1"/>
  <c r="E11" i="177" s="1"/>
  <c r="H5" i="14"/>
  <c r="I5" i="14" s="1"/>
  <c r="B15" i="14"/>
  <c r="B29" i="14"/>
  <c r="C29" i="14" s="1"/>
  <c r="C7" i="178" s="1"/>
  <c r="B36" i="14"/>
  <c r="C36" i="14" s="1"/>
  <c r="C14" i="178" s="1"/>
  <c r="B33" i="14"/>
  <c r="C33" i="14" s="1"/>
  <c r="C11" i="178" s="1"/>
  <c r="B34" i="14"/>
  <c r="C34" i="14" s="1"/>
  <c r="C12" i="178" s="1"/>
  <c r="B35" i="14"/>
  <c r="C35" i="14" s="1"/>
  <c r="C13" i="178" s="1"/>
  <c r="B32" i="14"/>
  <c r="C32" i="14" s="1"/>
  <c r="C10" i="178" s="1"/>
  <c r="B31" i="14"/>
  <c r="C31" i="14" s="1"/>
  <c r="C9" i="178" s="1"/>
  <c r="B30" i="14"/>
  <c r="C30" i="14" s="1"/>
  <c r="C8" i="178" s="1"/>
  <c r="B28" i="14"/>
  <c r="C28" i="14" s="1"/>
  <c r="C6" i="178" s="1"/>
  <c r="B27" i="14"/>
  <c r="C27" i="14" s="1"/>
  <c r="C5" i="178" s="1"/>
  <c r="B13" i="14"/>
  <c r="C13" i="14" s="1"/>
  <c r="C9" i="177" s="1"/>
  <c r="B14" i="14"/>
  <c r="C14" i="14" s="1"/>
  <c r="C10" i="177" s="1"/>
  <c r="B12" i="14"/>
  <c r="C12" i="14" s="1"/>
  <c r="C8" i="177" s="1"/>
  <c r="B11" i="14"/>
  <c r="C11" i="14" s="1"/>
  <c r="C7" i="177" s="1"/>
  <c r="B10" i="14"/>
  <c r="C10" i="14" s="1"/>
  <c r="C6" i="177" s="1"/>
  <c r="B9" i="14"/>
  <c r="C9" i="14" s="1"/>
  <c r="C5" i="177" s="1"/>
  <c r="B8" i="14"/>
  <c r="C8" i="14" s="1"/>
  <c r="B7" i="14"/>
  <c r="C7" i="14" s="1"/>
  <c r="B6" i="14"/>
  <c r="C6" i="14" s="1"/>
  <c r="B5" i="14"/>
  <c r="C5" i="14" s="1"/>
  <c r="C6" i="99"/>
  <c r="D6" i="99"/>
  <c r="E6" i="99"/>
  <c r="F6" i="99"/>
  <c r="G6" i="99"/>
  <c r="H6" i="99"/>
  <c r="I6" i="99"/>
  <c r="J6" i="99"/>
  <c r="C7" i="99"/>
  <c r="D7" i="99"/>
  <c r="E7" i="99"/>
  <c r="F7" i="99"/>
  <c r="G7" i="99"/>
  <c r="H7" i="99"/>
  <c r="I7" i="99"/>
  <c r="J7" i="99"/>
  <c r="C8" i="99"/>
  <c r="D8" i="99"/>
  <c r="E8" i="99"/>
  <c r="F8" i="99"/>
  <c r="G8" i="99"/>
  <c r="H8" i="99"/>
  <c r="I8" i="99"/>
  <c r="J8" i="99"/>
  <c r="C9" i="99"/>
  <c r="D9" i="99"/>
  <c r="E9" i="99"/>
  <c r="F9" i="99"/>
  <c r="G9" i="99"/>
  <c r="H9" i="99"/>
  <c r="I9" i="99"/>
  <c r="J9" i="99"/>
  <c r="C10" i="99"/>
  <c r="D10" i="99"/>
  <c r="E10" i="99"/>
  <c r="F10" i="99"/>
  <c r="G10" i="99"/>
  <c r="H10" i="99"/>
  <c r="I10" i="99"/>
  <c r="J10" i="99"/>
  <c r="C11" i="99"/>
  <c r="D11" i="99"/>
  <c r="E11" i="99"/>
  <c r="F11" i="99"/>
  <c r="G11" i="99"/>
  <c r="H11" i="99"/>
  <c r="I11" i="99"/>
  <c r="J11" i="99"/>
  <c r="C12" i="99"/>
  <c r="D12" i="99"/>
  <c r="E12" i="99"/>
  <c r="F12" i="99"/>
  <c r="G12" i="99"/>
  <c r="H12" i="99"/>
  <c r="I12" i="99"/>
  <c r="J12" i="99"/>
  <c r="C13" i="99"/>
  <c r="D13" i="99"/>
  <c r="E13" i="99"/>
  <c r="F13" i="99"/>
  <c r="G13" i="99"/>
  <c r="H13" i="99"/>
  <c r="I13" i="99"/>
  <c r="J13" i="99"/>
  <c r="C14" i="99"/>
  <c r="D14" i="99"/>
  <c r="E14" i="99"/>
  <c r="F14" i="99"/>
  <c r="G14" i="99"/>
  <c r="H14" i="99"/>
  <c r="I14" i="99"/>
  <c r="J14" i="99"/>
  <c r="C15" i="99"/>
  <c r="D15" i="99"/>
  <c r="E15" i="99"/>
  <c r="F15" i="99"/>
  <c r="G15" i="99"/>
  <c r="H15" i="99"/>
  <c r="I15" i="99"/>
  <c r="J15" i="99"/>
  <c r="C16" i="99"/>
  <c r="D16" i="99"/>
  <c r="E16" i="99"/>
  <c r="F16" i="99"/>
  <c r="G16" i="99"/>
  <c r="H16" i="99"/>
  <c r="I16" i="99"/>
  <c r="J16" i="99"/>
  <c r="C17" i="99"/>
  <c r="D17" i="99"/>
  <c r="E17" i="99"/>
  <c r="F17" i="99"/>
  <c r="G17" i="99"/>
  <c r="H17" i="99"/>
  <c r="I17" i="99"/>
  <c r="J17" i="99"/>
  <c r="C18" i="99"/>
  <c r="D18" i="99"/>
  <c r="E18" i="99"/>
  <c r="F18" i="99"/>
  <c r="G18" i="99"/>
  <c r="H18" i="99"/>
  <c r="I18" i="99"/>
  <c r="J18" i="99"/>
  <c r="C19" i="99"/>
  <c r="D19" i="99"/>
  <c r="E19" i="99"/>
  <c r="F19" i="99"/>
  <c r="G19" i="99"/>
  <c r="H19" i="99"/>
  <c r="I19" i="99"/>
  <c r="J19" i="99"/>
  <c r="C20" i="99"/>
  <c r="D20" i="99"/>
  <c r="E20" i="99"/>
  <c r="F20" i="99"/>
  <c r="G20" i="99"/>
  <c r="H20" i="99"/>
  <c r="I20" i="99"/>
  <c r="J20" i="99"/>
  <c r="C21" i="99"/>
  <c r="D21" i="99"/>
  <c r="E21" i="99"/>
  <c r="F21" i="99"/>
  <c r="G21" i="99"/>
  <c r="H21" i="99"/>
  <c r="I21" i="99"/>
  <c r="J21" i="99"/>
  <c r="C22" i="99"/>
  <c r="D22" i="99"/>
  <c r="E22" i="99"/>
  <c r="F22" i="99"/>
  <c r="G22" i="99"/>
  <c r="H22" i="99"/>
  <c r="I22" i="99"/>
  <c r="J22" i="99"/>
  <c r="C23" i="99"/>
  <c r="D23" i="99"/>
  <c r="E23" i="99"/>
  <c r="F23" i="99"/>
  <c r="G23" i="99"/>
  <c r="H23" i="99"/>
  <c r="I23" i="99"/>
  <c r="J23" i="99"/>
  <c r="C24" i="99"/>
  <c r="D24" i="99"/>
  <c r="E24" i="99"/>
  <c r="F24" i="99"/>
  <c r="G24" i="99"/>
  <c r="H24" i="99"/>
  <c r="I24" i="99"/>
  <c r="J24" i="99"/>
  <c r="C25" i="99"/>
  <c r="D25" i="99"/>
  <c r="E25" i="99"/>
  <c r="F25" i="99"/>
  <c r="G25" i="99"/>
  <c r="H25" i="99"/>
  <c r="I25" i="99"/>
  <c r="J25" i="99"/>
  <c r="C26" i="99"/>
  <c r="D26" i="99"/>
  <c r="E26" i="99"/>
  <c r="F26" i="99"/>
  <c r="G26" i="99"/>
  <c r="H26" i="99"/>
  <c r="I26" i="99"/>
  <c r="J26" i="99"/>
  <c r="C27" i="99"/>
  <c r="D27" i="99"/>
  <c r="E27" i="99"/>
  <c r="F27" i="99"/>
  <c r="G27" i="99"/>
  <c r="H27" i="99"/>
  <c r="I27" i="99"/>
  <c r="J27" i="99"/>
  <c r="C28" i="99"/>
  <c r="D28" i="99"/>
  <c r="E28" i="99"/>
  <c r="F28" i="99"/>
  <c r="G28" i="99"/>
  <c r="H28" i="99"/>
  <c r="I28" i="99"/>
  <c r="J28" i="99"/>
  <c r="C29" i="99"/>
  <c r="D29" i="99"/>
  <c r="E29" i="99"/>
  <c r="F29" i="99"/>
  <c r="G29" i="99"/>
  <c r="H29" i="99"/>
  <c r="I29" i="99"/>
  <c r="J29" i="99"/>
  <c r="C30" i="99"/>
  <c r="D30" i="99"/>
  <c r="E30" i="99"/>
  <c r="F30" i="99"/>
  <c r="G30" i="99"/>
  <c r="H30" i="99"/>
  <c r="I30" i="99"/>
  <c r="J30" i="99"/>
  <c r="C31" i="99"/>
  <c r="D31" i="99"/>
  <c r="E31" i="99"/>
  <c r="F31" i="99"/>
  <c r="G31" i="99"/>
  <c r="H31" i="99"/>
  <c r="I31" i="99"/>
  <c r="J31" i="99"/>
  <c r="C32" i="99"/>
  <c r="D32" i="99"/>
  <c r="E32" i="99"/>
  <c r="F32" i="99"/>
  <c r="G32" i="99"/>
  <c r="H32" i="99"/>
  <c r="I32" i="99"/>
  <c r="J32" i="99"/>
  <c r="C33" i="99"/>
  <c r="D33" i="99"/>
  <c r="E33" i="99"/>
  <c r="F33" i="99"/>
  <c r="G33" i="99"/>
  <c r="H33" i="99"/>
  <c r="I33" i="99"/>
  <c r="J33" i="99"/>
  <c r="C34" i="99"/>
  <c r="D34" i="99"/>
  <c r="E34" i="99"/>
  <c r="F34" i="99"/>
  <c r="G34" i="99"/>
  <c r="H34" i="99"/>
  <c r="I34" i="99"/>
  <c r="J34" i="99"/>
  <c r="C35" i="99"/>
  <c r="D35" i="99"/>
  <c r="E35" i="99"/>
  <c r="F35" i="99"/>
  <c r="G35" i="99"/>
  <c r="H35" i="99"/>
  <c r="I35" i="99"/>
  <c r="J35" i="99"/>
  <c r="C36" i="99"/>
  <c r="D36" i="99"/>
  <c r="E36" i="99"/>
  <c r="F36" i="99"/>
  <c r="G36" i="99"/>
  <c r="H36" i="99"/>
  <c r="I36" i="99"/>
  <c r="J36" i="99"/>
  <c r="C37" i="99"/>
  <c r="D37" i="99"/>
  <c r="E37" i="99"/>
  <c r="F37" i="99"/>
  <c r="G37" i="99"/>
  <c r="H37" i="99"/>
  <c r="I37" i="99"/>
  <c r="J37" i="99"/>
  <c r="B7" i="99"/>
  <c r="B8" i="99"/>
  <c r="B9" i="99"/>
  <c r="B10" i="99"/>
  <c r="B11" i="99"/>
  <c r="B12" i="99"/>
  <c r="B13" i="99"/>
  <c r="B14" i="99"/>
  <c r="B15" i="99"/>
  <c r="B16" i="99"/>
  <c r="B17" i="99"/>
  <c r="B18" i="99"/>
  <c r="B19" i="99"/>
  <c r="B20" i="99"/>
  <c r="B21" i="99"/>
  <c r="B22" i="99"/>
  <c r="B23" i="99"/>
  <c r="B24" i="99"/>
  <c r="B25" i="99"/>
  <c r="B26" i="99"/>
  <c r="B27" i="99"/>
  <c r="B28" i="99"/>
  <c r="B29" i="99"/>
  <c r="B30" i="99"/>
  <c r="B31" i="99"/>
  <c r="B32" i="99"/>
  <c r="B33" i="99"/>
  <c r="B34" i="99"/>
  <c r="B35" i="99"/>
  <c r="B36" i="99"/>
  <c r="B37" i="99"/>
  <c r="B6" i="99"/>
  <c r="C6" i="13"/>
  <c r="D6" i="13"/>
  <c r="E6" i="13"/>
  <c r="F6" i="13"/>
  <c r="G6" i="13"/>
  <c r="H6" i="13"/>
  <c r="I6" i="13"/>
  <c r="J6" i="13"/>
  <c r="K6" i="13"/>
  <c r="C7" i="13"/>
  <c r="D7" i="13"/>
  <c r="E7" i="13"/>
  <c r="F7" i="13"/>
  <c r="G7" i="13"/>
  <c r="H7" i="13"/>
  <c r="I7" i="13"/>
  <c r="J7" i="13"/>
  <c r="K7" i="13"/>
  <c r="C8" i="13"/>
  <c r="D8" i="13"/>
  <c r="E8" i="13"/>
  <c r="F8" i="13"/>
  <c r="G8" i="13"/>
  <c r="H8" i="13"/>
  <c r="I8" i="13"/>
  <c r="J8" i="13"/>
  <c r="K8" i="13"/>
  <c r="C9" i="13"/>
  <c r="D9" i="13"/>
  <c r="E9" i="13"/>
  <c r="F9" i="13"/>
  <c r="G9" i="13"/>
  <c r="H9" i="13"/>
  <c r="I9" i="13"/>
  <c r="J9" i="13"/>
  <c r="K9" i="13"/>
  <c r="C10" i="13"/>
  <c r="D10" i="13"/>
  <c r="E10" i="13"/>
  <c r="F10" i="13"/>
  <c r="G10" i="13"/>
  <c r="H10" i="13"/>
  <c r="I10" i="13"/>
  <c r="J10" i="13"/>
  <c r="K10" i="13"/>
  <c r="C11" i="13"/>
  <c r="D11" i="13"/>
  <c r="E11" i="13"/>
  <c r="F11" i="13"/>
  <c r="G11" i="13"/>
  <c r="H11" i="13"/>
  <c r="I11" i="13"/>
  <c r="J11" i="13"/>
  <c r="K11" i="13"/>
  <c r="C12" i="13"/>
  <c r="D12" i="13"/>
  <c r="E12" i="13"/>
  <c r="F12" i="13"/>
  <c r="G12" i="13"/>
  <c r="H12" i="13"/>
  <c r="I12" i="13"/>
  <c r="J12" i="13"/>
  <c r="K12" i="13"/>
  <c r="C13" i="13"/>
  <c r="D13" i="13"/>
  <c r="E13" i="13"/>
  <c r="F13" i="13"/>
  <c r="G13" i="13"/>
  <c r="H13" i="13"/>
  <c r="I13" i="13"/>
  <c r="J13" i="13"/>
  <c r="K13" i="13"/>
  <c r="C14" i="13"/>
  <c r="D14" i="13"/>
  <c r="E14" i="13"/>
  <c r="F14" i="13"/>
  <c r="G14" i="13"/>
  <c r="H14" i="13"/>
  <c r="I14" i="13"/>
  <c r="J14" i="13"/>
  <c r="K14" i="13"/>
  <c r="C15" i="13"/>
  <c r="D15" i="13"/>
  <c r="E15" i="13"/>
  <c r="F15" i="13"/>
  <c r="G15" i="13"/>
  <c r="H15" i="13"/>
  <c r="I15" i="13"/>
  <c r="J15" i="13"/>
  <c r="K15" i="13"/>
  <c r="C16" i="13"/>
  <c r="D16" i="13"/>
  <c r="E16" i="13"/>
  <c r="F16" i="13"/>
  <c r="G16" i="13"/>
  <c r="H16" i="13"/>
  <c r="I16" i="13"/>
  <c r="J16" i="13"/>
  <c r="K16" i="13"/>
  <c r="C17" i="13"/>
  <c r="D17" i="13"/>
  <c r="E17" i="13"/>
  <c r="F17" i="13"/>
  <c r="G17" i="13"/>
  <c r="H17" i="13"/>
  <c r="I17" i="13"/>
  <c r="J17" i="13"/>
  <c r="K17" i="13"/>
  <c r="C18" i="13"/>
  <c r="D18" i="13"/>
  <c r="E18" i="13"/>
  <c r="F18" i="13"/>
  <c r="G18" i="13"/>
  <c r="H18" i="13"/>
  <c r="I18" i="13"/>
  <c r="J18" i="13"/>
  <c r="K18" i="13"/>
  <c r="C19" i="13"/>
  <c r="D19" i="13"/>
  <c r="E19" i="13"/>
  <c r="F19" i="13"/>
  <c r="G19" i="13"/>
  <c r="H19" i="13"/>
  <c r="I19" i="13"/>
  <c r="J19" i="13"/>
  <c r="K19" i="13"/>
  <c r="C20" i="13"/>
  <c r="D20" i="13"/>
  <c r="E20" i="13"/>
  <c r="F20" i="13"/>
  <c r="G20" i="13"/>
  <c r="H20" i="13"/>
  <c r="I20" i="13"/>
  <c r="J20" i="13"/>
  <c r="K20" i="13"/>
  <c r="C21" i="13"/>
  <c r="D21" i="13"/>
  <c r="E21" i="13"/>
  <c r="F21" i="13"/>
  <c r="G21" i="13"/>
  <c r="H21" i="13"/>
  <c r="I21" i="13"/>
  <c r="J21" i="13"/>
  <c r="K21" i="13"/>
  <c r="C22" i="13"/>
  <c r="D22" i="13"/>
  <c r="E22" i="13"/>
  <c r="F22" i="13"/>
  <c r="G22" i="13"/>
  <c r="H22" i="13"/>
  <c r="I22" i="13"/>
  <c r="J22" i="13"/>
  <c r="K22" i="13"/>
  <c r="C23" i="13"/>
  <c r="D23" i="13"/>
  <c r="E23" i="13"/>
  <c r="F23" i="13"/>
  <c r="G23" i="13"/>
  <c r="H23" i="13"/>
  <c r="I23" i="13"/>
  <c r="J23" i="13"/>
  <c r="K23" i="13"/>
  <c r="C24" i="13"/>
  <c r="D24" i="13"/>
  <c r="E24" i="13"/>
  <c r="F24" i="13"/>
  <c r="G24" i="13"/>
  <c r="H24" i="13"/>
  <c r="I24" i="13"/>
  <c r="J24" i="13"/>
  <c r="K24" i="13"/>
  <c r="C25" i="13"/>
  <c r="D25" i="13"/>
  <c r="E25" i="13"/>
  <c r="F25" i="13"/>
  <c r="G25" i="13"/>
  <c r="H25" i="13"/>
  <c r="I25" i="13"/>
  <c r="J25" i="13"/>
  <c r="K25" i="13"/>
  <c r="C26" i="13"/>
  <c r="D26" i="13"/>
  <c r="E26" i="13"/>
  <c r="F26" i="13"/>
  <c r="G26" i="13"/>
  <c r="H26" i="13"/>
  <c r="I26" i="13"/>
  <c r="J26" i="13"/>
  <c r="K26" i="13"/>
  <c r="C27" i="13"/>
  <c r="D27" i="13"/>
  <c r="E27" i="13"/>
  <c r="F27" i="13"/>
  <c r="G27" i="13"/>
  <c r="H27" i="13"/>
  <c r="I27" i="13"/>
  <c r="J27" i="13"/>
  <c r="K27" i="13"/>
  <c r="C28" i="13"/>
  <c r="D28" i="13"/>
  <c r="E28" i="13"/>
  <c r="F28" i="13"/>
  <c r="G28" i="13"/>
  <c r="H28" i="13"/>
  <c r="I28" i="13"/>
  <c r="J28" i="13"/>
  <c r="K28" i="13"/>
  <c r="C29" i="13"/>
  <c r="D29" i="13"/>
  <c r="E29" i="13"/>
  <c r="F29" i="13"/>
  <c r="G29" i="13"/>
  <c r="H29" i="13"/>
  <c r="I29" i="13"/>
  <c r="J29" i="13"/>
  <c r="K29" i="13"/>
  <c r="C30" i="13"/>
  <c r="D30" i="13"/>
  <c r="E30" i="13"/>
  <c r="F30" i="13"/>
  <c r="G30" i="13"/>
  <c r="H30" i="13"/>
  <c r="I30" i="13"/>
  <c r="J30" i="13"/>
  <c r="K30" i="13"/>
  <c r="C31" i="13"/>
  <c r="D31" i="13"/>
  <c r="E31" i="13"/>
  <c r="F31" i="13"/>
  <c r="G31" i="13"/>
  <c r="H31" i="13"/>
  <c r="I31" i="13"/>
  <c r="J31" i="13"/>
  <c r="K31" i="13"/>
  <c r="C32" i="13"/>
  <c r="D32" i="13"/>
  <c r="E32" i="13"/>
  <c r="F32" i="13"/>
  <c r="G32" i="13"/>
  <c r="H32" i="13"/>
  <c r="I32" i="13"/>
  <c r="J32" i="13"/>
  <c r="K32" i="13"/>
  <c r="C33" i="13"/>
  <c r="D33" i="13"/>
  <c r="E33" i="13"/>
  <c r="F33" i="13"/>
  <c r="G33" i="13"/>
  <c r="H33" i="13"/>
  <c r="I33" i="13"/>
  <c r="J33" i="13"/>
  <c r="K33" i="13"/>
  <c r="C34" i="13"/>
  <c r="D34" i="13"/>
  <c r="E34" i="13"/>
  <c r="F34" i="13"/>
  <c r="G34" i="13"/>
  <c r="H34" i="13"/>
  <c r="I34" i="13"/>
  <c r="J34" i="13"/>
  <c r="K34" i="13"/>
  <c r="C35" i="13"/>
  <c r="D35" i="13"/>
  <c r="E35" i="13"/>
  <c r="F35" i="13"/>
  <c r="G35" i="13"/>
  <c r="H35" i="13"/>
  <c r="I35" i="13"/>
  <c r="J35" i="13"/>
  <c r="K35" i="13"/>
  <c r="C36" i="13"/>
  <c r="D36" i="13"/>
  <c r="E36" i="13"/>
  <c r="F36" i="13"/>
  <c r="G36" i="13"/>
  <c r="H36" i="13"/>
  <c r="I36" i="13"/>
  <c r="J36" i="13"/>
  <c r="K36" i="13"/>
  <c r="C37" i="13"/>
  <c r="D37" i="13"/>
  <c r="E37" i="13"/>
  <c r="F37" i="13"/>
  <c r="G37" i="13"/>
  <c r="H37" i="13"/>
  <c r="I37" i="13"/>
  <c r="J37" i="13"/>
  <c r="K37"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6" i="13"/>
  <c r="L24" i="12"/>
  <c r="L25" i="12"/>
  <c r="L26" i="12"/>
  <c r="L27" i="12"/>
  <c r="L28" i="12"/>
  <c r="L29" i="12"/>
  <c r="K24" i="12"/>
  <c r="C5" i="217" s="1"/>
  <c r="K25" i="12"/>
  <c r="C6" i="217" s="1"/>
  <c r="K26" i="12"/>
  <c r="C7" i="217" s="1"/>
  <c r="K27" i="12"/>
  <c r="C8" i="217" s="1"/>
  <c r="K28" i="12"/>
  <c r="C9" i="217" s="1"/>
  <c r="K29" i="12"/>
  <c r="C10" i="217" s="1"/>
  <c r="C30" i="12"/>
  <c r="D30" i="12"/>
  <c r="E30" i="12"/>
  <c r="F30" i="12"/>
  <c r="G30" i="12"/>
  <c r="H30" i="12"/>
  <c r="I30" i="12"/>
  <c r="J30" i="12"/>
  <c r="C31" i="12"/>
  <c r="D31" i="12"/>
  <c r="E31" i="12"/>
  <c r="F31" i="12"/>
  <c r="G31" i="12"/>
  <c r="H31" i="12"/>
  <c r="I31" i="12"/>
  <c r="J31" i="12"/>
  <c r="C32" i="12"/>
  <c r="D32" i="12"/>
  <c r="E32" i="12"/>
  <c r="F32" i="12"/>
  <c r="G32" i="12"/>
  <c r="H32" i="12"/>
  <c r="I32" i="12"/>
  <c r="J32" i="12"/>
  <c r="B31" i="12"/>
  <c r="B32" i="12"/>
  <c r="B30" i="12"/>
  <c r="L8" i="12"/>
  <c r="M8" i="12"/>
  <c r="M9" i="12"/>
  <c r="M10" i="12"/>
  <c r="M11" i="12"/>
  <c r="M12" i="12"/>
  <c r="M13" i="12"/>
  <c r="L9" i="12"/>
  <c r="L10" i="12"/>
  <c r="L11" i="12"/>
  <c r="L12" i="12"/>
  <c r="L13" i="12"/>
  <c r="C14" i="12"/>
  <c r="D14" i="12"/>
  <c r="E14" i="12"/>
  <c r="F14" i="12"/>
  <c r="G14" i="12"/>
  <c r="H14" i="12"/>
  <c r="I14" i="12"/>
  <c r="J14" i="12"/>
  <c r="K14" i="12"/>
  <c r="C15" i="12"/>
  <c r="D15" i="12"/>
  <c r="E15" i="12"/>
  <c r="F15" i="12"/>
  <c r="G15" i="12"/>
  <c r="H15" i="12"/>
  <c r="I15" i="12"/>
  <c r="J15" i="12"/>
  <c r="K15" i="12"/>
  <c r="C16" i="12"/>
  <c r="D16" i="12"/>
  <c r="E16" i="12"/>
  <c r="F16" i="12"/>
  <c r="G16" i="12"/>
  <c r="H16" i="12"/>
  <c r="I16" i="12"/>
  <c r="J16" i="12"/>
  <c r="K16" i="12"/>
  <c r="B15" i="12"/>
  <c r="B16" i="12"/>
  <c r="B14" i="12"/>
  <c r="C28" i="11"/>
  <c r="D28" i="11"/>
  <c r="E28" i="11"/>
  <c r="F28" i="11"/>
  <c r="G28" i="11"/>
  <c r="H28" i="11"/>
  <c r="I28" i="11"/>
  <c r="J28" i="11"/>
  <c r="K28" i="11"/>
  <c r="L28" i="11"/>
  <c r="M28" i="11"/>
  <c r="N28" i="11"/>
  <c r="O28" i="11"/>
  <c r="C29" i="11"/>
  <c r="D29" i="11"/>
  <c r="E29" i="11"/>
  <c r="F29" i="11"/>
  <c r="G29" i="11"/>
  <c r="H29" i="11"/>
  <c r="I29" i="11"/>
  <c r="J29" i="11"/>
  <c r="K29" i="11"/>
  <c r="L29" i="11"/>
  <c r="M29" i="11"/>
  <c r="N29" i="11"/>
  <c r="O29" i="11"/>
  <c r="C30" i="11"/>
  <c r="D30" i="11"/>
  <c r="E30" i="11"/>
  <c r="F30" i="11"/>
  <c r="G30" i="11"/>
  <c r="H30" i="11"/>
  <c r="I30" i="11"/>
  <c r="J30" i="11"/>
  <c r="K30" i="11"/>
  <c r="L30" i="11"/>
  <c r="M30" i="11"/>
  <c r="N30" i="11"/>
  <c r="O30" i="11"/>
  <c r="C31" i="11"/>
  <c r="D31" i="11"/>
  <c r="E31" i="11"/>
  <c r="F31" i="11"/>
  <c r="G31" i="11"/>
  <c r="H31" i="11"/>
  <c r="I31" i="11"/>
  <c r="J31" i="11"/>
  <c r="K31" i="11"/>
  <c r="L31" i="11"/>
  <c r="M31" i="11"/>
  <c r="N31" i="11"/>
  <c r="O31" i="11"/>
  <c r="C32" i="11"/>
  <c r="D32" i="11"/>
  <c r="E32" i="11"/>
  <c r="F32" i="11"/>
  <c r="G32" i="11"/>
  <c r="H32" i="11"/>
  <c r="I32" i="11"/>
  <c r="J32" i="11"/>
  <c r="K32" i="11"/>
  <c r="L32" i="11"/>
  <c r="M32" i="11"/>
  <c r="N32" i="11"/>
  <c r="O32" i="11"/>
  <c r="C33" i="11"/>
  <c r="D33" i="11"/>
  <c r="E33" i="11"/>
  <c r="F33" i="11"/>
  <c r="G33" i="11"/>
  <c r="H33" i="11"/>
  <c r="I33" i="11"/>
  <c r="J33" i="11"/>
  <c r="K33" i="11"/>
  <c r="L33" i="11"/>
  <c r="M33" i="11"/>
  <c r="N33" i="11"/>
  <c r="O33" i="11"/>
  <c r="C34" i="11"/>
  <c r="D34" i="11"/>
  <c r="E34" i="11"/>
  <c r="F34" i="11"/>
  <c r="G34" i="11"/>
  <c r="H34" i="11"/>
  <c r="I34" i="11"/>
  <c r="J34" i="11"/>
  <c r="K34" i="11"/>
  <c r="L34" i="11"/>
  <c r="M34" i="11"/>
  <c r="N34" i="11"/>
  <c r="O34" i="11"/>
  <c r="C35" i="11"/>
  <c r="D35" i="11"/>
  <c r="E35" i="11"/>
  <c r="F35" i="11"/>
  <c r="G35" i="11"/>
  <c r="H35" i="11"/>
  <c r="I35" i="11"/>
  <c r="J35" i="11"/>
  <c r="K35" i="11"/>
  <c r="L35" i="11"/>
  <c r="M35" i="11"/>
  <c r="N35" i="11"/>
  <c r="O35" i="11"/>
  <c r="C36" i="11"/>
  <c r="D36" i="11"/>
  <c r="E36" i="11"/>
  <c r="F36" i="11"/>
  <c r="G36" i="11"/>
  <c r="H36" i="11"/>
  <c r="I36" i="11"/>
  <c r="J36" i="11"/>
  <c r="K36" i="11"/>
  <c r="L36" i="11"/>
  <c r="M36" i="11"/>
  <c r="N36" i="11"/>
  <c r="O36" i="11"/>
  <c r="C37" i="11"/>
  <c r="D37" i="11"/>
  <c r="E37" i="11"/>
  <c r="F37" i="11"/>
  <c r="G37" i="11"/>
  <c r="H37" i="11"/>
  <c r="I37" i="11"/>
  <c r="J37" i="11"/>
  <c r="K37" i="11"/>
  <c r="L37" i="11"/>
  <c r="M37" i="11"/>
  <c r="N37" i="11"/>
  <c r="O37" i="11"/>
  <c r="C38" i="11"/>
  <c r="D38" i="11"/>
  <c r="E38" i="11"/>
  <c r="F38" i="11"/>
  <c r="G38" i="11"/>
  <c r="H38" i="11"/>
  <c r="I38" i="11"/>
  <c r="J38" i="11"/>
  <c r="K38" i="11"/>
  <c r="L38" i="11"/>
  <c r="M38" i="11"/>
  <c r="N38" i="11"/>
  <c r="O38" i="11"/>
  <c r="C39" i="11"/>
  <c r="D39" i="11"/>
  <c r="E39" i="11"/>
  <c r="F39" i="11"/>
  <c r="G39" i="11"/>
  <c r="H39" i="11"/>
  <c r="I39" i="11"/>
  <c r="J39" i="11"/>
  <c r="K39" i="11"/>
  <c r="L39" i="11"/>
  <c r="M39" i="11"/>
  <c r="N39" i="11"/>
  <c r="O39" i="11"/>
  <c r="C40" i="11"/>
  <c r="D40" i="11"/>
  <c r="E40" i="11"/>
  <c r="F40" i="11"/>
  <c r="G40" i="11"/>
  <c r="H40" i="11"/>
  <c r="I40" i="11"/>
  <c r="J40" i="11"/>
  <c r="K40" i="11"/>
  <c r="L40" i="11"/>
  <c r="M40" i="11"/>
  <c r="N40" i="11"/>
  <c r="O40" i="11"/>
  <c r="C41" i="11"/>
  <c r="D41" i="11"/>
  <c r="E41" i="11"/>
  <c r="F41" i="11"/>
  <c r="G41" i="11"/>
  <c r="H41" i="11"/>
  <c r="I41" i="11"/>
  <c r="J41" i="11"/>
  <c r="K41" i="11"/>
  <c r="L41" i="11"/>
  <c r="M41" i="11"/>
  <c r="N41" i="11"/>
  <c r="O41" i="11"/>
  <c r="C42" i="11"/>
  <c r="D42" i="11"/>
  <c r="E42" i="11"/>
  <c r="F42" i="11"/>
  <c r="G42" i="11"/>
  <c r="H42" i="11"/>
  <c r="I42" i="11"/>
  <c r="J42" i="11"/>
  <c r="K42" i="11"/>
  <c r="L42" i="11"/>
  <c r="M42" i="11"/>
  <c r="N42" i="11"/>
  <c r="O42" i="11"/>
  <c r="C43" i="11"/>
  <c r="D43" i="11"/>
  <c r="E43" i="11"/>
  <c r="F43" i="11"/>
  <c r="G43" i="11"/>
  <c r="H43" i="11"/>
  <c r="I43" i="11"/>
  <c r="J43" i="11"/>
  <c r="K43" i="11"/>
  <c r="L43" i="11"/>
  <c r="M43" i="11"/>
  <c r="N43" i="11"/>
  <c r="O43" i="11"/>
  <c r="C44" i="11"/>
  <c r="D44" i="11"/>
  <c r="E44" i="11"/>
  <c r="F44" i="11"/>
  <c r="G44" i="11"/>
  <c r="H44" i="11"/>
  <c r="I44" i="11"/>
  <c r="J44" i="11"/>
  <c r="K44" i="11"/>
  <c r="L44" i="11"/>
  <c r="M44" i="11"/>
  <c r="N44" i="11"/>
  <c r="O44" i="11"/>
  <c r="C45" i="11"/>
  <c r="D45" i="11"/>
  <c r="E45" i="11"/>
  <c r="F45" i="11"/>
  <c r="G45" i="11"/>
  <c r="H45" i="11"/>
  <c r="I45" i="11"/>
  <c r="J45" i="11"/>
  <c r="K45" i="11"/>
  <c r="L45" i="11"/>
  <c r="M45" i="11"/>
  <c r="N45" i="11"/>
  <c r="O45" i="11"/>
  <c r="C46" i="11"/>
  <c r="D46" i="11"/>
  <c r="E46" i="11"/>
  <c r="F46" i="11"/>
  <c r="G46" i="11"/>
  <c r="H46" i="11"/>
  <c r="I46" i="11"/>
  <c r="J46" i="11"/>
  <c r="K46" i="11"/>
  <c r="L46" i="11"/>
  <c r="M46" i="11"/>
  <c r="N46" i="11"/>
  <c r="O46" i="11"/>
  <c r="C47" i="11"/>
  <c r="D47" i="11"/>
  <c r="E47" i="11"/>
  <c r="F47" i="11"/>
  <c r="G47" i="11"/>
  <c r="H47" i="11"/>
  <c r="I47" i="11"/>
  <c r="J47" i="11"/>
  <c r="K47" i="11"/>
  <c r="L47" i="11"/>
  <c r="M47" i="11"/>
  <c r="N47" i="11"/>
  <c r="O47" i="11"/>
  <c r="C48" i="11"/>
  <c r="D48" i="11"/>
  <c r="E48" i="11"/>
  <c r="F48" i="11"/>
  <c r="G48" i="11"/>
  <c r="H48" i="11"/>
  <c r="I48" i="11"/>
  <c r="J48" i="11"/>
  <c r="K48" i="11"/>
  <c r="L48" i="11"/>
  <c r="M48" i="11"/>
  <c r="N48" i="11"/>
  <c r="O48" i="11"/>
  <c r="C49" i="11"/>
  <c r="D49" i="11"/>
  <c r="E49" i="11"/>
  <c r="F49" i="11"/>
  <c r="G49" i="11"/>
  <c r="H49" i="11"/>
  <c r="I49" i="11"/>
  <c r="J49" i="11"/>
  <c r="K49" i="11"/>
  <c r="L49" i="11"/>
  <c r="M49" i="11"/>
  <c r="N49" i="11"/>
  <c r="O49" i="11"/>
  <c r="C50" i="11"/>
  <c r="D50" i="11"/>
  <c r="E50" i="11"/>
  <c r="F50" i="11"/>
  <c r="G50" i="11"/>
  <c r="H50" i="11"/>
  <c r="I50" i="11"/>
  <c r="J50" i="11"/>
  <c r="K50" i="11"/>
  <c r="L50" i="11"/>
  <c r="M50" i="11"/>
  <c r="N50" i="11"/>
  <c r="O50" i="11"/>
  <c r="C51" i="11"/>
  <c r="D51" i="11"/>
  <c r="E51" i="11"/>
  <c r="F51" i="11"/>
  <c r="G51" i="11"/>
  <c r="H51" i="11"/>
  <c r="I51" i="11"/>
  <c r="J51" i="11"/>
  <c r="K51" i="11"/>
  <c r="L51" i="11"/>
  <c r="M51" i="11"/>
  <c r="N51" i="11"/>
  <c r="O51" i="11"/>
  <c r="C52" i="11"/>
  <c r="D52" i="11"/>
  <c r="E52" i="11"/>
  <c r="F52" i="11"/>
  <c r="G52" i="11"/>
  <c r="H52" i="11"/>
  <c r="I52" i="11"/>
  <c r="J52" i="11"/>
  <c r="K52" i="11"/>
  <c r="L52" i="11"/>
  <c r="M52" i="11"/>
  <c r="N52" i="11"/>
  <c r="O52" i="11"/>
  <c r="C53" i="11"/>
  <c r="D53" i="11"/>
  <c r="E53" i="11"/>
  <c r="F53" i="11"/>
  <c r="G53" i="11"/>
  <c r="H53" i="11"/>
  <c r="I53" i="11"/>
  <c r="J53" i="11"/>
  <c r="K53" i="11"/>
  <c r="L53" i="11"/>
  <c r="M53" i="11"/>
  <c r="N53" i="11"/>
  <c r="O53" i="11"/>
  <c r="C54" i="11"/>
  <c r="D54" i="11"/>
  <c r="E54" i="11"/>
  <c r="F54" i="11"/>
  <c r="G54" i="11"/>
  <c r="H54" i="11"/>
  <c r="I54" i="11"/>
  <c r="J54" i="11"/>
  <c r="K54" i="11"/>
  <c r="L54" i="11"/>
  <c r="M54" i="11"/>
  <c r="N54" i="11"/>
  <c r="O54" i="11"/>
  <c r="C55" i="11"/>
  <c r="D55" i="11"/>
  <c r="E55" i="11"/>
  <c r="F55" i="11"/>
  <c r="G55" i="11"/>
  <c r="H55" i="11"/>
  <c r="I55" i="11"/>
  <c r="J55" i="11"/>
  <c r="K55" i="11"/>
  <c r="L55" i="11"/>
  <c r="M55" i="11"/>
  <c r="N55" i="11"/>
  <c r="O55" i="11"/>
  <c r="C56" i="11"/>
  <c r="D56" i="11"/>
  <c r="E56" i="11"/>
  <c r="F56" i="11"/>
  <c r="G56" i="11"/>
  <c r="H56" i="11"/>
  <c r="I56" i="11"/>
  <c r="J56" i="11"/>
  <c r="K56" i="11"/>
  <c r="L56" i="11"/>
  <c r="M56" i="11"/>
  <c r="N56" i="11"/>
  <c r="O56" i="11"/>
  <c r="C57" i="11"/>
  <c r="D57" i="11"/>
  <c r="E57" i="11"/>
  <c r="F57" i="11"/>
  <c r="G57" i="11"/>
  <c r="H57" i="11"/>
  <c r="I57" i="11"/>
  <c r="J57" i="11"/>
  <c r="K57" i="11"/>
  <c r="L57" i="11"/>
  <c r="M57" i="11"/>
  <c r="N57" i="11"/>
  <c r="O57" i="11"/>
  <c r="C58" i="11"/>
  <c r="D58" i="11"/>
  <c r="E58" i="11"/>
  <c r="F58" i="11"/>
  <c r="G58" i="11"/>
  <c r="H58" i="11"/>
  <c r="I58" i="11"/>
  <c r="J58" i="11"/>
  <c r="K58" i="11"/>
  <c r="L58" i="11"/>
  <c r="M58" i="11"/>
  <c r="N58" i="11"/>
  <c r="O58" i="11"/>
  <c r="C59" i="11"/>
  <c r="D59" i="11"/>
  <c r="E59" i="11"/>
  <c r="F59" i="11"/>
  <c r="G59" i="11"/>
  <c r="H59" i="11"/>
  <c r="I59" i="11"/>
  <c r="J59" i="11"/>
  <c r="K59" i="11"/>
  <c r="L59" i="11"/>
  <c r="M59" i="11"/>
  <c r="N59" i="11"/>
  <c r="O59"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28" i="11"/>
  <c r="D13" i="11"/>
  <c r="E13" i="11"/>
  <c r="F13" i="11"/>
  <c r="G13" i="11"/>
  <c r="H13" i="11"/>
  <c r="I13" i="11"/>
  <c r="J13" i="11"/>
  <c r="K13" i="11"/>
  <c r="L13" i="11"/>
  <c r="M13" i="11"/>
  <c r="N13" i="11"/>
  <c r="O13" i="11"/>
  <c r="D14" i="11"/>
  <c r="E14" i="11"/>
  <c r="F14" i="11"/>
  <c r="G14" i="11"/>
  <c r="H14" i="11"/>
  <c r="I14" i="11"/>
  <c r="J14" i="11"/>
  <c r="K14" i="11"/>
  <c r="L14" i="11"/>
  <c r="M14" i="11"/>
  <c r="N14" i="11"/>
  <c r="O14" i="11"/>
  <c r="D15" i="11"/>
  <c r="E15" i="11"/>
  <c r="F15" i="11"/>
  <c r="G15" i="11"/>
  <c r="H15" i="11"/>
  <c r="I15" i="11"/>
  <c r="J15" i="11"/>
  <c r="K15" i="11"/>
  <c r="L15" i="11"/>
  <c r="M15" i="11"/>
  <c r="N15" i="11"/>
  <c r="O15" i="11"/>
  <c r="C14" i="11"/>
  <c r="G15" i="171" s="1"/>
  <c r="C15" i="11"/>
  <c r="G16" i="171" s="1"/>
  <c r="C13" i="11"/>
  <c r="G14" i="171" s="1"/>
  <c r="B15" i="11"/>
  <c r="B14" i="11"/>
  <c r="B13" i="11"/>
  <c r="L26" i="10"/>
  <c r="M26" i="10"/>
  <c r="N26" i="10"/>
  <c r="O26" i="10"/>
  <c r="P26" i="10"/>
  <c r="Q6" i="10"/>
  <c r="G8" i="223" s="1"/>
  <c r="R6" i="10"/>
  <c r="H8" i="223" s="1"/>
  <c r="S6" i="10"/>
  <c r="I8" i="223" s="1"/>
  <c r="Q7" i="10"/>
  <c r="G9" i="223" s="1"/>
  <c r="R7" i="10"/>
  <c r="H9" i="223" s="1"/>
  <c r="S7" i="10"/>
  <c r="I9" i="223" s="1"/>
  <c r="Q8" i="10"/>
  <c r="G10" i="223" s="1"/>
  <c r="R8" i="10"/>
  <c r="H10" i="223" s="1"/>
  <c r="S8" i="10"/>
  <c r="I10" i="223" s="1"/>
  <c r="Q9" i="10"/>
  <c r="G11" i="223" s="1"/>
  <c r="R9" i="10"/>
  <c r="H11" i="223" s="1"/>
  <c r="S9" i="10"/>
  <c r="I11" i="223" s="1"/>
  <c r="Q10" i="10"/>
  <c r="G12" i="223" s="1"/>
  <c r="R10" i="10"/>
  <c r="H12" i="223" s="1"/>
  <c r="S10" i="10"/>
  <c r="I12" i="223" s="1"/>
  <c r="Q11" i="10"/>
  <c r="G13" i="223" s="1"/>
  <c r="R11" i="10"/>
  <c r="H13" i="223" s="1"/>
  <c r="S11" i="10"/>
  <c r="I13" i="223" s="1"/>
  <c r="Q12" i="10"/>
  <c r="G14" i="223" s="1"/>
  <c r="R12" i="10"/>
  <c r="H14" i="223" s="1"/>
  <c r="S12" i="10"/>
  <c r="I14" i="223" s="1"/>
  <c r="Q13" i="10"/>
  <c r="G15" i="223" s="1"/>
  <c r="R13" i="10"/>
  <c r="H15" i="223" s="1"/>
  <c r="S13" i="10"/>
  <c r="I15" i="223" s="1"/>
  <c r="Q14" i="10"/>
  <c r="G16" i="223" s="1"/>
  <c r="R14" i="10"/>
  <c r="H16" i="223" s="1"/>
  <c r="S14" i="10"/>
  <c r="I16" i="223" s="1"/>
  <c r="Q15" i="10"/>
  <c r="G17" i="223" s="1"/>
  <c r="R15" i="10"/>
  <c r="H17" i="223" s="1"/>
  <c r="S15" i="10"/>
  <c r="I17" i="223" s="1"/>
  <c r="Q16" i="10"/>
  <c r="G18" i="223" s="1"/>
  <c r="R16" i="10"/>
  <c r="H18" i="223" s="1"/>
  <c r="S16" i="10"/>
  <c r="I18" i="223" s="1"/>
  <c r="Q17" i="10"/>
  <c r="G19" i="223" s="1"/>
  <c r="R17" i="10"/>
  <c r="H19" i="223" s="1"/>
  <c r="S17" i="10"/>
  <c r="I19" i="223" s="1"/>
  <c r="Q18" i="10"/>
  <c r="G20" i="223" s="1"/>
  <c r="R18" i="10"/>
  <c r="H20" i="223" s="1"/>
  <c r="S18" i="10"/>
  <c r="I20" i="223" s="1"/>
  <c r="Q19" i="10"/>
  <c r="G21" i="223" s="1"/>
  <c r="R19" i="10"/>
  <c r="H21" i="223" s="1"/>
  <c r="S19" i="10"/>
  <c r="I21" i="223" s="1"/>
  <c r="Q20" i="10"/>
  <c r="G22" i="223" s="1"/>
  <c r="R20" i="10"/>
  <c r="H22" i="223" s="1"/>
  <c r="S20" i="10"/>
  <c r="I22" i="223" s="1"/>
  <c r="Q21" i="10"/>
  <c r="G23" i="223" s="1"/>
  <c r="R21" i="10"/>
  <c r="H23" i="223" s="1"/>
  <c r="S21" i="10"/>
  <c r="I23" i="223" s="1"/>
  <c r="Q22" i="10"/>
  <c r="G24" i="223" s="1"/>
  <c r="R22" i="10"/>
  <c r="H24" i="223" s="1"/>
  <c r="S22" i="10"/>
  <c r="I24" i="223" s="1"/>
  <c r="Q23" i="10"/>
  <c r="G25" i="223" s="1"/>
  <c r="R23" i="10"/>
  <c r="H25" i="223" s="1"/>
  <c r="S23" i="10"/>
  <c r="I25" i="223" s="1"/>
  <c r="Q24" i="10"/>
  <c r="G26" i="223" s="1"/>
  <c r="R24" i="10"/>
  <c r="H26" i="223" s="1"/>
  <c r="S24" i="10"/>
  <c r="I26" i="223" s="1"/>
  <c r="R5" i="10"/>
  <c r="H7" i="223" s="1"/>
  <c r="S5" i="10"/>
  <c r="I7" i="223" s="1"/>
  <c r="Q5" i="10"/>
  <c r="G7" i="223" s="1"/>
  <c r="C26" i="10"/>
  <c r="D26" i="10"/>
  <c r="E26" i="10"/>
  <c r="F26" i="10"/>
  <c r="B26" i="10"/>
  <c r="H5" i="10"/>
  <c r="H7" i="180" s="1"/>
  <c r="I5" i="10"/>
  <c r="I7" i="180" s="1"/>
  <c r="H6" i="10"/>
  <c r="H8" i="180" s="1"/>
  <c r="I6" i="10"/>
  <c r="I8" i="180" s="1"/>
  <c r="H7" i="10"/>
  <c r="H9" i="180" s="1"/>
  <c r="I7" i="10"/>
  <c r="I9" i="180" s="1"/>
  <c r="H8" i="10"/>
  <c r="H10" i="180" s="1"/>
  <c r="I8" i="10"/>
  <c r="I10" i="180" s="1"/>
  <c r="H9" i="10"/>
  <c r="H11" i="180" s="1"/>
  <c r="I9" i="10"/>
  <c r="I11" i="180" s="1"/>
  <c r="H10" i="10"/>
  <c r="H12" i="180" s="1"/>
  <c r="I10" i="10"/>
  <c r="I12" i="180" s="1"/>
  <c r="H11" i="10"/>
  <c r="H13" i="180" s="1"/>
  <c r="I11" i="10"/>
  <c r="I13" i="180" s="1"/>
  <c r="H12" i="10"/>
  <c r="H14" i="180" s="1"/>
  <c r="I12" i="10"/>
  <c r="I14" i="180" s="1"/>
  <c r="H13" i="10"/>
  <c r="H15" i="180" s="1"/>
  <c r="I13" i="10"/>
  <c r="I15" i="180" s="1"/>
  <c r="H14" i="10"/>
  <c r="H16" i="180" s="1"/>
  <c r="I14" i="10"/>
  <c r="I16" i="180" s="1"/>
  <c r="H15" i="10"/>
  <c r="H17" i="180" s="1"/>
  <c r="I15" i="10"/>
  <c r="I17" i="180" s="1"/>
  <c r="H16" i="10"/>
  <c r="H18" i="180" s="1"/>
  <c r="I16" i="10"/>
  <c r="I18" i="180" s="1"/>
  <c r="H17" i="10"/>
  <c r="H19" i="180" s="1"/>
  <c r="I17" i="10"/>
  <c r="I19" i="180" s="1"/>
  <c r="H18" i="10"/>
  <c r="H20" i="180" s="1"/>
  <c r="I18" i="10"/>
  <c r="I20" i="180" s="1"/>
  <c r="H19" i="10"/>
  <c r="H21" i="180" s="1"/>
  <c r="I19" i="10"/>
  <c r="I21" i="180" s="1"/>
  <c r="H20" i="10"/>
  <c r="H22" i="180" s="1"/>
  <c r="I20" i="10"/>
  <c r="I22" i="180" s="1"/>
  <c r="H21" i="10"/>
  <c r="H23" i="180" s="1"/>
  <c r="I21" i="10"/>
  <c r="I23" i="180" s="1"/>
  <c r="H22" i="10"/>
  <c r="H24" i="180" s="1"/>
  <c r="I22" i="10"/>
  <c r="I24" i="180" s="1"/>
  <c r="H23" i="10"/>
  <c r="H25" i="180" s="1"/>
  <c r="I23" i="10"/>
  <c r="I25" i="180" s="1"/>
  <c r="H24" i="10"/>
  <c r="H26" i="180" s="1"/>
  <c r="I24" i="10"/>
  <c r="I26" i="180" s="1"/>
  <c r="G24" i="10"/>
  <c r="G26" i="180" s="1"/>
  <c r="G6" i="10"/>
  <c r="G8" i="180" s="1"/>
  <c r="G7" i="10"/>
  <c r="G9" i="180" s="1"/>
  <c r="G8" i="10"/>
  <c r="G10" i="180" s="1"/>
  <c r="G9" i="10"/>
  <c r="G11" i="180" s="1"/>
  <c r="G10" i="10"/>
  <c r="G12" i="180" s="1"/>
  <c r="G11" i="10"/>
  <c r="G13" i="180" s="1"/>
  <c r="G12" i="10"/>
  <c r="G14" i="180" s="1"/>
  <c r="G13" i="10"/>
  <c r="G15" i="180" s="1"/>
  <c r="G14" i="10"/>
  <c r="G16" i="180" s="1"/>
  <c r="G15" i="10"/>
  <c r="G17" i="180" s="1"/>
  <c r="G16" i="10"/>
  <c r="G18" i="180" s="1"/>
  <c r="G17" i="10"/>
  <c r="G19" i="180" s="1"/>
  <c r="G18" i="10"/>
  <c r="G20" i="180" s="1"/>
  <c r="G19" i="10"/>
  <c r="G21" i="180" s="1"/>
  <c r="G20" i="10"/>
  <c r="G22" i="180" s="1"/>
  <c r="G21" i="10"/>
  <c r="G23" i="180" s="1"/>
  <c r="G22" i="10"/>
  <c r="G24" i="180" s="1"/>
  <c r="G23" i="10"/>
  <c r="G25" i="180" s="1"/>
  <c r="G5" i="10"/>
  <c r="G7" i="180" s="1"/>
  <c r="B8" i="126"/>
  <c r="B9" i="126"/>
  <c r="B7" i="126"/>
  <c r="D52" i="129"/>
  <c r="D34" i="129"/>
  <c r="C9" i="126"/>
  <c r="D10" i="126"/>
  <c r="C51" i="129"/>
  <c r="D54" i="129"/>
  <c r="D26" i="129"/>
  <c r="C8" i="126"/>
  <c r="D9" i="126"/>
  <c r="B10" i="126"/>
  <c r="C54" i="129"/>
  <c r="C50" i="129"/>
  <c r="D30" i="129"/>
  <c r="D6" i="126"/>
  <c r="C6" i="126"/>
  <c r="B5" i="126"/>
  <c r="B50" i="129"/>
  <c r="B52" i="129"/>
  <c r="D28" i="129"/>
  <c r="D49" i="129"/>
  <c r="D7" i="126"/>
  <c r="C5" i="126"/>
  <c r="C49" i="129"/>
  <c r="C52" i="129"/>
  <c r="D29" i="129"/>
  <c r="D8" i="126"/>
  <c r="B6" i="126"/>
  <c r="C7" i="126"/>
  <c r="D50" i="129"/>
  <c r="B54" i="129"/>
  <c r="D32" i="129"/>
  <c r="D27" i="129"/>
  <c r="B49" i="129"/>
  <c r="C10" i="126"/>
  <c r="D5" i="126"/>
  <c r="B51" i="129"/>
  <c r="D51" i="129"/>
  <c r="D31" i="129"/>
  <c r="D10" i="217" l="1"/>
  <c r="D6" i="217"/>
  <c r="D7" i="217"/>
  <c r="C7" i="166"/>
  <c r="C51" i="166"/>
  <c r="C9" i="228" s="1"/>
  <c r="C11" i="166"/>
  <c r="C55" i="166"/>
  <c r="C13" i="228" s="1"/>
  <c r="C15" i="166"/>
  <c r="I8" i="166"/>
  <c r="I52" i="166"/>
  <c r="E10" i="228" s="1"/>
  <c r="I12" i="166"/>
  <c r="I56" i="166"/>
  <c r="E14" i="228" s="1"/>
  <c r="C8" i="166"/>
  <c r="C52" i="166"/>
  <c r="C10" i="228" s="1"/>
  <c r="C12" i="166"/>
  <c r="C56" i="166"/>
  <c r="C14" i="228" s="1"/>
  <c r="I5" i="166"/>
  <c r="I49" i="166"/>
  <c r="E7" i="228" s="1"/>
  <c r="I9" i="166"/>
  <c r="I53" i="166"/>
  <c r="E11" i="228" s="1"/>
  <c r="I13" i="166"/>
  <c r="I57" i="166"/>
  <c r="E15" i="228" s="1"/>
  <c r="C15" i="14"/>
  <c r="C11" i="177" s="1"/>
  <c r="C5" i="166"/>
  <c r="C7" i="228"/>
  <c r="C9" i="166"/>
  <c r="C53" i="166"/>
  <c r="C11" i="228" s="1"/>
  <c r="C13" i="166"/>
  <c r="C57" i="166"/>
  <c r="C15" i="228" s="1"/>
  <c r="I6" i="166"/>
  <c r="I50" i="166"/>
  <c r="E8" i="228" s="1"/>
  <c r="I10" i="166"/>
  <c r="I54" i="166"/>
  <c r="E12" i="228" s="1"/>
  <c r="I14" i="166"/>
  <c r="I58" i="166"/>
  <c r="E16" i="228" s="1"/>
  <c r="C6" i="166"/>
  <c r="C50" i="166"/>
  <c r="C8" i="228" s="1"/>
  <c r="C10" i="166"/>
  <c r="C54" i="166"/>
  <c r="C12" i="228" s="1"/>
  <c r="C14" i="166"/>
  <c r="C58" i="166"/>
  <c r="C16" i="228" s="1"/>
  <c r="I7" i="166"/>
  <c r="I51" i="166"/>
  <c r="E9" i="228" s="1"/>
  <c r="I11" i="166"/>
  <c r="I55" i="166"/>
  <c r="E13" i="228" s="1"/>
  <c r="I15" i="166"/>
  <c r="I59" i="166"/>
  <c r="E17" i="228" s="1"/>
  <c r="D9" i="217"/>
  <c r="D5" i="217"/>
  <c r="D8" i="217"/>
  <c r="B39" i="99"/>
  <c r="D7" i="79"/>
  <c r="H7" i="79" s="1"/>
  <c r="D12" i="79"/>
  <c r="H12" i="79" s="1"/>
  <c r="D5" i="79"/>
  <c r="H5" i="79" s="1"/>
  <c r="P15" i="11"/>
  <c r="M14" i="12"/>
  <c r="L14" i="12"/>
  <c r="L31" i="12"/>
  <c r="L11" i="27"/>
  <c r="D11" i="79"/>
  <c r="H11" i="79" s="1"/>
  <c r="D6" i="79"/>
  <c r="H6" i="79" s="1"/>
  <c r="B57" i="79"/>
  <c r="F57" i="79" s="1"/>
  <c r="C16" i="171"/>
  <c r="C56" i="79"/>
  <c r="C15" i="172"/>
  <c r="C57" i="79"/>
  <c r="H57" i="79" s="1"/>
  <c r="C16" i="172"/>
  <c r="J35" i="125"/>
  <c r="B55" i="79"/>
  <c r="C14" i="171"/>
  <c r="E14" i="125"/>
  <c r="D14" i="128" s="1"/>
  <c r="B56" i="79"/>
  <c r="F56" i="79" s="1"/>
  <c r="C15" i="171"/>
  <c r="C55" i="79"/>
  <c r="H55" i="79" s="1"/>
  <c r="C14" i="172"/>
  <c r="K24" i="27"/>
  <c r="F13" i="217" s="1"/>
  <c r="M15" i="12"/>
  <c r="L10" i="27"/>
  <c r="K11" i="27"/>
  <c r="E12" i="217" s="1"/>
  <c r="L24" i="27"/>
  <c r="P14" i="11"/>
  <c r="L32" i="12"/>
  <c r="K31" i="12"/>
  <c r="C12" i="217" s="1"/>
  <c r="K30" i="12"/>
  <c r="C11" i="217" s="1"/>
  <c r="T30" i="25"/>
  <c r="L12" i="27"/>
  <c r="L30" i="12"/>
  <c r="T29" i="25"/>
  <c r="R31" i="25"/>
  <c r="D14" i="170" s="1"/>
  <c r="S29" i="25"/>
  <c r="T31" i="25"/>
  <c r="K12" i="27"/>
  <c r="E13" i="217" s="1"/>
  <c r="L23" i="27"/>
  <c r="J36" i="125"/>
  <c r="K32" i="12"/>
  <c r="C13" i="217" s="1"/>
  <c r="H56" i="79"/>
  <c r="S30" i="25"/>
  <c r="T15" i="25"/>
  <c r="L16" i="12"/>
  <c r="M16" i="12"/>
  <c r="S31" i="25"/>
  <c r="G26" i="10"/>
  <c r="L15" i="12"/>
  <c r="R30" i="25"/>
  <c r="D13" i="170" s="1"/>
  <c r="K23" i="27"/>
  <c r="F12" i="217" s="1"/>
  <c r="R14" i="25"/>
  <c r="C13" i="170" s="1"/>
  <c r="R26" i="10"/>
  <c r="Q26" i="10"/>
  <c r="S14" i="25"/>
  <c r="E35" i="125"/>
  <c r="D37" i="128" s="1"/>
  <c r="B37" i="128"/>
  <c r="H26" i="10"/>
  <c r="T14" i="25"/>
  <c r="E36" i="125"/>
  <c r="D38" i="128" s="1"/>
  <c r="B38" i="128"/>
  <c r="I26" i="10"/>
  <c r="E10" i="126"/>
  <c r="I10" i="126" s="1"/>
  <c r="E8" i="126"/>
  <c r="I8" i="126" s="1"/>
  <c r="E9" i="126"/>
  <c r="I9" i="126" s="1"/>
  <c r="C37" i="80"/>
  <c r="G37" i="80" s="1"/>
  <c r="K18" i="28"/>
  <c r="K69" i="28"/>
  <c r="L18" i="28"/>
  <c r="J5" i="26"/>
  <c r="C68" i="26"/>
  <c r="C65" i="26"/>
  <c r="B38" i="26"/>
  <c r="B46" i="26"/>
  <c r="D35" i="79"/>
  <c r="H35" i="79" s="1"/>
  <c r="D33" i="79"/>
  <c r="H33" i="79" s="1"/>
  <c r="D31" i="79"/>
  <c r="H31" i="79" s="1"/>
  <c r="D23" i="79"/>
  <c r="H23" i="79" s="1"/>
  <c r="G6" i="79"/>
  <c r="D34" i="79"/>
  <c r="H34" i="79" s="1"/>
  <c r="D28" i="79"/>
  <c r="H28" i="79" s="1"/>
  <c r="D17" i="79"/>
  <c r="H17" i="79" s="1"/>
  <c r="D15" i="79"/>
  <c r="H15" i="79" s="1"/>
  <c r="F31" i="79"/>
  <c r="F28" i="79"/>
  <c r="D27" i="79"/>
  <c r="H27" i="79" s="1"/>
  <c r="D24" i="79"/>
  <c r="H24" i="79" s="1"/>
  <c r="D22" i="79"/>
  <c r="H22" i="79" s="1"/>
  <c r="D18" i="79"/>
  <c r="H18" i="79" s="1"/>
  <c r="F23" i="79"/>
  <c r="D4" i="79"/>
  <c r="H4" i="79" s="1"/>
  <c r="F33" i="79"/>
  <c r="D29" i="79"/>
  <c r="H29" i="79" s="1"/>
  <c r="D13" i="79"/>
  <c r="H13" i="79" s="1"/>
  <c r="F35" i="79"/>
  <c r="F15" i="79"/>
  <c r="D30" i="79"/>
  <c r="H30" i="79" s="1"/>
  <c r="D25" i="79"/>
  <c r="H25" i="79" s="1"/>
  <c r="D19" i="79"/>
  <c r="H19" i="79" s="1"/>
  <c r="D16" i="79"/>
  <c r="H16" i="79" s="1"/>
  <c r="D14" i="79"/>
  <c r="H14" i="79" s="1"/>
  <c r="D9" i="79"/>
  <c r="H9" i="79" s="1"/>
  <c r="F24" i="79"/>
  <c r="D26" i="79"/>
  <c r="H26" i="79" s="1"/>
  <c r="B37" i="79"/>
  <c r="F37" i="79" s="1"/>
  <c r="D10" i="79"/>
  <c r="H10" i="79" s="1"/>
  <c r="G34" i="79"/>
  <c r="G22" i="79"/>
  <c r="F17" i="79"/>
  <c r="F12" i="79"/>
  <c r="G10" i="79"/>
  <c r="D32" i="79"/>
  <c r="H32" i="79" s="1"/>
  <c r="D20" i="79"/>
  <c r="H20" i="79" s="1"/>
  <c r="D8" i="79"/>
  <c r="H8" i="79" s="1"/>
  <c r="F29" i="79"/>
  <c r="F25" i="79"/>
  <c r="G18" i="79"/>
  <c r="F5" i="79"/>
  <c r="D21" i="79"/>
  <c r="H21" i="79" s="1"/>
  <c r="L20" i="99"/>
  <c r="N20" i="99" s="1"/>
  <c r="K20" i="99"/>
  <c r="K6" i="99"/>
  <c r="L6" i="99"/>
  <c r="N6" i="99" s="1"/>
  <c r="B39" i="13"/>
  <c r="L21" i="13"/>
  <c r="L15" i="13"/>
  <c r="M35" i="13"/>
  <c r="O35" i="13" s="1"/>
  <c r="M31" i="13"/>
  <c r="O31" i="13" s="1"/>
  <c r="M27" i="13"/>
  <c r="O27" i="13" s="1"/>
  <c r="M23" i="13"/>
  <c r="O23" i="13" s="1"/>
  <c r="M19" i="13"/>
  <c r="O19" i="13" s="1"/>
  <c r="M15" i="13"/>
  <c r="O15" i="13" s="1"/>
  <c r="M11" i="13"/>
  <c r="O11" i="13" s="1"/>
  <c r="M7" i="13"/>
  <c r="O7" i="13" s="1"/>
  <c r="L37" i="13"/>
  <c r="L26" i="13"/>
  <c r="L20" i="13"/>
  <c r="L10" i="13"/>
  <c r="L6" i="13"/>
  <c r="M37" i="13"/>
  <c r="O37" i="13" s="1"/>
  <c r="M33" i="13"/>
  <c r="O33" i="13" s="1"/>
  <c r="M29" i="13"/>
  <c r="O29" i="13" s="1"/>
  <c r="M25" i="13"/>
  <c r="O25" i="13" s="1"/>
  <c r="M21" i="13"/>
  <c r="O21" i="13" s="1"/>
  <c r="M17" i="13"/>
  <c r="O17" i="13" s="1"/>
  <c r="M13" i="13"/>
  <c r="O13" i="13" s="1"/>
  <c r="M9" i="13"/>
  <c r="O9" i="13" s="1"/>
  <c r="M36" i="13"/>
  <c r="O36" i="13" s="1"/>
  <c r="M32" i="13"/>
  <c r="O32" i="13" s="1"/>
  <c r="M28" i="13"/>
  <c r="O28" i="13" s="1"/>
  <c r="M24" i="13"/>
  <c r="O24" i="13" s="1"/>
  <c r="M20" i="13"/>
  <c r="O20" i="13" s="1"/>
  <c r="M16" i="13"/>
  <c r="O16" i="13" s="1"/>
  <c r="M12" i="13"/>
  <c r="O12" i="13" s="1"/>
  <c r="M8" i="13"/>
  <c r="O8" i="13" s="1"/>
  <c r="L36" i="13"/>
  <c r="L31" i="13"/>
  <c r="M34" i="13"/>
  <c r="O34" i="13" s="1"/>
  <c r="M30" i="13"/>
  <c r="O30" i="13" s="1"/>
  <c r="M26" i="13"/>
  <c r="O26" i="13" s="1"/>
  <c r="M22" i="13"/>
  <c r="O22" i="13" s="1"/>
  <c r="M18" i="13"/>
  <c r="O18" i="13" s="1"/>
  <c r="M14" i="13"/>
  <c r="O14" i="13" s="1"/>
  <c r="M10" i="13"/>
  <c r="O10" i="13" s="1"/>
  <c r="M6" i="13"/>
  <c r="O6" i="13" s="1"/>
  <c r="L35" i="13"/>
  <c r="L33" i="13"/>
  <c r="L32" i="13"/>
  <c r="L30" i="13"/>
  <c r="L28" i="13"/>
  <c r="L24" i="13"/>
  <c r="L19" i="13"/>
  <c r="L17" i="13"/>
  <c r="L16" i="13"/>
  <c r="L14" i="13"/>
  <c r="L12" i="13"/>
  <c r="L8" i="13"/>
  <c r="L34" i="13"/>
  <c r="L29" i="13"/>
  <c r="L27" i="13"/>
  <c r="L25" i="13"/>
  <c r="L23" i="13"/>
  <c r="L22" i="13"/>
  <c r="L18" i="13"/>
  <c r="L13" i="13"/>
  <c r="L11" i="13"/>
  <c r="L9" i="13"/>
  <c r="L7" i="13"/>
  <c r="B61" i="11"/>
  <c r="P56" i="11"/>
  <c r="P52" i="11"/>
  <c r="P48" i="11"/>
  <c r="P44" i="11"/>
  <c r="P40" i="11"/>
  <c r="P36" i="11"/>
  <c r="P32" i="11"/>
  <c r="P55" i="11"/>
  <c r="P51" i="11"/>
  <c r="P43" i="11"/>
  <c r="P35" i="11"/>
  <c r="P39" i="11"/>
  <c r="P59" i="11"/>
  <c r="O61" i="11"/>
  <c r="I61" i="11"/>
  <c r="P47" i="11"/>
  <c r="P31" i="11"/>
  <c r="P58" i="11"/>
  <c r="P54" i="11"/>
  <c r="P50" i="11"/>
  <c r="P46" i="11"/>
  <c r="P42" i="11"/>
  <c r="P38" i="11"/>
  <c r="P34" i="11"/>
  <c r="P30" i="11"/>
  <c r="P57" i="11"/>
  <c r="P53" i="11"/>
  <c r="P49" i="11"/>
  <c r="P45" i="11"/>
  <c r="P41" i="11"/>
  <c r="P37" i="11"/>
  <c r="P33" i="11"/>
  <c r="P29" i="11"/>
  <c r="P28" i="11"/>
  <c r="G11" i="123"/>
  <c r="G10" i="123"/>
  <c r="G9" i="123"/>
  <c r="I9" i="123"/>
  <c r="J9" i="123"/>
  <c r="I10" i="123"/>
  <c r="J10" i="123"/>
  <c r="I11" i="123"/>
  <c r="J11" i="123"/>
  <c r="H10" i="123"/>
  <c r="H11" i="123"/>
  <c r="H9" i="123"/>
  <c r="C9" i="123"/>
  <c r="D9" i="123"/>
  <c r="E9" i="123"/>
  <c r="F9" i="123"/>
  <c r="C10" i="123"/>
  <c r="D10" i="123"/>
  <c r="E10" i="123"/>
  <c r="F10" i="123"/>
  <c r="C11" i="123"/>
  <c r="D11" i="123"/>
  <c r="E11" i="123"/>
  <c r="F11" i="123"/>
  <c r="B10" i="123"/>
  <c r="B11" i="123"/>
  <c r="B9" i="123"/>
  <c r="A11" i="123"/>
  <c r="A10" i="123"/>
  <c r="A9" i="123"/>
  <c r="G24" i="123"/>
  <c r="H24" i="123" s="1"/>
  <c r="G23" i="123"/>
  <c r="H23" i="123" s="1"/>
  <c r="G22" i="123"/>
  <c r="H22" i="123" s="1"/>
  <c r="G21" i="123"/>
  <c r="H21" i="123" s="1"/>
  <c r="G20" i="123"/>
  <c r="H20" i="123" s="1"/>
  <c r="C25" i="123"/>
  <c r="D25" i="123"/>
  <c r="E25" i="123"/>
  <c r="G25" i="123"/>
  <c r="C26" i="123"/>
  <c r="D26" i="123"/>
  <c r="E26" i="123"/>
  <c r="F26" i="123"/>
  <c r="G26" i="123"/>
  <c r="C27" i="123"/>
  <c r="D27" i="123"/>
  <c r="E27" i="123"/>
  <c r="F27" i="123"/>
  <c r="G27" i="123"/>
  <c r="B26" i="123"/>
  <c r="B27" i="123"/>
  <c r="B25" i="123"/>
  <c r="A27" i="123"/>
  <c r="A26" i="123"/>
  <c r="A25" i="123"/>
  <c r="F38" i="98"/>
  <c r="E38" i="98"/>
  <c r="D38" i="98"/>
  <c r="C38" i="98"/>
  <c r="B38" i="98"/>
  <c r="F6" i="98"/>
  <c r="F7" i="98"/>
  <c r="F8" i="98"/>
  <c r="F9" i="98"/>
  <c r="F10" i="98"/>
  <c r="F11" i="98"/>
  <c r="F12" i="98"/>
  <c r="F13" i="98"/>
  <c r="F14" i="98"/>
  <c r="F15" i="98"/>
  <c r="F16" i="98"/>
  <c r="F17" i="98"/>
  <c r="F18" i="98"/>
  <c r="F19" i="98"/>
  <c r="F20" i="98"/>
  <c r="F21" i="98"/>
  <c r="F22" i="98"/>
  <c r="F24" i="98"/>
  <c r="F25" i="98"/>
  <c r="F26" i="98"/>
  <c r="F27" i="98"/>
  <c r="F28" i="98"/>
  <c r="F29" i="98"/>
  <c r="F30" i="98"/>
  <c r="F31" i="98"/>
  <c r="F32" i="98"/>
  <c r="F33" i="98"/>
  <c r="F34" i="98"/>
  <c r="F35" i="98"/>
  <c r="F36" i="98"/>
  <c r="F5" i="98"/>
  <c r="C5" i="98"/>
  <c r="B6" i="98"/>
  <c r="C6" i="98"/>
  <c r="D6" i="98"/>
  <c r="E6" i="98"/>
  <c r="B7" i="98"/>
  <c r="C7" i="98"/>
  <c r="D7" i="98"/>
  <c r="E7" i="98"/>
  <c r="B8" i="98"/>
  <c r="C8" i="98"/>
  <c r="D8" i="98"/>
  <c r="B9" i="98"/>
  <c r="C9" i="98"/>
  <c r="D9" i="98"/>
  <c r="E9" i="98"/>
  <c r="B10" i="98"/>
  <c r="C10" i="98"/>
  <c r="D10" i="98"/>
  <c r="E10" i="98"/>
  <c r="B11" i="98"/>
  <c r="C11" i="98"/>
  <c r="D11" i="98"/>
  <c r="E11" i="98"/>
  <c r="B12" i="98"/>
  <c r="C12" i="98"/>
  <c r="D12" i="98"/>
  <c r="E12" i="98"/>
  <c r="B13" i="98"/>
  <c r="C13" i="98"/>
  <c r="D13" i="98"/>
  <c r="E13" i="98"/>
  <c r="B14" i="98"/>
  <c r="C14" i="98"/>
  <c r="D14" i="98"/>
  <c r="E14" i="98"/>
  <c r="B15" i="98"/>
  <c r="C15" i="98"/>
  <c r="D15" i="98"/>
  <c r="E15" i="98"/>
  <c r="B16" i="98"/>
  <c r="C16" i="98"/>
  <c r="D16" i="98"/>
  <c r="E16" i="98"/>
  <c r="B17" i="98"/>
  <c r="C17" i="98"/>
  <c r="D17" i="98"/>
  <c r="E17" i="98"/>
  <c r="B18" i="98"/>
  <c r="C18" i="98"/>
  <c r="D18" i="98"/>
  <c r="E18" i="98"/>
  <c r="B19" i="98"/>
  <c r="C19" i="98"/>
  <c r="D19" i="98"/>
  <c r="E19" i="98"/>
  <c r="B20" i="98"/>
  <c r="C20" i="98"/>
  <c r="D20" i="98"/>
  <c r="E20" i="98"/>
  <c r="B21" i="98"/>
  <c r="C21" i="98"/>
  <c r="D21" i="98"/>
  <c r="E21" i="98"/>
  <c r="B22" i="98"/>
  <c r="C22" i="98"/>
  <c r="D22" i="98"/>
  <c r="E22" i="98"/>
  <c r="B23" i="98"/>
  <c r="C23" i="98"/>
  <c r="D23" i="98"/>
  <c r="E23" i="98"/>
  <c r="B24" i="98"/>
  <c r="C24" i="98"/>
  <c r="D24" i="98"/>
  <c r="E24" i="98"/>
  <c r="B25" i="98"/>
  <c r="C25" i="98"/>
  <c r="D25" i="98"/>
  <c r="E25" i="98"/>
  <c r="B26" i="98"/>
  <c r="C26" i="98"/>
  <c r="D26" i="98"/>
  <c r="E26" i="98"/>
  <c r="B27" i="98"/>
  <c r="C27" i="98"/>
  <c r="D27" i="98"/>
  <c r="E27" i="98"/>
  <c r="B28" i="98"/>
  <c r="C28" i="98"/>
  <c r="D28" i="98"/>
  <c r="E28" i="98"/>
  <c r="B29" i="98"/>
  <c r="C29" i="98"/>
  <c r="D29" i="98"/>
  <c r="E29" i="98"/>
  <c r="B30" i="98"/>
  <c r="C30" i="98"/>
  <c r="D30" i="98"/>
  <c r="E30" i="98"/>
  <c r="B31" i="98"/>
  <c r="C31" i="98"/>
  <c r="D31" i="98"/>
  <c r="E31" i="98"/>
  <c r="B32" i="98"/>
  <c r="C32" i="98"/>
  <c r="D32" i="98"/>
  <c r="E32" i="98"/>
  <c r="B33" i="98"/>
  <c r="C33" i="98"/>
  <c r="D33" i="98"/>
  <c r="E33" i="98"/>
  <c r="B34" i="98"/>
  <c r="C34" i="98"/>
  <c r="D34" i="98"/>
  <c r="E34" i="98"/>
  <c r="B35" i="98"/>
  <c r="C35" i="98"/>
  <c r="D35" i="98"/>
  <c r="E35" i="98"/>
  <c r="B36" i="98"/>
  <c r="C36" i="98"/>
  <c r="D36" i="98"/>
  <c r="E36" i="98"/>
  <c r="E5" i="98"/>
  <c r="D5" i="98"/>
  <c r="B5" i="98"/>
  <c r="C9" i="8"/>
  <c r="C17" i="224" s="1"/>
  <c r="D9" i="8"/>
  <c r="D17" i="224" s="1"/>
  <c r="E9" i="8"/>
  <c r="E17" i="224" s="1"/>
  <c r="F9" i="8"/>
  <c r="F17" i="224" s="1"/>
  <c r="G9" i="8"/>
  <c r="G17" i="224" s="1"/>
  <c r="H9" i="8"/>
  <c r="H17" i="224" s="1"/>
  <c r="I9" i="8"/>
  <c r="I17" i="224" s="1"/>
  <c r="J9" i="8"/>
  <c r="J17" i="224" s="1"/>
  <c r="K9" i="8"/>
  <c r="K17" i="224" s="1"/>
  <c r="L9" i="8"/>
  <c r="L17" i="224" s="1"/>
  <c r="M9" i="8"/>
  <c r="M17" i="224" s="1"/>
  <c r="N9" i="8"/>
  <c r="N17" i="224" s="1"/>
  <c r="O9" i="8"/>
  <c r="O17" i="224" s="1"/>
  <c r="P9" i="8"/>
  <c r="P17" i="224" s="1"/>
  <c r="Q9" i="8"/>
  <c r="Q17" i="224" s="1"/>
  <c r="R9" i="8"/>
  <c r="R17" i="224" s="1"/>
  <c r="S9" i="8"/>
  <c r="S17" i="224" s="1"/>
  <c r="T9" i="8"/>
  <c r="T17" i="224" s="1"/>
  <c r="U9" i="8"/>
  <c r="U17" i="224" s="1"/>
  <c r="C10" i="8"/>
  <c r="C18" i="224" s="1"/>
  <c r="D10" i="8"/>
  <c r="D18" i="224" s="1"/>
  <c r="E10" i="8"/>
  <c r="E18" i="224" s="1"/>
  <c r="F10" i="8"/>
  <c r="F18" i="224" s="1"/>
  <c r="G10" i="8"/>
  <c r="G18" i="224" s="1"/>
  <c r="H10" i="8"/>
  <c r="H18" i="224" s="1"/>
  <c r="I10" i="8"/>
  <c r="I18" i="224" s="1"/>
  <c r="J10" i="8"/>
  <c r="J18" i="224" s="1"/>
  <c r="K10" i="8"/>
  <c r="K18" i="224" s="1"/>
  <c r="L10" i="8"/>
  <c r="L18" i="224" s="1"/>
  <c r="M10" i="8"/>
  <c r="M18" i="224" s="1"/>
  <c r="N10" i="8"/>
  <c r="N18" i="224" s="1"/>
  <c r="O10" i="8"/>
  <c r="O18" i="224" s="1"/>
  <c r="P10" i="8"/>
  <c r="P18" i="224" s="1"/>
  <c r="Q10" i="8"/>
  <c r="Q18" i="224" s="1"/>
  <c r="R10" i="8"/>
  <c r="R18" i="224" s="1"/>
  <c r="S10" i="8"/>
  <c r="S18" i="224" s="1"/>
  <c r="T10" i="8"/>
  <c r="T18" i="224" s="1"/>
  <c r="U10" i="8"/>
  <c r="U18" i="224" s="1"/>
  <c r="C11" i="8"/>
  <c r="C19" i="224" s="1"/>
  <c r="D11" i="8"/>
  <c r="D19" i="224" s="1"/>
  <c r="E11" i="8"/>
  <c r="E19" i="224" s="1"/>
  <c r="F11" i="8"/>
  <c r="F19" i="224" s="1"/>
  <c r="G11" i="8"/>
  <c r="G19" i="224" s="1"/>
  <c r="H11" i="8"/>
  <c r="H19" i="224" s="1"/>
  <c r="I11" i="8"/>
  <c r="I19" i="224" s="1"/>
  <c r="J11" i="8"/>
  <c r="J19" i="224" s="1"/>
  <c r="K11" i="8"/>
  <c r="K19" i="224" s="1"/>
  <c r="L11" i="8"/>
  <c r="L19" i="224" s="1"/>
  <c r="M11" i="8"/>
  <c r="M19" i="224" s="1"/>
  <c r="N11" i="8"/>
  <c r="N19" i="224" s="1"/>
  <c r="O11" i="8"/>
  <c r="O19" i="224" s="1"/>
  <c r="P11" i="8"/>
  <c r="P19" i="224" s="1"/>
  <c r="Q11" i="8"/>
  <c r="Q19" i="224" s="1"/>
  <c r="R11" i="8"/>
  <c r="R19" i="224" s="1"/>
  <c r="S11" i="8"/>
  <c r="S19" i="224" s="1"/>
  <c r="T11" i="8"/>
  <c r="T19" i="224" s="1"/>
  <c r="U11" i="8"/>
  <c r="U19" i="224" s="1"/>
  <c r="B10" i="8"/>
  <c r="B18" i="224" s="1"/>
  <c r="B11" i="8"/>
  <c r="B19" i="224" s="1"/>
  <c r="B9" i="8"/>
  <c r="B17" i="224" s="1"/>
  <c r="A11" i="8"/>
  <c r="A19" i="224" s="1"/>
  <c r="A10" i="8"/>
  <c r="A18" i="224" s="1"/>
  <c r="A9" i="8"/>
  <c r="A17" i="224" s="1"/>
  <c r="E9" i="120"/>
  <c r="E10" i="120"/>
  <c r="E11" i="120"/>
  <c r="D10" i="120"/>
  <c r="D11" i="120"/>
  <c r="D9" i="120"/>
  <c r="B10" i="120"/>
  <c r="R31" i="97" s="1"/>
  <c r="B11" i="120"/>
  <c r="B9" i="120"/>
  <c r="R30" i="97" s="1"/>
  <c r="A10" i="120"/>
  <c r="A11" i="120"/>
  <c r="A9" i="120"/>
  <c r="C41" i="122"/>
  <c r="D41" i="122"/>
  <c r="E41" i="122"/>
  <c r="F41" i="122"/>
  <c r="C42" i="122"/>
  <c r="D42" i="122"/>
  <c r="E42" i="122"/>
  <c r="F42" i="122"/>
  <c r="C43" i="122"/>
  <c r="D43" i="122"/>
  <c r="E43" i="122"/>
  <c r="F43" i="122"/>
  <c r="B42" i="122"/>
  <c r="B43" i="122"/>
  <c r="B41" i="122"/>
  <c r="A43" i="122"/>
  <c r="A42" i="122"/>
  <c r="A41" i="122"/>
  <c r="C25" i="122"/>
  <c r="D25" i="122"/>
  <c r="E25" i="122"/>
  <c r="F25" i="122"/>
  <c r="C26" i="122"/>
  <c r="D26" i="122"/>
  <c r="E26" i="122"/>
  <c r="F26" i="122"/>
  <c r="C27" i="122"/>
  <c r="D27" i="122"/>
  <c r="E27" i="122"/>
  <c r="F27" i="122"/>
  <c r="B26" i="122"/>
  <c r="B27" i="122"/>
  <c r="B25" i="122"/>
  <c r="C9" i="122"/>
  <c r="D9" i="122"/>
  <c r="E9" i="122"/>
  <c r="F9" i="122"/>
  <c r="C10" i="122"/>
  <c r="D10" i="122"/>
  <c r="E10" i="122"/>
  <c r="F10" i="122"/>
  <c r="C11" i="122"/>
  <c r="D11" i="122"/>
  <c r="E11" i="122"/>
  <c r="F11" i="122"/>
  <c r="B10" i="122"/>
  <c r="B11" i="122"/>
  <c r="B9" i="122"/>
  <c r="A27" i="122"/>
  <c r="A26" i="122"/>
  <c r="A25" i="122"/>
  <c r="A11" i="122"/>
  <c r="A10" i="122"/>
  <c r="A9" i="122"/>
  <c r="D13" i="217" l="1"/>
  <c r="D12" i="217"/>
  <c r="D11" i="217"/>
  <c r="G13" i="217"/>
  <c r="D10" i="173"/>
  <c r="H13" i="217"/>
  <c r="C8" i="173"/>
  <c r="C9" i="173"/>
  <c r="G12" i="217"/>
  <c r="D9" i="173"/>
  <c r="H12" i="217"/>
  <c r="I14" i="125"/>
  <c r="G25" i="122"/>
  <c r="G42" i="122"/>
  <c r="V9" i="8"/>
  <c r="V17" i="224" s="1"/>
  <c r="H25" i="123"/>
  <c r="L35" i="125"/>
  <c r="H11" i="120"/>
  <c r="R32" i="97"/>
  <c r="V11" i="8"/>
  <c r="V19" i="224" s="1"/>
  <c r="K10" i="123"/>
  <c r="L36" i="125"/>
  <c r="G26" i="122"/>
  <c r="V10" i="8"/>
  <c r="V18" i="224" s="1"/>
  <c r="H26" i="123"/>
  <c r="G10" i="122"/>
  <c r="G11" i="122"/>
  <c r="G43" i="122"/>
  <c r="H27" i="123"/>
  <c r="K9" i="123"/>
  <c r="P61" i="11"/>
  <c r="G10" i="120"/>
  <c r="H10" i="120"/>
  <c r="G11" i="120"/>
  <c r="U31" i="97" l="1"/>
  <c r="B13" i="216"/>
  <c r="C13" i="216" s="1"/>
  <c r="U30" i="97"/>
  <c r="B12" i="216"/>
  <c r="C12" i="216" s="1"/>
  <c r="U32" i="97"/>
  <c r="B14" i="216"/>
  <c r="C14" i="216" s="1"/>
  <c r="D23" i="5"/>
  <c r="D24" i="5"/>
  <c r="D65" i="5" s="1"/>
  <c r="E24" i="5"/>
  <c r="E65" i="5" s="1"/>
  <c r="F24" i="5"/>
  <c r="F65" i="5" s="1"/>
  <c r="D25" i="5"/>
  <c r="D66" i="5" s="1"/>
  <c r="E25" i="5"/>
  <c r="E66" i="5" s="1"/>
  <c r="F25" i="5"/>
  <c r="F66" i="5" s="1"/>
  <c r="D26" i="5"/>
  <c r="D67" i="5" s="1"/>
  <c r="E26" i="5"/>
  <c r="E67" i="5" s="1"/>
  <c r="F26" i="5"/>
  <c r="F67" i="5" s="1"/>
  <c r="D27" i="5"/>
  <c r="D68" i="5" s="1"/>
  <c r="E27" i="5"/>
  <c r="E68" i="5" s="1"/>
  <c r="F27" i="5"/>
  <c r="F68" i="5" s="1"/>
  <c r="D28" i="5"/>
  <c r="D69" i="5" s="1"/>
  <c r="E28" i="5"/>
  <c r="E69" i="5" s="1"/>
  <c r="F28" i="5"/>
  <c r="F69" i="5" s="1"/>
  <c r="D29" i="5"/>
  <c r="D70" i="5" s="1"/>
  <c r="E29" i="5"/>
  <c r="E70" i="5" s="1"/>
  <c r="F29" i="5"/>
  <c r="F70" i="5" s="1"/>
  <c r="D30" i="5"/>
  <c r="D71" i="5" s="1"/>
  <c r="E30" i="5"/>
  <c r="E71" i="5" s="1"/>
  <c r="F30" i="5"/>
  <c r="F71" i="5" s="1"/>
  <c r="D31" i="5"/>
  <c r="D72" i="5" s="1"/>
  <c r="E31" i="5"/>
  <c r="E72" i="5" s="1"/>
  <c r="F31" i="5"/>
  <c r="F72" i="5" s="1"/>
  <c r="D32" i="5"/>
  <c r="D73" i="5" s="1"/>
  <c r="E32" i="5"/>
  <c r="E73" i="5" s="1"/>
  <c r="F32" i="5"/>
  <c r="F73" i="5" s="1"/>
  <c r="D33" i="5"/>
  <c r="D74" i="5" s="1"/>
  <c r="E33" i="5"/>
  <c r="E74" i="5" s="1"/>
  <c r="F33" i="5"/>
  <c r="F74" i="5" s="1"/>
  <c r="D34" i="5"/>
  <c r="D75" i="5" s="1"/>
  <c r="E34" i="5"/>
  <c r="E75" i="5" s="1"/>
  <c r="F34" i="5"/>
  <c r="F75" i="5" s="1"/>
  <c r="D35" i="5"/>
  <c r="D76" i="5" s="1"/>
  <c r="E35" i="5"/>
  <c r="E76" i="5" s="1"/>
  <c r="F35" i="5"/>
  <c r="F76" i="5" s="1"/>
  <c r="D36" i="5"/>
  <c r="D77" i="5" s="1"/>
  <c r="E36" i="5"/>
  <c r="E77" i="5" s="1"/>
  <c r="F36" i="5"/>
  <c r="F77" i="5" s="1"/>
  <c r="D37" i="5"/>
  <c r="D78" i="5" s="1"/>
  <c r="E37" i="5"/>
  <c r="E78" i="5" s="1"/>
  <c r="F37" i="5"/>
  <c r="F78" i="5" s="1"/>
  <c r="D38" i="5"/>
  <c r="D79" i="5" s="1"/>
  <c r="E38" i="5"/>
  <c r="E79" i="5" s="1"/>
  <c r="F38" i="5"/>
  <c r="F79" i="5" s="1"/>
  <c r="D39" i="5"/>
  <c r="D80" i="5" s="1"/>
  <c r="E39" i="5"/>
  <c r="E80" i="5" s="1"/>
  <c r="F39" i="5"/>
  <c r="F80" i="5" s="1"/>
  <c r="D40" i="5"/>
  <c r="D81" i="5" s="1"/>
  <c r="E40" i="5"/>
  <c r="E81" i="5" s="1"/>
  <c r="F40" i="5"/>
  <c r="F81" i="5" s="1"/>
  <c r="D41" i="5"/>
  <c r="D82" i="5" s="1"/>
  <c r="E41" i="5"/>
  <c r="E82" i="5" s="1"/>
  <c r="F41" i="5"/>
  <c r="F82" i="5" s="1"/>
  <c r="D42" i="5"/>
  <c r="D83" i="5" s="1"/>
  <c r="E42" i="5"/>
  <c r="E83" i="5" s="1"/>
  <c r="F42" i="5"/>
  <c r="F83" i="5" s="1"/>
  <c r="D43" i="5"/>
  <c r="D84" i="5" s="1"/>
  <c r="E43" i="5"/>
  <c r="E84" i="5" s="1"/>
  <c r="F43" i="5"/>
  <c r="F84" i="5" s="1"/>
  <c r="D44" i="5"/>
  <c r="D85" i="5" s="1"/>
  <c r="E44" i="5"/>
  <c r="E85" i="5" s="1"/>
  <c r="F44" i="5"/>
  <c r="F85" i="5" s="1"/>
  <c r="D45" i="5"/>
  <c r="D86" i="5" s="1"/>
  <c r="E45" i="5"/>
  <c r="E86" i="5" s="1"/>
  <c r="F45" i="5"/>
  <c r="F86" i="5" s="1"/>
  <c r="D46" i="5"/>
  <c r="D87" i="5" s="1"/>
  <c r="E46" i="5"/>
  <c r="E87" i="5" s="1"/>
  <c r="F46" i="5"/>
  <c r="F87" i="5" s="1"/>
  <c r="D47" i="5"/>
  <c r="D88" i="5" s="1"/>
  <c r="E47" i="5"/>
  <c r="E88" i="5" s="1"/>
  <c r="F47" i="5"/>
  <c r="F88" i="5" s="1"/>
  <c r="D48" i="5"/>
  <c r="D89" i="5" s="1"/>
  <c r="E48" i="5"/>
  <c r="E89" i="5" s="1"/>
  <c r="F48" i="5"/>
  <c r="F89" i="5" s="1"/>
  <c r="D49" i="5"/>
  <c r="D90" i="5" s="1"/>
  <c r="E49" i="5"/>
  <c r="E90" i="5" s="1"/>
  <c r="F49" i="5"/>
  <c r="F90" i="5" s="1"/>
  <c r="D50" i="5"/>
  <c r="D91" i="5" s="1"/>
  <c r="E50" i="5"/>
  <c r="E91" i="5" s="1"/>
  <c r="F50" i="5"/>
  <c r="F91" i="5" s="1"/>
  <c r="D51" i="5"/>
  <c r="D92" i="5" s="1"/>
  <c r="E51" i="5"/>
  <c r="E92" i="5" s="1"/>
  <c r="F51" i="5"/>
  <c r="F92" i="5" s="1"/>
  <c r="D52" i="5"/>
  <c r="D93" i="5" s="1"/>
  <c r="E52" i="5"/>
  <c r="E93" i="5" s="1"/>
  <c r="F52" i="5"/>
  <c r="F93" i="5" s="1"/>
  <c r="D53" i="5"/>
  <c r="D94" i="5" s="1"/>
  <c r="E53" i="5"/>
  <c r="E94" i="5" s="1"/>
  <c r="F53" i="5"/>
  <c r="F94" i="5" s="1"/>
  <c r="D54" i="5"/>
  <c r="D95" i="5" s="1"/>
  <c r="E54" i="5"/>
  <c r="E95" i="5" s="1"/>
  <c r="F54" i="5"/>
  <c r="F95" i="5" s="1"/>
  <c r="D55" i="5"/>
  <c r="E55" i="5"/>
  <c r="I55" i="5" s="1"/>
  <c r="F55" i="5"/>
  <c r="E23" i="5"/>
  <c r="E64" i="5" s="1"/>
  <c r="F23" i="5"/>
  <c r="F64" i="5" s="1"/>
  <c r="B5" i="94"/>
  <c r="F14" i="5"/>
  <c r="P32" i="97" s="1"/>
  <c r="F13" i="5"/>
  <c r="P31" i="97" s="1"/>
  <c r="E15" i="179" s="1"/>
  <c r="F12" i="5"/>
  <c r="P30" i="97" s="1"/>
  <c r="E14" i="179" s="1"/>
  <c r="E14" i="5"/>
  <c r="O32" i="97" s="1"/>
  <c r="E13" i="5"/>
  <c r="O31" i="97" s="1"/>
  <c r="D15" i="179" s="1"/>
  <c r="E12" i="5"/>
  <c r="O30" i="97" s="1"/>
  <c r="D14" i="179" s="1"/>
  <c r="D14" i="5"/>
  <c r="N32" i="97" s="1"/>
  <c r="D13" i="5"/>
  <c r="D12" i="5"/>
  <c r="N30" i="97" s="1"/>
  <c r="C14" i="179" s="1"/>
  <c r="B14" i="5"/>
  <c r="B13" i="5"/>
  <c r="B12" i="5"/>
  <c r="A14" i="5"/>
  <c r="A13" i="5"/>
  <c r="A12" i="5"/>
  <c r="J5" i="94"/>
  <c r="J6" i="94"/>
  <c r="J7" i="94"/>
  <c r="J8" i="94"/>
  <c r="J9" i="94"/>
  <c r="J10" i="94"/>
  <c r="J11" i="94"/>
  <c r="J12" i="94"/>
  <c r="J13" i="94"/>
  <c r="J14" i="94"/>
  <c r="J15" i="94"/>
  <c r="J16" i="94"/>
  <c r="J17" i="94"/>
  <c r="J18" i="94"/>
  <c r="J19" i="94"/>
  <c r="J20" i="94"/>
  <c r="J21" i="94"/>
  <c r="J22" i="94"/>
  <c r="J23" i="94"/>
  <c r="J24" i="94"/>
  <c r="J25" i="94"/>
  <c r="J26" i="94"/>
  <c r="J27" i="94"/>
  <c r="J28" i="94"/>
  <c r="J29" i="94"/>
  <c r="J30" i="94"/>
  <c r="J31" i="94"/>
  <c r="J32" i="94"/>
  <c r="J33" i="94"/>
  <c r="J34" i="94"/>
  <c r="J35" i="94"/>
  <c r="G5" i="94"/>
  <c r="G6" i="94"/>
  <c r="G7" i="94"/>
  <c r="G8" i="94"/>
  <c r="G9" i="94"/>
  <c r="G10" i="94"/>
  <c r="G11" i="94"/>
  <c r="G12" i="94"/>
  <c r="G13" i="94"/>
  <c r="G14" i="94"/>
  <c r="G15" i="94"/>
  <c r="G16" i="94"/>
  <c r="G17" i="94"/>
  <c r="G18" i="94"/>
  <c r="G19" i="94"/>
  <c r="G20" i="94"/>
  <c r="G21" i="94"/>
  <c r="G22" i="94"/>
  <c r="G23" i="94"/>
  <c r="G24" i="94"/>
  <c r="G25" i="94"/>
  <c r="G26" i="94"/>
  <c r="G27" i="94"/>
  <c r="G28" i="94"/>
  <c r="G29" i="94"/>
  <c r="G30" i="94"/>
  <c r="G31" i="94"/>
  <c r="G32" i="94"/>
  <c r="G33" i="94"/>
  <c r="G34" i="94"/>
  <c r="G35" i="94"/>
  <c r="D5" i="94"/>
  <c r="D6" i="94"/>
  <c r="D7" i="94"/>
  <c r="D8" i="94"/>
  <c r="D9" i="94"/>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B6" i="94"/>
  <c r="B7" i="94"/>
  <c r="B8" i="94"/>
  <c r="B9" i="94"/>
  <c r="B10" i="94"/>
  <c r="B11" i="94"/>
  <c r="B12" i="94"/>
  <c r="B13" i="94"/>
  <c r="B14" i="94"/>
  <c r="B15" i="94"/>
  <c r="B16" i="94"/>
  <c r="B17" i="94"/>
  <c r="B18" i="94"/>
  <c r="B19" i="94"/>
  <c r="B20" i="94"/>
  <c r="B21" i="94"/>
  <c r="B22" i="94"/>
  <c r="B23" i="94"/>
  <c r="B24" i="94"/>
  <c r="B25" i="94"/>
  <c r="B26" i="94"/>
  <c r="B27" i="94"/>
  <c r="B28" i="94"/>
  <c r="B29" i="94"/>
  <c r="B30" i="94"/>
  <c r="B31" i="94"/>
  <c r="B32" i="94"/>
  <c r="B33" i="94"/>
  <c r="B34" i="94"/>
  <c r="B35" i="94"/>
  <c r="B4" i="94"/>
  <c r="D4" i="94"/>
  <c r="G4" i="94"/>
  <c r="J4" i="94"/>
  <c r="D27" i="4"/>
  <c r="B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G15" i="4"/>
  <c r="G14" i="4"/>
  <c r="G13" i="4"/>
  <c r="D15" i="4"/>
  <c r="D14" i="4"/>
  <c r="D13" i="4"/>
  <c r="B15" i="4"/>
  <c r="B14" i="4"/>
  <c r="B13" i="4"/>
  <c r="A15" i="4"/>
  <c r="A14" i="4"/>
  <c r="A13" i="4"/>
  <c r="N48" i="182"/>
  <c r="O48" i="182"/>
  <c r="P48" i="182"/>
  <c r="Q48" i="182"/>
  <c r="N49" i="182"/>
  <c r="O49" i="182"/>
  <c r="P49" i="182"/>
  <c r="Q49" i="182"/>
  <c r="N50" i="182"/>
  <c r="O50" i="182"/>
  <c r="P50" i="182"/>
  <c r="Q50" i="182"/>
  <c r="N51" i="182"/>
  <c r="O51" i="182"/>
  <c r="P51" i="182"/>
  <c r="Q51" i="182"/>
  <c r="N52" i="182"/>
  <c r="O52" i="182"/>
  <c r="P52" i="182"/>
  <c r="Q52" i="182"/>
  <c r="N53" i="182"/>
  <c r="O53" i="182"/>
  <c r="P53" i="182"/>
  <c r="Q53" i="182"/>
  <c r="N54" i="182"/>
  <c r="O54" i="182"/>
  <c r="P54" i="182"/>
  <c r="Q54" i="182"/>
  <c r="N55" i="182"/>
  <c r="O55" i="182"/>
  <c r="P55" i="182"/>
  <c r="Q55" i="182"/>
  <c r="N56" i="182"/>
  <c r="O56" i="182"/>
  <c r="P56" i="182"/>
  <c r="Q56" i="182"/>
  <c r="N57" i="182"/>
  <c r="O57" i="182"/>
  <c r="P57" i="182"/>
  <c r="Q57" i="182"/>
  <c r="N58" i="182"/>
  <c r="O58" i="182"/>
  <c r="P58" i="182"/>
  <c r="Q58" i="182"/>
  <c r="N59" i="182"/>
  <c r="O59" i="182"/>
  <c r="P59" i="182"/>
  <c r="Q59" i="182"/>
  <c r="N60" i="182"/>
  <c r="O60" i="182"/>
  <c r="P60" i="182"/>
  <c r="Q60" i="182"/>
  <c r="N61" i="182"/>
  <c r="O61" i="182"/>
  <c r="P61" i="182"/>
  <c r="Q61" i="182"/>
  <c r="N62" i="182"/>
  <c r="O62" i="182"/>
  <c r="P62" i="182"/>
  <c r="Q62" i="182"/>
  <c r="N63" i="182"/>
  <c r="O63" i="182"/>
  <c r="P63" i="182"/>
  <c r="Q63" i="182"/>
  <c r="N64" i="182"/>
  <c r="O64" i="182"/>
  <c r="P64" i="182"/>
  <c r="Q64" i="182"/>
  <c r="N65" i="182"/>
  <c r="O65" i="182"/>
  <c r="P65" i="182"/>
  <c r="Q65" i="182"/>
  <c r="N66" i="182"/>
  <c r="O66" i="182"/>
  <c r="P66" i="182"/>
  <c r="Q66" i="182"/>
  <c r="N67" i="182"/>
  <c r="O67" i="182"/>
  <c r="P67" i="182"/>
  <c r="Q67" i="182"/>
  <c r="N68" i="182"/>
  <c r="O68" i="182"/>
  <c r="P68" i="182"/>
  <c r="Q68" i="182"/>
  <c r="N69" i="182"/>
  <c r="O69" i="182"/>
  <c r="P69" i="182"/>
  <c r="Q69" i="182"/>
  <c r="N70" i="182"/>
  <c r="O70" i="182"/>
  <c r="P70" i="182"/>
  <c r="Q70" i="182"/>
  <c r="N71" i="182"/>
  <c r="O71" i="182"/>
  <c r="P71" i="182"/>
  <c r="Q71" i="182"/>
  <c r="N72" i="182"/>
  <c r="O72" i="182"/>
  <c r="P72" i="182"/>
  <c r="Q72" i="182"/>
  <c r="N73" i="182"/>
  <c r="O73" i="182"/>
  <c r="P73" i="182"/>
  <c r="Q73" i="182"/>
  <c r="N74" i="182"/>
  <c r="O74" i="182"/>
  <c r="P74" i="182"/>
  <c r="Q74" i="182"/>
  <c r="N75" i="182"/>
  <c r="O75" i="182"/>
  <c r="P75" i="182"/>
  <c r="Q75" i="182"/>
  <c r="N76" i="182"/>
  <c r="O76" i="182"/>
  <c r="P76" i="182"/>
  <c r="Q76" i="182"/>
  <c r="N77" i="182"/>
  <c r="O77" i="182"/>
  <c r="P77" i="182"/>
  <c r="Q77" i="182"/>
  <c r="N78" i="182"/>
  <c r="O78" i="182"/>
  <c r="P78" i="182"/>
  <c r="Q78" i="182"/>
  <c r="O47" i="182"/>
  <c r="P47" i="182"/>
  <c r="Q47" i="182"/>
  <c r="H48" i="182"/>
  <c r="I48" i="182"/>
  <c r="J48" i="182"/>
  <c r="K48" i="182"/>
  <c r="H49" i="182"/>
  <c r="I49" i="182"/>
  <c r="J49" i="182"/>
  <c r="K49" i="182"/>
  <c r="H50" i="182"/>
  <c r="I50" i="182"/>
  <c r="J50" i="182"/>
  <c r="K50" i="182"/>
  <c r="H51" i="182"/>
  <c r="I51" i="182"/>
  <c r="J51" i="182"/>
  <c r="K51" i="182"/>
  <c r="H52" i="182"/>
  <c r="I52" i="182"/>
  <c r="J52" i="182"/>
  <c r="K52" i="182"/>
  <c r="H53" i="182"/>
  <c r="I53" i="182"/>
  <c r="J53" i="182"/>
  <c r="K53" i="182"/>
  <c r="H54" i="182"/>
  <c r="I54" i="182"/>
  <c r="J54" i="182"/>
  <c r="K54" i="182"/>
  <c r="H55" i="182"/>
  <c r="I55" i="182"/>
  <c r="J55" i="182"/>
  <c r="K55" i="182"/>
  <c r="H56" i="182"/>
  <c r="I56" i="182"/>
  <c r="J56" i="182"/>
  <c r="K56" i="182"/>
  <c r="H57" i="182"/>
  <c r="I57" i="182"/>
  <c r="J57" i="182"/>
  <c r="K57" i="182"/>
  <c r="H58" i="182"/>
  <c r="I58" i="182"/>
  <c r="J58" i="182"/>
  <c r="K58" i="182"/>
  <c r="H59" i="182"/>
  <c r="I59" i="182"/>
  <c r="J59" i="182"/>
  <c r="K59" i="182"/>
  <c r="H60" i="182"/>
  <c r="I60" i="182"/>
  <c r="J60" i="182"/>
  <c r="K60" i="182"/>
  <c r="H61" i="182"/>
  <c r="I61" i="182"/>
  <c r="K61" i="182"/>
  <c r="H62" i="182"/>
  <c r="I62" i="182"/>
  <c r="K62" i="182"/>
  <c r="H63" i="182"/>
  <c r="I63" i="182"/>
  <c r="J63" i="182"/>
  <c r="K63" i="182"/>
  <c r="H64" i="182"/>
  <c r="I64" i="182"/>
  <c r="J64" i="182"/>
  <c r="K64" i="182"/>
  <c r="H65" i="182"/>
  <c r="I65" i="182"/>
  <c r="J65" i="182"/>
  <c r="K65" i="182"/>
  <c r="H66" i="182"/>
  <c r="I66" i="182"/>
  <c r="J66" i="182"/>
  <c r="K66" i="182"/>
  <c r="H67" i="182"/>
  <c r="I67" i="182"/>
  <c r="J67" i="182"/>
  <c r="K67" i="182"/>
  <c r="H68" i="182"/>
  <c r="I68" i="182"/>
  <c r="J68" i="182"/>
  <c r="K68" i="182"/>
  <c r="H69" i="182"/>
  <c r="I69" i="182"/>
  <c r="J69" i="182"/>
  <c r="K69" i="182"/>
  <c r="H70" i="182"/>
  <c r="I70" i="182"/>
  <c r="J70" i="182"/>
  <c r="K70" i="182"/>
  <c r="H71" i="182"/>
  <c r="I71" i="182"/>
  <c r="J71" i="182"/>
  <c r="K71" i="182"/>
  <c r="H72" i="182"/>
  <c r="I72" i="182"/>
  <c r="J72" i="182"/>
  <c r="K72" i="182"/>
  <c r="H73" i="182"/>
  <c r="I73" i="182"/>
  <c r="J73" i="182"/>
  <c r="K73" i="182"/>
  <c r="H74" i="182"/>
  <c r="I74" i="182"/>
  <c r="J74" i="182"/>
  <c r="K74" i="182"/>
  <c r="H75" i="182"/>
  <c r="I75" i="182"/>
  <c r="J75" i="182"/>
  <c r="K75" i="182"/>
  <c r="H76" i="182"/>
  <c r="I76" i="182"/>
  <c r="J76" i="182"/>
  <c r="K76" i="182"/>
  <c r="H77" i="182"/>
  <c r="I77" i="182"/>
  <c r="J77" i="182"/>
  <c r="K77" i="182"/>
  <c r="H78" i="182"/>
  <c r="I78" i="182"/>
  <c r="J78" i="182"/>
  <c r="K78" i="182"/>
  <c r="I47" i="182"/>
  <c r="J47" i="182"/>
  <c r="K47" i="182"/>
  <c r="B48" i="182"/>
  <c r="C48" i="182"/>
  <c r="D48" i="182"/>
  <c r="E48" i="182"/>
  <c r="B49" i="182"/>
  <c r="C49" i="182"/>
  <c r="D49" i="182"/>
  <c r="E49" i="182"/>
  <c r="B50" i="182"/>
  <c r="C50" i="182"/>
  <c r="D50" i="182"/>
  <c r="E50" i="182"/>
  <c r="B51" i="182"/>
  <c r="C51" i="182"/>
  <c r="D51" i="182"/>
  <c r="E51" i="182"/>
  <c r="B52" i="182"/>
  <c r="C52" i="182"/>
  <c r="D52" i="182"/>
  <c r="E52" i="182"/>
  <c r="B53" i="182"/>
  <c r="C53" i="182"/>
  <c r="D53" i="182"/>
  <c r="E53" i="182"/>
  <c r="B54" i="182"/>
  <c r="C54" i="182"/>
  <c r="D54" i="182"/>
  <c r="E54" i="182"/>
  <c r="B55" i="182"/>
  <c r="C55" i="182"/>
  <c r="D55" i="182"/>
  <c r="E55" i="182"/>
  <c r="B56" i="182"/>
  <c r="C56" i="182"/>
  <c r="D56" i="182"/>
  <c r="E56" i="182"/>
  <c r="B57" i="182"/>
  <c r="C57" i="182"/>
  <c r="D57" i="182"/>
  <c r="E57" i="182"/>
  <c r="B58" i="182"/>
  <c r="C58" i="182"/>
  <c r="D58" i="182"/>
  <c r="E58" i="182"/>
  <c r="B59" i="182"/>
  <c r="C59" i="182"/>
  <c r="D59" i="182"/>
  <c r="E59" i="182"/>
  <c r="B60" i="182"/>
  <c r="C60" i="182"/>
  <c r="D60" i="182"/>
  <c r="E60" i="182"/>
  <c r="B61" i="182"/>
  <c r="C61" i="182"/>
  <c r="D61" i="182"/>
  <c r="E61" i="182"/>
  <c r="C62" i="182"/>
  <c r="D62" i="182"/>
  <c r="E62" i="182"/>
  <c r="B63" i="182"/>
  <c r="C63" i="182"/>
  <c r="D63" i="182"/>
  <c r="E63" i="182"/>
  <c r="B64" i="182"/>
  <c r="C64" i="182"/>
  <c r="D64" i="182"/>
  <c r="E64" i="182"/>
  <c r="B65" i="182"/>
  <c r="C65" i="182"/>
  <c r="D65" i="182"/>
  <c r="E65" i="182"/>
  <c r="B66" i="182"/>
  <c r="C66" i="182"/>
  <c r="D66" i="182"/>
  <c r="E66" i="182"/>
  <c r="B67" i="182"/>
  <c r="C67" i="182"/>
  <c r="D67" i="182"/>
  <c r="E67" i="182"/>
  <c r="B68" i="182"/>
  <c r="C68" i="182"/>
  <c r="D68" i="182"/>
  <c r="E68" i="182"/>
  <c r="B69" i="182"/>
  <c r="C69" i="182"/>
  <c r="D69" i="182"/>
  <c r="E69" i="182"/>
  <c r="B70" i="182"/>
  <c r="C70" i="182"/>
  <c r="D70" i="182"/>
  <c r="E70" i="182"/>
  <c r="B71" i="182"/>
  <c r="C71" i="182"/>
  <c r="D71" i="182"/>
  <c r="E71" i="182"/>
  <c r="B72" i="182"/>
  <c r="C72" i="182"/>
  <c r="D72" i="182"/>
  <c r="E72" i="182"/>
  <c r="B73" i="182"/>
  <c r="C73" i="182"/>
  <c r="D73" i="182"/>
  <c r="E73" i="182"/>
  <c r="B74" i="182"/>
  <c r="C74" i="182"/>
  <c r="D74" i="182"/>
  <c r="E74" i="182"/>
  <c r="B75" i="182"/>
  <c r="C75" i="182"/>
  <c r="D75" i="182"/>
  <c r="E75" i="182"/>
  <c r="B76" i="182"/>
  <c r="C76" i="182"/>
  <c r="D76" i="182"/>
  <c r="E76" i="182"/>
  <c r="B77" i="182"/>
  <c r="C77" i="182"/>
  <c r="D77" i="182"/>
  <c r="E77" i="182"/>
  <c r="B78" i="182"/>
  <c r="C78" i="182"/>
  <c r="D78" i="182"/>
  <c r="E78" i="182"/>
  <c r="B47" i="182"/>
  <c r="C47" i="182"/>
  <c r="D47" i="182"/>
  <c r="E47" i="182"/>
  <c r="N47" i="182"/>
  <c r="H47" i="182"/>
  <c r="J55" i="5" l="1"/>
  <c r="E14" i="4"/>
  <c r="D64" i="5"/>
  <c r="C16" i="179"/>
  <c r="E16" i="179"/>
  <c r="D16" i="179"/>
  <c r="E15" i="4"/>
  <c r="J13" i="5"/>
  <c r="Q32" i="97"/>
  <c r="H13" i="5"/>
  <c r="N31" i="97"/>
  <c r="Q30" i="97"/>
  <c r="S30" i="97" s="1"/>
  <c r="I13" i="5"/>
  <c r="B53" i="5"/>
  <c r="B49" i="5"/>
  <c r="B90" i="5" s="1"/>
  <c r="B45" i="5"/>
  <c r="B86" i="5" s="1"/>
  <c r="B41" i="5"/>
  <c r="B82" i="5" s="1"/>
  <c r="B55" i="5"/>
  <c r="H55" i="5" s="1"/>
  <c r="B51" i="5"/>
  <c r="B92" i="5" s="1"/>
  <c r="B47" i="5"/>
  <c r="B88" i="5" s="1"/>
  <c r="B43" i="5"/>
  <c r="B84" i="5" s="1"/>
  <c r="B39" i="5"/>
  <c r="B80" i="5" s="1"/>
  <c r="B37" i="5"/>
  <c r="B78" i="5" s="1"/>
  <c r="B35" i="5"/>
  <c r="B76" i="5" s="1"/>
  <c r="B33" i="5"/>
  <c r="B74" i="5" s="1"/>
  <c r="B31" i="5"/>
  <c r="B72" i="5" s="1"/>
  <c r="B29" i="5"/>
  <c r="B70" i="5" s="1"/>
  <c r="B27" i="5"/>
  <c r="B68" i="5" s="1"/>
  <c r="B25" i="5"/>
  <c r="B66" i="5" s="1"/>
  <c r="B54" i="5"/>
  <c r="B50" i="5"/>
  <c r="B91" i="5" s="1"/>
  <c r="B46" i="5"/>
  <c r="B87" i="5" s="1"/>
  <c r="B42" i="5"/>
  <c r="B83" i="5" s="1"/>
  <c r="B38" i="5"/>
  <c r="B79" i="5" s="1"/>
  <c r="B34" i="5"/>
  <c r="B75" i="5" s="1"/>
  <c r="B30" i="5"/>
  <c r="B71" i="5" s="1"/>
  <c r="B26" i="5"/>
  <c r="B67" i="5" s="1"/>
  <c r="B52" i="5"/>
  <c r="B93" i="5" s="1"/>
  <c r="B48" i="5"/>
  <c r="B89" i="5" s="1"/>
  <c r="B44" i="5"/>
  <c r="B85" i="5" s="1"/>
  <c r="B40" i="5"/>
  <c r="B81" i="5" s="1"/>
  <c r="B36" i="5"/>
  <c r="B77" i="5" s="1"/>
  <c r="B32" i="5"/>
  <c r="B73" i="5" s="1"/>
  <c r="B28" i="5"/>
  <c r="B69" i="5" s="1"/>
  <c r="B24" i="5"/>
  <c r="D37" i="94"/>
  <c r="B37" i="94"/>
  <c r="E58" i="4"/>
  <c r="E13" i="4"/>
  <c r="H14" i="4"/>
  <c r="H15" i="4"/>
  <c r="O13" i="182"/>
  <c r="P13" i="182"/>
  <c r="Q13" i="182"/>
  <c r="O14" i="182"/>
  <c r="P14" i="182"/>
  <c r="Q14" i="182"/>
  <c r="O15" i="182"/>
  <c r="P15" i="182"/>
  <c r="Q15" i="182"/>
  <c r="N14" i="182"/>
  <c r="N15" i="182"/>
  <c r="N13" i="182"/>
  <c r="I13" i="182"/>
  <c r="J13" i="182"/>
  <c r="K13" i="182"/>
  <c r="I14" i="182"/>
  <c r="J14" i="182"/>
  <c r="K14" i="182"/>
  <c r="I15" i="182"/>
  <c r="J15" i="182"/>
  <c r="K15" i="182"/>
  <c r="H14" i="182"/>
  <c r="H15" i="182"/>
  <c r="H13" i="182"/>
  <c r="C13" i="182"/>
  <c r="D13" i="182"/>
  <c r="E13" i="182"/>
  <c r="C14" i="182"/>
  <c r="D14" i="182"/>
  <c r="E14" i="182"/>
  <c r="C15" i="182"/>
  <c r="D15" i="182"/>
  <c r="E15" i="182"/>
  <c r="B14" i="182"/>
  <c r="B15" i="182"/>
  <c r="B13" i="182"/>
  <c r="A14" i="182"/>
  <c r="A35" i="182" s="1"/>
  <c r="A15" i="182"/>
  <c r="A36" i="182" s="1"/>
  <c r="A13" i="182"/>
  <c r="A34" i="182" s="1"/>
  <c r="M69" i="181"/>
  <c r="M70" i="181"/>
  <c r="M71" i="181"/>
  <c r="M72" i="181"/>
  <c r="M73" i="181"/>
  <c r="M74" i="181"/>
  <c r="M75" i="181"/>
  <c r="M76" i="181"/>
  <c r="M77" i="181"/>
  <c r="M78" i="181"/>
  <c r="M79" i="181"/>
  <c r="M80" i="181"/>
  <c r="M81" i="181"/>
  <c r="M82" i="181"/>
  <c r="M83" i="181"/>
  <c r="M84" i="181"/>
  <c r="M85" i="181"/>
  <c r="M86" i="181"/>
  <c r="M87" i="181"/>
  <c r="M88" i="181"/>
  <c r="M89" i="181"/>
  <c r="M90" i="181"/>
  <c r="M91" i="181"/>
  <c r="M92" i="181"/>
  <c r="M93" i="181"/>
  <c r="M94" i="181"/>
  <c r="M95" i="181"/>
  <c r="M96" i="181"/>
  <c r="M97" i="181"/>
  <c r="M98" i="181"/>
  <c r="M99" i="181"/>
  <c r="M68" i="181"/>
  <c r="I26" i="181"/>
  <c r="S32" i="97" l="1"/>
  <c r="Q31" i="97"/>
  <c r="S31" i="97" s="1"/>
  <c r="C15" i="179"/>
  <c r="L15" i="182"/>
  <c r="R13" i="182"/>
  <c r="L14" i="182"/>
  <c r="L13" i="182"/>
  <c r="F14" i="182"/>
  <c r="F13" i="182"/>
  <c r="R15" i="182"/>
  <c r="F15" i="182"/>
  <c r="R14" i="182"/>
  <c r="I54" i="5"/>
  <c r="B95" i="5"/>
  <c r="I53" i="5"/>
  <c r="B94" i="5"/>
  <c r="H24" i="5"/>
  <c r="B65" i="5"/>
  <c r="J54" i="5"/>
  <c r="E37" i="94"/>
  <c r="M101" i="181"/>
  <c r="H27" i="181"/>
  <c r="I27" i="181"/>
  <c r="H28" i="181"/>
  <c r="I28" i="181"/>
  <c r="H29" i="181"/>
  <c r="I29" i="181"/>
  <c r="H30" i="181"/>
  <c r="I30" i="181"/>
  <c r="H31" i="181"/>
  <c r="I31" i="181"/>
  <c r="H32" i="181"/>
  <c r="I32" i="181"/>
  <c r="H33" i="181"/>
  <c r="I33" i="181"/>
  <c r="H34" i="181"/>
  <c r="I34" i="181"/>
  <c r="H35" i="181"/>
  <c r="I35" i="181"/>
  <c r="H36" i="181"/>
  <c r="I36" i="181"/>
  <c r="H37" i="181"/>
  <c r="I37" i="181"/>
  <c r="H38" i="181"/>
  <c r="I38" i="181"/>
  <c r="H39" i="181"/>
  <c r="I39" i="181"/>
  <c r="H40" i="181"/>
  <c r="I40" i="181"/>
  <c r="H41" i="181"/>
  <c r="I41" i="181"/>
  <c r="H42" i="181"/>
  <c r="I42" i="181"/>
  <c r="H43" i="181"/>
  <c r="I43" i="181"/>
  <c r="H44" i="181"/>
  <c r="I44" i="181"/>
  <c r="H45" i="181"/>
  <c r="I45" i="181"/>
  <c r="H46" i="181"/>
  <c r="I46" i="181"/>
  <c r="H47" i="181"/>
  <c r="I47" i="181"/>
  <c r="H48" i="181"/>
  <c r="I48" i="181"/>
  <c r="H49" i="181"/>
  <c r="I49" i="181"/>
  <c r="H50" i="181"/>
  <c r="I50" i="181"/>
  <c r="H51" i="181"/>
  <c r="I51" i="181"/>
  <c r="H52" i="181"/>
  <c r="I52" i="181"/>
  <c r="H53" i="181"/>
  <c r="I53" i="181"/>
  <c r="H54" i="181"/>
  <c r="I54" i="181"/>
  <c r="H55" i="181"/>
  <c r="I55" i="181"/>
  <c r="H56" i="181"/>
  <c r="I56" i="181"/>
  <c r="H57" i="181"/>
  <c r="I57" i="181"/>
  <c r="H26" i="181"/>
  <c r="F26" i="181"/>
  <c r="F27" i="181"/>
  <c r="F28" i="181"/>
  <c r="F29" i="181"/>
  <c r="F30" i="181"/>
  <c r="F31" i="181"/>
  <c r="F32" i="181"/>
  <c r="F33" i="181"/>
  <c r="F34" i="181"/>
  <c r="F35" i="181"/>
  <c r="F36" i="181"/>
  <c r="F37" i="181"/>
  <c r="F38" i="181"/>
  <c r="F39" i="181"/>
  <c r="F40" i="181"/>
  <c r="F41" i="181"/>
  <c r="F42" i="181"/>
  <c r="F43" i="181"/>
  <c r="F44" i="181"/>
  <c r="F45" i="181"/>
  <c r="F46" i="181"/>
  <c r="F47" i="181"/>
  <c r="F48" i="181"/>
  <c r="F49" i="181"/>
  <c r="F50" i="181"/>
  <c r="F51" i="181"/>
  <c r="F52" i="181"/>
  <c r="F53" i="181"/>
  <c r="F54" i="181"/>
  <c r="F55" i="181"/>
  <c r="F56" i="181"/>
  <c r="F57" i="181"/>
  <c r="B26" i="181"/>
  <c r="B68" i="181" s="1"/>
  <c r="B27" i="181"/>
  <c r="C27" i="181"/>
  <c r="D27" i="181"/>
  <c r="E27" i="181"/>
  <c r="B28" i="181"/>
  <c r="C28" i="181"/>
  <c r="D28" i="181"/>
  <c r="E28" i="181"/>
  <c r="B29" i="181"/>
  <c r="C29" i="181"/>
  <c r="D29" i="181"/>
  <c r="E29" i="181"/>
  <c r="B30" i="181"/>
  <c r="C30" i="181"/>
  <c r="D30" i="181"/>
  <c r="E30" i="181"/>
  <c r="B31" i="181"/>
  <c r="C31" i="181"/>
  <c r="D31" i="181"/>
  <c r="E31" i="181"/>
  <c r="B32" i="181"/>
  <c r="C32" i="181"/>
  <c r="D32" i="181"/>
  <c r="E32" i="181"/>
  <c r="B33" i="181"/>
  <c r="C33" i="181"/>
  <c r="D33" i="181"/>
  <c r="E33" i="181"/>
  <c r="B34" i="181"/>
  <c r="C34" i="181"/>
  <c r="D34" i="181"/>
  <c r="E34" i="181"/>
  <c r="B35" i="181"/>
  <c r="C35" i="181"/>
  <c r="D35" i="181"/>
  <c r="E35" i="181"/>
  <c r="B36" i="181"/>
  <c r="C36" i="181"/>
  <c r="D36" i="181"/>
  <c r="E36" i="181"/>
  <c r="B37" i="181"/>
  <c r="C37" i="181"/>
  <c r="D37" i="181"/>
  <c r="E37" i="181"/>
  <c r="B38" i="181"/>
  <c r="C38" i="181"/>
  <c r="D38" i="181"/>
  <c r="E38" i="181"/>
  <c r="B39" i="181"/>
  <c r="C39" i="181"/>
  <c r="D39" i="181"/>
  <c r="E39" i="181"/>
  <c r="B40" i="181"/>
  <c r="C40" i="181"/>
  <c r="D40" i="181"/>
  <c r="E40" i="181"/>
  <c r="B41" i="181"/>
  <c r="C41" i="181"/>
  <c r="D41" i="181"/>
  <c r="E41" i="181"/>
  <c r="B42" i="181"/>
  <c r="C42" i="181"/>
  <c r="D42" i="181"/>
  <c r="E42" i="181"/>
  <c r="B43" i="181"/>
  <c r="C43" i="181"/>
  <c r="D43" i="181"/>
  <c r="E43" i="181"/>
  <c r="B44" i="181"/>
  <c r="C44" i="181"/>
  <c r="D44" i="181"/>
  <c r="E44" i="181"/>
  <c r="B45" i="181"/>
  <c r="C45" i="181"/>
  <c r="D45" i="181"/>
  <c r="E45" i="181"/>
  <c r="B46" i="181"/>
  <c r="C46" i="181"/>
  <c r="D46" i="181"/>
  <c r="E46" i="181"/>
  <c r="B47" i="181"/>
  <c r="C47" i="181"/>
  <c r="D47" i="181"/>
  <c r="E47" i="181"/>
  <c r="B48" i="181"/>
  <c r="C48" i="181"/>
  <c r="D48" i="181"/>
  <c r="E48" i="181"/>
  <c r="B49" i="181"/>
  <c r="C49" i="181"/>
  <c r="D49" i="181"/>
  <c r="E49" i="181"/>
  <c r="B50" i="181"/>
  <c r="C50" i="181"/>
  <c r="D50" i="181"/>
  <c r="E50" i="181"/>
  <c r="B51" i="181"/>
  <c r="C51" i="181"/>
  <c r="D51" i="181"/>
  <c r="E51" i="181"/>
  <c r="B52" i="181"/>
  <c r="C52" i="181"/>
  <c r="D52" i="181"/>
  <c r="E52" i="181"/>
  <c r="B53" i="181"/>
  <c r="C53" i="181"/>
  <c r="D53" i="181"/>
  <c r="E53" i="181"/>
  <c r="B54" i="181"/>
  <c r="C54" i="181"/>
  <c r="D54" i="181"/>
  <c r="E54" i="181"/>
  <c r="B55" i="181"/>
  <c r="C55" i="181"/>
  <c r="D55" i="181"/>
  <c r="E55" i="181"/>
  <c r="B56" i="181"/>
  <c r="C56" i="181"/>
  <c r="D56" i="181"/>
  <c r="E56" i="181"/>
  <c r="B57" i="181"/>
  <c r="C57" i="181"/>
  <c r="D57" i="181"/>
  <c r="E57" i="181"/>
  <c r="C26" i="181"/>
  <c r="D26" i="181"/>
  <c r="E26" i="181"/>
  <c r="I13" i="181"/>
  <c r="H30" i="97" s="1"/>
  <c r="I14" i="181"/>
  <c r="H31" i="97" s="1"/>
  <c r="I15" i="181"/>
  <c r="H32" i="97" s="1"/>
  <c r="H14" i="181"/>
  <c r="G31" i="97" s="1"/>
  <c r="E58" i="166" s="1"/>
  <c r="H15" i="181"/>
  <c r="G32" i="97" s="1"/>
  <c r="E59" i="166" s="1"/>
  <c r="H13" i="181"/>
  <c r="G30" i="97" s="1"/>
  <c r="E57" i="166" s="1"/>
  <c r="B14" i="181"/>
  <c r="C10" i="218" s="1"/>
  <c r="C14" i="181"/>
  <c r="O35" i="182" s="1"/>
  <c r="D14" i="181"/>
  <c r="D31" i="97" s="1"/>
  <c r="E14" i="181"/>
  <c r="K35" i="182" s="1"/>
  <c r="C11" i="218"/>
  <c r="C15" i="181"/>
  <c r="I36" i="182" s="1"/>
  <c r="D15" i="181"/>
  <c r="D36" i="182" s="1"/>
  <c r="E15" i="181"/>
  <c r="E32" i="97" s="1"/>
  <c r="C13" i="181"/>
  <c r="C30" i="97" s="1"/>
  <c r="D13" i="181"/>
  <c r="D30" i="97" s="1"/>
  <c r="E13" i="181"/>
  <c r="E30" i="97" s="1"/>
  <c r="B13" i="181"/>
  <c r="C9" i="218" s="1"/>
  <c r="A15" i="181"/>
  <c r="A32" i="97" s="1"/>
  <c r="C28" i="229" s="1"/>
  <c r="A14" i="181"/>
  <c r="A31" i="97" s="1"/>
  <c r="A13" i="181"/>
  <c r="A30" i="97" s="1"/>
  <c r="E47" i="120"/>
  <c r="E42" i="120"/>
  <c r="D29" i="120"/>
  <c r="E44" i="120"/>
  <c r="E31" i="120"/>
  <c r="D38" i="120"/>
  <c r="E28" i="120"/>
  <c r="E37" i="120"/>
  <c r="P49" i="8"/>
  <c r="H36" i="8"/>
  <c r="D49" i="8"/>
  <c r="C39" i="8"/>
  <c r="E28" i="8"/>
  <c r="R30" i="8"/>
  <c r="D43" i="8"/>
  <c r="S29" i="8"/>
  <c r="Q24" i="8"/>
  <c r="S32" i="8"/>
  <c r="E25" i="8"/>
  <c r="U43" i="8"/>
  <c r="C23" i="8"/>
  <c r="K42" i="8"/>
  <c r="M38" i="8"/>
  <c r="S24" i="8"/>
  <c r="H40" i="8"/>
  <c r="G40" i="8"/>
  <c r="P23" i="8"/>
  <c r="R44" i="8"/>
  <c r="F51" i="8"/>
  <c r="T40" i="8"/>
  <c r="K50" i="8"/>
  <c r="B21" i="8"/>
  <c r="C40" i="8"/>
  <c r="E36" i="8"/>
  <c r="N41" i="8"/>
  <c r="G32" i="8"/>
  <c r="I21" i="8"/>
  <c r="G37" i="8"/>
  <c r="K39" i="8"/>
  <c r="M28" i="8"/>
  <c r="J21" i="8"/>
  <c r="R41" i="8"/>
  <c r="F26" i="8"/>
  <c r="P21" i="8"/>
  <c r="L46" i="8"/>
  <c r="M40" i="8"/>
  <c r="B36" i="8"/>
  <c r="J43" i="8"/>
  <c r="T43" i="8"/>
  <c r="J22" i="8"/>
  <c r="E20" i="8"/>
  <c r="F21" i="8"/>
  <c r="S40" i="8"/>
  <c r="L35" i="8"/>
  <c r="U48" i="8"/>
  <c r="H31" i="8"/>
  <c r="E46" i="8"/>
  <c r="P29" i="8"/>
  <c r="D34" i="8"/>
  <c r="I48" i="8"/>
  <c r="F38" i="8"/>
  <c r="D37" i="8"/>
  <c r="L36" i="8"/>
  <c r="F27" i="8"/>
  <c r="K47" i="8"/>
  <c r="T22" i="8"/>
  <c r="S45" i="8"/>
  <c r="T42" i="8"/>
  <c r="E39" i="8"/>
  <c r="M35" i="8"/>
  <c r="L26" i="8"/>
  <c r="D48" i="8"/>
  <c r="M46" i="8"/>
  <c r="T32" i="8"/>
  <c r="H48" i="8"/>
  <c r="B42" i="8"/>
  <c r="N38" i="8"/>
  <c r="I20" i="8"/>
  <c r="D45" i="8"/>
  <c r="O44" i="8"/>
  <c r="O20" i="8"/>
  <c r="J50" i="8"/>
  <c r="S21" i="8"/>
  <c r="J48" i="8"/>
  <c r="H34" i="8"/>
  <c r="H20" i="8"/>
  <c r="K46" i="8"/>
  <c r="D50" i="8"/>
  <c r="D21" i="120"/>
  <c r="D42" i="120"/>
  <c r="D39" i="120"/>
  <c r="D46" i="120"/>
  <c r="E34" i="120"/>
  <c r="D44" i="120"/>
  <c r="E49" i="120"/>
  <c r="E27" i="120"/>
  <c r="I50" i="8"/>
  <c r="E40" i="8"/>
  <c r="E22" i="8"/>
  <c r="L25" i="8"/>
  <c r="K36" i="8"/>
  <c r="F40" i="8"/>
  <c r="H23" i="8"/>
  <c r="G23" i="8"/>
  <c r="N48" i="8"/>
  <c r="M27" i="8"/>
  <c r="J31" i="8"/>
  <c r="T34" i="8"/>
  <c r="E29" i="8"/>
  <c r="R42" i="8"/>
  <c r="O36" i="8"/>
  <c r="M50" i="8"/>
  <c r="O37" i="8"/>
  <c r="M32" i="8"/>
  <c r="R29" i="8"/>
  <c r="F43" i="8"/>
  <c r="U42" i="8"/>
  <c r="Q46" i="8"/>
  <c r="R28" i="8"/>
  <c r="E30" i="8"/>
  <c r="Q27" i="8"/>
  <c r="B30" i="8"/>
  <c r="E42" i="8"/>
  <c r="Q38" i="8"/>
  <c r="S49" i="8"/>
  <c r="M21" i="8"/>
  <c r="N21" i="8"/>
  <c r="U39" i="8"/>
  <c r="T29" i="8"/>
  <c r="I36" i="8"/>
  <c r="O32" i="8"/>
  <c r="O33" i="8"/>
  <c r="J47" i="8"/>
  <c r="Q51" i="8"/>
  <c r="Q30" i="8"/>
  <c r="I31" i="8"/>
  <c r="F45" i="8"/>
  <c r="M44" i="8"/>
  <c r="S34" i="8"/>
  <c r="F24" i="8"/>
  <c r="O26" i="8"/>
  <c r="C28" i="8"/>
  <c r="H28" i="8"/>
  <c r="M30" i="8"/>
  <c r="J38" i="8"/>
  <c r="I22" i="8"/>
  <c r="F42" i="8"/>
  <c r="P32" i="8"/>
  <c r="B31" i="8"/>
  <c r="O49" i="8"/>
  <c r="S23" i="8"/>
  <c r="G49" i="8"/>
  <c r="I28" i="8"/>
  <c r="K24" i="8"/>
  <c r="I34" i="8"/>
  <c r="T25" i="8"/>
  <c r="O39" i="8"/>
  <c r="E51" i="8"/>
  <c r="E47" i="8"/>
  <c r="N39" i="8"/>
  <c r="T50" i="8"/>
  <c r="L41" i="8"/>
  <c r="N30" i="8"/>
  <c r="F35" i="8"/>
  <c r="I39" i="8"/>
  <c r="S20" i="8"/>
  <c r="T28" i="8"/>
  <c r="C31" i="8"/>
  <c r="L29" i="8"/>
  <c r="F36" i="8"/>
  <c r="G20" i="8"/>
  <c r="C24" i="8"/>
  <c r="U47" i="8"/>
  <c r="L51" i="8"/>
  <c r="P34" i="8"/>
  <c r="B37" i="8"/>
  <c r="E22" i="120"/>
  <c r="D22" i="120"/>
  <c r="E29" i="120"/>
  <c r="E39" i="120"/>
  <c r="E35" i="120"/>
  <c r="E24" i="120"/>
  <c r="E45" i="120"/>
  <c r="D45" i="120"/>
  <c r="F44" i="8"/>
  <c r="C38" i="8"/>
  <c r="N37" i="8"/>
  <c r="H38" i="8"/>
  <c r="I30" i="8"/>
  <c r="R23" i="8"/>
  <c r="Q37" i="8"/>
  <c r="B28" i="8"/>
  <c r="G26" i="8"/>
  <c r="Q35" i="8"/>
  <c r="R27" i="8"/>
  <c r="M25" i="8"/>
  <c r="C35" i="8"/>
  <c r="N47" i="8"/>
  <c r="Q44" i="8"/>
  <c r="D39" i="8"/>
  <c r="R37" i="8"/>
  <c r="G24" i="8"/>
  <c r="U34" i="8"/>
  <c r="D47" i="8"/>
  <c r="E45" i="8"/>
  <c r="R33" i="8"/>
  <c r="E37" i="8"/>
  <c r="H30" i="8"/>
  <c r="Q47" i="8"/>
  <c r="F37" i="8"/>
  <c r="G43" i="8"/>
  <c r="F22" i="8"/>
  <c r="C33" i="8"/>
  <c r="U28" i="8"/>
  <c r="N42" i="8"/>
  <c r="Q39" i="8"/>
  <c r="K40" i="8"/>
  <c r="D23" i="8"/>
  <c r="J33" i="8"/>
  <c r="Q28" i="8"/>
  <c r="E23" i="8"/>
  <c r="R46" i="8"/>
  <c r="O40" i="8"/>
  <c r="N31" i="8"/>
  <c r="L47" i="8"/>
  <c r="G22" i="8"/>
  <c r="C22" i="8"/>
  <c r="L37" i="8"/>
  <c r="R40" i="8"/>
  <c r="U44" i="8"/>
  <c r="H51" i="8"/>
  <c r="U46" i="8"/>
  <c r="D33" i="8"/>
  <c r="U23" i="8"/>
  <c r="O43" i="8"/>
  <c r="J36" i="8"/>
  <c r="Q34" i="8"/>
  <c r="R51" i="8"/>
  <c r="D31" i="8"/>
  <c r="H47" i="8"/>
  <c r="K25" i="8"/>
  <c r="T38" i="8"/>
  <c r="T23" i="8"/>
  <c r="J45" i="8"/>
  <c r="D44" i="8"/>
  <c r="O24" i="8"/>
  <c r="R20" i="8"/>
  <c r="S22" i="8"/>
  <c r="N27" i="8"/>
  <c r="T33" i="8"/>
  <c r="G41" i="8"/>
  <c r="O27" i="8"/>
  <c r="P51" i="8"/>
  <c r="J49" i="8"/>
  <c r="H49" i="8"/>
  <c r="T45" i="8"/>
  <c r="Q32" i="8"/>
  <c r="L48" i="8"/>
  <c r="R22" i="8"/>
  <c r="D22" i="8"/>
  <c r="E32" i="8"/>
  <c r="H33" i="8"/>
  <c r="P40" i="8"/>
  <c r="C44" i="8"/>
  <c r="D25" i="120"/>
  <c r="D36" i="120"/>
  <c r="D43" i="120"/>
  <c r="E23" i="120"/>
  <c r="E25" i="120"/>
  <c r="E46" i="120"/>
  <c r="E21" i="120"/>
  <c r="E20" i="120"/>
  <c r="K31" i="8"/>
  <c r="H27" i="8"/>
  <c r="U29" i="8"/>
  <c r="R35" i="8"/>
  <c r="P36" i="8"/>
  <c r="N32" i="8"/>
  <c r="P26" i="8"/>
  <c r="F25" i="8"/>
  <c r="U50" i="8"/>
  <c r="E44" i="8"/>
  <c r="L30" i="8"/>
  <c r="J35" i="8"/>
  <c r="H39" i="8"/>
  <c r="O47" i="8"/>
  <c r="U21" i="8"/>
  <c r="M41" i="8"/>
  <c r="P24" i="8"/>
  <c r="P47" i="8"/>
  <c r="D27" i="8"/>
  <c r="J40" i="8"/>
  <c r="Q26" i="8"/>
  <c r="R36" i="8"/>
  <c r="L33" i="8"/>
  <c r="L22" i="8"/>
  <c r="U27" i="8"/>
  <c r="R47" i="8"/>
  <c r="R34" i="8"/>
  <c r="B49" i="8"/>
  <c r="I47" i="8"/>
  <c r="G21" i="8"/>
  <c r="P20" i="8"/>
  <c r="L45" i="8"/>
  <c r="B24" i="8"/>
  <c r="D40" i="8"/>
  <c r="O28" i="8"/>
  <c r="C25" i="8"/>
  <c r="P33" i="8"/>
  <c r="S27" i="8"/>
  <c r="J20" i="8"/>
  <c r="P48" i="8"/>
  <c r="G45" i="8"/>
  <c r="S37" i="8"/>
  <c r="U41" i="8"/>
  <c r="N29" i="8"/>
  <c r="D26" i="8"/>
  <c r="O22" i="8"/>
  <c r="U36" i="8"/>
  <c r="N24" i="8"/>
  <c r="U24" i="8"/>
  <c r="U45" i="8"/>
  <c r="K21" i="8"/>
  <c r="Q40" i="8"/>
  <c r="M22" i="8"/>
  <c r="B35" i="8"/>
  <c r="T21" i="8"/>
  <c r="I45" i="8"/>
  <c r="B45" i="8"/>
  <c r="F49" i="8"/>
  <c r="R39" i="8"/>
  <c r="H41" i="8"/>
  <c r="N33" i="8"/>
  <c r="O48" i="8"/>
  <c r="G42" i="8"/>
  <c r="S46" i="8"/>
  <c r="S38" i="8"/>
  <c r="Q20" i="8"/>
  <c r="H50" i="8"/>
  <c r="N51" i="8"/>
  <c r="G38" i="8"/>
  <c r="N20" i="8"/>
  <c r="O34" i="8"/>
  <c r="O21" i="8"/>
  <c r="U33" i="8"/>
  <c r="T47" i="8"/>
  <c r="B40" i="8"/>
  <c r="T27" i="8"/>
  <c r="M51" i="8"/>
  <c r="I46" i="8"/>
  <c r="O41" i="8"/>
  <c r="T46" i="8"/>
  <c r="E43" i="120"/>
  <c r="E48" i="120"/>
  <c r="D33" i="120"/>
  <c r="D26" i="120"/>
  <c r="E30" i="120"/>
  <c r="D34" i="120"/>
  <c r="D35" i="120"/>
  <c r="E51" i="120"/>
  <c r="K26" i="8"/>
  <c r="G28" i="8"/>
  <c r="N26" i="8"/>
  <c r="Q25" i="8"/>
  <c r="G27" i="8"/>
  <c r="G39" i="8"/>
  <c r="M20" i="8"/>
  <c r="S25" i="8"/>
  <c r="F41" i="8"/>
  <c r="J44" i="8"/>
  <c r="U30" i="8"/>
  <c r="L23" i="8"/>
  <c r="Q36" i="8"/>
  <c r="I37" i="8"/>
  <c r="H35" i="8"/>
  <c r="K20" i="8"/>
  <c r="K33" i="8"/>
  <c r="D41" i="8"/>
  <c r="L28" i="8"/>
  <c r="B32" i="8"/>
  <c r="M49" i="8"/>
  <c r="Q43" i="8"/>
  <c r="G30" i="8"/>
  <c r="K49" i="8"/>
  <c r="N34" i="8"/>
  <c r="I32" i="8"/>
  <c r="K38" i="8"/>
  <c r="G44" i="8"/>
  <c r="S41" i="8"/>
  <c r="U51" i="8"/>
  <c r="C32" i="8"/>
  <c r="L44" i="8"/>
  <c r="H22" i="8"/>
  <c r="R24" i="8"/>
  <c r="C45" i="8"/>
  <c r="M42" i="8"/>
  <c r="M39" i="8"/>
  <c r="J23" i="8"/>
  <c r="S30" i="8"/>
  <c r="G48" i="8"/>
  <c r="T39" i="8"/>
  <c r="F29" i="8"/>
  <c r="L50" i="8"/>
  <c r="L21" i="8"/>
  <c r="P27" i="8"/>
  <c r="M34" i="8"/>
  <c r="C42" i="8"/>
  <c r="K37" i="8"/>
  <c r="S33" i="8"/>
  <c r="K45" i="8"/>
  <c r="G35" i="8"/>
  <c r="K27" i="8"/>
  <c r="U26" i="8"/>
  <c r="I25" i="8"/>
  <c r="B50" i="8"/>
  <c r="K29" i="8"/>
  <c r="F33" i="8"/>
  <c r="U35" i="8"/>
  <c r="B41" i="8"/>
  <c r="I26" i="8"/>
  <c r="D32" i="8"/>
  <c r="C48" i="8"/>
  <c r="I40" i="8"/>
  <c r="H29" i="8"/>
  <c r="I43" i="8"/>
  <c r="C27" i="8"/>
  <c r="U32" i="8"/>
  <c r="S50" i="8"/>
  <c r="E27" i="8"/>
  <c r="C26" i="8"/>
  <c r="M29" i="8"/>
  <c r="U20" i="8"/>
  <c r="M47" i="8"/>
  <c r="P44" i="8"/>
  <c r="K41" i="8"/>
  <c r="G50" i="8"/>
  <c r="G33" i="8"/>
  <c r="Q48" i="8"/>
  <c r="N50" i="8"/>
  <c r="S28" i="8"/>
  <c r="B39" i="8"/>
  <c r="D24" i="120"/>
  <c r="D30" i="120"/>
  <c r="D37" i="120"/>
  <c r="E50" i="120"/>
  <c r="E38" i="120"/>
  <c r="D23" i="120"/>
  <c r="D51" i="120"/>
  <c r="D32" i="120"/>
  <c r="F39" i="8"/>
  <c r="R38" i="8"/>
  <c r="R32" i="8"/>
  <c r="H25" i="8"/>
  <c r="D36" i="8"/>
  <c r="I38" i="8"/>
  <c r="D28" i="8"/>
  <c r="N49" i="8"/>
  <c r="O29" i="8"/>
  <c r="L42" i="8"/>
  <c r="L40" i="8"/>
  <c r="F30" i="8"/>
  <c r="B22" i="8"/>
  <c r="U25" i="8"/>
  <c r="H45" i="8"/>
  <c r="N43" i="8"/>
  <c r="F34" i="8"/>
  <c r="Q22" i="8"/>
  <c r="I24" i="8"/>
  <c r="E35" i="8"/>
  <c r="T35" i="8"/>
  <c r="C50" i="8"/>
  <c r="F31" i="8"/>
  <c r="O25" i="8"/>
  <c r="T31" i="8"/>
  <c r="H44" i="8"/>
  <c r="M31" i="8"/>
  <c r="L32" i="8"/>
  <c r="M45" i="8"/>
  <c r="S31" i="8"/>
  <c r="O23" i="8"/>
  <c r="H42" i="8"/>
  <c r="E48" i="8"/>
  <c r="E34" i="8"/>
  <c r="B29" i="8"/>
  <c r="H21" i="8"/>
  <c r="L39" i="8"/>
  <c r="J37" i="8"/>
  <c r="D30" i="8"/>
  <c r="N23" i="8"/>
  <c r="L34" i="8"/>
  <c r="F20" i="8"/>
  <c r="G51" i="8"/>
  <c r="C41" i="8"/>
  <c r="G34" i="8"/>
  <c r="E31" i="8"/>
  <c r="C29" i="8"/>
  <c r="P42" i="8"/>
  <c r="J34" i="8"/>
  <c r="L24" i="8"/>
  <c r="K34" i="8"/>
  <c r="M37" i="8"/>
  <c r="B47" i="8"/>
  <c r="I42" i="8"/>
  <c r="K32" i="8"/>
  <c r="J27" i="8"/>
  <c r="F32" i="8"/>
  <c r="D42" i="8"/>
  <c r="M24" i="8"/>
  <c r="B26" i="8"/>
  <c r="C20" i="8"/>
  <c r="K44" i="8"/>
  <c r="P46" i="8"/>
  <c r="T49" i="8"/>
  <c r="I49" i="8"/>
  <c r="C43" i="8"/>
  <c r="R45" i="8"/>
  <c r="H24" i="8"/>
  <c r="I27" i="8"/>
  <c r="P31" i="8"/>
  <c r="B48" i="8"/>
  <c r="P50" i="8"/>
  <c r="F46" i="8"/>
  <c r="K30" i="8"/>
  <c r="P43" i="8"/>
  <c r="Q23" i="8"/>
  <c r="I41" i="8"/>
  <c r="R50" i="8"/>
  <c r="C47" i="8"/>
  <c r="S36" i="8"/>
  <c r="E33" i="120"/>
  <c r="D31" i="120"/>
  <c r="E41" i="120"/>
  <c r="D47" i="120"/>
  <c r="D41" i="120"/>
  <c r="E32" i="120"/>
  <c r="D49" i="120"/>
  <c r="E36" i="120"/>
  <c r="B38" i="8"/>
  <c r="K23" i="8"/>
  <c r="O38" i="8"/>
  <c r="B34" i="8"/>
  <c r="O31" i="8"/>
  <c r="O30" i="8"/>
  <c r="I35" i="8"/>
  <c r="E26" i="8"/>
  <c r="K35" i="8"/>
  <c r="N36" i="8"/>
  <c r="M23" i="8"/>
  <c r="L31" i="8"/>
  <c r="H37" i="8"/>
  <c r="H32" i="8"/>
  <c r="P37" i="8"/>
  <c r="S43" i="8"/>
  <c r="T51" i="8"/>
  <c r="C21" i="8"/>
  <c r="B46" i="8"/>
  <c r="O42" i="8"/>
  <c r="M26" i="8"/>
  <c r="E50" i="8"/>
  <c r="N45" i="8"/>
  <c r="H46" i="8"/>
  <c r="F23" i="8"/>
  <c r="Q50" i="8"/>
  <c r="Q42" i="8"/>
  <c r="C37" i="8"/>
  <c r="I29" i="8"/>
  <c r="Q31" i="8"/>
  <c r="P35" i="8"/>
  <c r="U37" i="8"/>
  <c r="R25" i="8"/>
  <c r="K28" i="8"/>
  <c r="E43" i="8"/>
  <c r="T36" i="8"/>
  <c r="H43" i="8"/>
  <c r="T41" i="8"/>
  <c r="J30" i="8"/>
  <c r="L27" i="8"/>
  <c r="U49" i="8"/>
  <c r="Q49" i="8"/>
  <c r="R31" i="8"/>
  <c r="G46" i="8"/>
  <c r="O35" i="8"/>
  <c r="P45" i="8"/>
  <c r="E41" i="8"/>
  <c r="C30" i="8"/>
  <c r="J39" i="8"/>
  <c r="C46" i="8"/>
  <c r="J29" i="8"/>
  <c r="G36" i="8"/>
  <c r="M33" i="8"/>
  <c r="P28" i="8"/>
  <c r="E24" i="8"/>
  <c r="N25" i="8"/>
  <c r="I23" i="8"/>
  <c r="D29" i="8"/>
  <c r="B23" i="8"/>
  <c r="S44" i="8"/>
  <c r="T24" i="8"/>
  <c r="J42" i="8"/>
  <c r="B51" i="8"/>
  <c r="Q45" i="8"/>
  <c r="E49" i="8"/>
  <c r="C49" i="8"/>
  <c r="C36" i="8"/>
  <c r="J28" i="8"/>
  <c r="N28" i="8"/>
  <c r="N40" i="8"/>
  <c r="I33" i="8"/>
  <c r="S47" i="8"/>
  <c r="G29" i="8"/>
  <c r="S51" i="8"/>
  <c r="F50" i="8"/>
  <c r="C51" i="8"/>
  <c r="T20" i="8"/>
  <c r="E33" i="8"/>
  <c r="R43" i="8"/>
  <c r="D48" i="120"/>
  <c r="E26" i="120"/>
  <c r="D20" i="120"/>
  <c r="D50" i="120"/>
  <c r="E40" i="120"/>
  <c r="D28" i="120"/>
  <c r="D27" i="120"/>
  <c r="D40" i="120"/>
  <c r="I44" i="8"/>
  <c r="Q29" i="8"/>
  <c r="B25" i="8"/>
  <c r="D35" i="8"/>
  <c r="B43" i="8"/>
  <c r="L43" i="8"/>
  <c r="D21" i="8"/>
  <c r="N44" i="8"/>
  <c r="G25" i="8"/>
  <c r="L20" i="8"/>
  <c r="S42" i="8"/>
  <c r="M43" i="8"/>
  <c r="J24" i="8"/>
  <c r="J32" i="8"/>
  <c r="T26" i="8"/>
  <c r="B20" i="8"/>
  <c r="K51" i="8"/>
  <c r="U40" i="8"/>
  <c r="P25" i="8"/>
  <c r="M36" i="8"/>
  <c r="D20" i="8"/>
  <c r="O46" i="8"/>
  <c r="R48" i="8"/>
  <c r="T30" i="8"/>
  <c r="U38" i="8"/>
  <c r="N35" i="8"/>
  <c r="B33" i="8"/>
  <c r="S26" i="8"/>
  <c r="P38" i="8"/>
  <c r="O50" i="8"/>
  <c r="K22" i="8"/>
  <c r="T37" i="8"/>
  <c r="P30" i="8"/>
  <c r="B27" i="8"/>
  <c r="Q41" i="8"/>
  <c r="N22" i="8"/>
  <c r="J25" i="8"/>
  <c r="U22" i="8"/>
  <c r="Q33" i="8"/>
  <c r="J46" i="8"/>
  <c r="R26" i="8"/>
  <c r="F47" i="8"/>
  <c r="S35" i="8"/>
  <c r="H26" i="8"/>
  <c r="T48" i="8"/>
  <c r="J26" i="8"/>
  <c r="F48" i="8"/>
  <c r="T44" i="8"/>
  <c r="K48" i="8"/>
  <c r="S48" i="8"/>
  <c r="N46" i="8"/>
  <c r="J41" i="8"/>
  <c r="P39" i="8"/>
  <c r="R21" i="8"/>
  <c r="C34" i="8"/>
  <c r="E38" i="8"/>
  <c r="E21" i="8"/>
  <c r="D46" i="8"/>
  <c r="P22" i="8"/>
  <c r="K43" i="8"/>
  <c r="U31" i="8"/>
  <c r="P41" i="8"/>
  <c r="R49" i="8"/>
  <c r="M48" i="8"/>
  <c r="O51" i="8"/>
  <c r="L49" i="8"/>
  <c r="J51" i="8"/>
  <c r="D38" i="8"/>
  <c r="F28" i="8"/>
  <c r="G31" i="8"/>
  <c r="I51" i="8"/>
  <c r="S39" i="8"/>
  <c r="L38" i="8"/>
  <c r="D25" i="8"/>
  <c r="D51" i="8"/>
  <c r="O45" i="8"/>
  <c r="B44" i="8"/>
  <c r="Q21" i="8"/>
  <c r="D24" i="8"/>
  <c r="G47" i="8"/>
  <c r="B38" i="120" l="1"/>
  <c r="G38" i="120" s="1"/>
  <c r="B40" i="120"/>
  <c r="G40" i="120" s="1"/>
  <c r="B28" i="120"/>
  <c r="G28" i="120" s="1"/>
  <c r="B50" i="120"/>
  <c r="G50" i="120" s="1"/>
  <c r="B31" i="120"/>
  <c r="G31" i="120" s="1"/>
  <c r="B47" i="120"/>
  <c r="H47" i="120" s="1"/>
  <c r="B30" i="120"/>
  <c r="H30" i="120" s="1"/>
  <c r="B32" i="120"/>
  <c r="H32" i="120" s="1"/>
  <c r="B23" i="120"/>
  <c r="G23" i="120" s="1"/>
  <c r="B34" i="120"/>
  <c r="H34" i="120" s="1"/>
  <c r="B26" i="120"/>
  <c r="G26" i="120" s="1"/>
  <c r="B36" i="120"/>
  <c r="G36" i="120" s="1"/>
  <c r="B22" i="120"/>
  <c r="H22" i="120" s="1"/>
  <c r="B45" i="120"/>
  <c r="H45" i="120" s="1"/>
  <c r="B42" i="120"/>
  <c r="H42" i="120" s="1"/>
  <c r="B44" i="120"/>
  <c r="G44" i="120" s="1"/>
  <c r="B46" i="120"/>
  <c r="G46" i="120" s="1"/>
  <c r="H28" i="120"/>
  <c r="B29" i="120"/>
  <c r="G29" i="120" s="1"/>
  <c r="B48" i="120"/>
  <c r="G48" i="120" s="1"/>
  <c r="B27" i="120"/>
  <c r="H27" i="120" s="1"/>
  <c r="B20" i="120"/>
  <c r="H20" i="120" s="1"/>
  <c r="B49" i="120"/>
  <c r="H49" i="120" s="1"/>
  <c r="B41" i="120"/>
  <c r="H41" i="120" s="1"/>
  <c r="B24" i="120"/>
  <c r="G24" i="120" s="1"/>
  <c r="B51" i="120"/>
  <c r="H51" i="120" s="1"/>
  <c r="B37" i="120"/>
  <c r="H37" i="120" s="1"/>
  <c r="B35" i="120"/>
  <c r="H35" i="120" s="1"/>
  <c r="B33" i="120"/>
  <c r="H33" i="120" s="1"/>
  <c r="B25" i="120"/>
  <c r="H25" i="120" s="1"/>
  <c r="V20" i="8"/>
  <c r="B43" i="120"/>
  <c r="H43" i="120" s="1"/>
  <c r="B21" i="120"/>
  <c r="H21" i="120" s="1"/>
  <c r="B39" i="120"/>
  <c r="G39" i="120" s="1"/>
  <c r="G41" i="120"/>
  <c r="G32" i="120"/>
  <c r="G43" i="120"/>
  <c r="H50" i="120"/>
  <c r="B14" i="179"/>
  <c r="C26" i="229"/>
  <c r="B12" i="162"/>
  <c r="C27" i="229"/>
  <c r="B15" i="179"/>
  <c r="B27" i="175"/>
  <c r="B16" i="179"/>
  <c r="B28" i="175"/>
  <c r="E15" i="14"/>
  <c r="F15" i="14" s="1"/>
  <c r="D11" i="177" s="1"/>
  <c r="K32" i="97"/>
  <c r="E35" i="14"/>
  <c r="L30" i="97"/>
  <c r="D26" i="229" s="1"/>
  <c r="B30" i="97"/>
  <c r="D44" i="127"/>
  <c r="F44" i="127"/>
  <c r="C44" i="127"/>
  <c r="B44" i="127"/>
  <c r="E44" i="127"/>
  <c r="E36" i="14"/>
  <c r="F36" i="14" s="1"/>
  <c r="D14" i="178" s="1"/>
  <c r="L31" i="97"/>
  <c r="B45" i="127"/>
  <c r="F45" i="127"/>
  <c r="D45" i="127"/>
  <c r="E45" i="127"/>
  <c r="G45" i="127"/>
  <c r="C45" i="127"/>
  <c r="K30" i="97"/>
  <c r="B10" i="134" s="1"/>
  <c r="E13" i="14"/>
  <c r="F13" i="14" s="1"/>
  <c r="D9" i="177" s="1"/>
  <c r="B46" i="127"/>
  <c r="E46" i="127"/>
  <c r="G46" i="127"/>
  <c r="D46" i="127"/>
  <c r="C46" i="127"/>
  <c r="E14" i="14"/>
  <c r="F14" i="14" s="1"/>
  <c r="D10" i="177" s="1"/>
  <c r="K31" i="97"/>
  <c r="L32" i="97"/>
  <c r="E37" i="14"/>
  <c r="C35" i="182"/>
  <c r="D35" i="182"/>
  <c r="D34" i="182"/>
  <c r="B32" i="97"/>
  <c r="H36" i="182"/>
  <c r="Q35" i="182"/>
  <c r="E31" i="97"/>
  <c r="D32" i="97"/>
  <c r="P36" i="182"/>
  <c r="E34" i="182"/>
  <c r="J35" i="182"/>
  <c r="E36" i="182"/>
  <c r="B34" i="182"/>
  <c r="E35" i="182"/>
  <c r="B31" i="97"/>
  <c r="H35" i="182"/>
  <c r="N36" i="182"/>
  <c r="B36" i="182"/>
  <c r="C34" i="182"/>
  <c r="Q36" i="182"/>
  <c r="O36" i="182"/>
  <c r="C32" i="97"/>
  <c r="C31" i="97"/>
  <c r="I35" i="182"/>
  <c r="C36" i="182"/>
  <c r="K36" i="182"/>
  <c r="N35" i="182"/>
  <c r="J36" i="182"/>
  <c r="P35" i="182"/>
  <c r="B35" i="182"/>
  <c r="F15" i="181"/>
  <c r="E11" i="218" s="1"/>
  <c r="K26" i="181"/>
  <c r="F59" i="181"/>
  <c r="F101" i="181" s="1"/>
  <c r="F14" i="181"/>
  <c r="E10" i="218" s="1"/>
  <c r="F13" i="181"/>
  <c r="E9" i="218" s="1"/>
  <c r="H23" i="120" l="1"/>
  <c r="G22" i="120"/>
  <c r="H38" i="120"/>
  <c r="H29" i="120"/>
  <c r="H40" i="120"/>
  <c r="G20" i="120"/>
  <c r="G51" i="120"/>
  <c r="G27" i="120"/>
  <c r="H46" i="120"/>
  <c r="H26" i="120"/>
  <c r="G25" i="120"/>
  <c r="G35" i="120"/>
  <c r="G49" i="120"/>
  <c r="H39" i="120"/>
  <c r="G34" i="120"/>
  <c r="G30" i="120"/>
  <c r="H36" i="120"/>
  <c r="G21" i="120"/>
  <c r="G33" i="120"/>
  <c r="G37" i="120"/>
  <c r="G42" i="120"/>
  <c r="G45" i="120"/>
  <c r="G47" i="120"/>
  <c r="H44" i="120"/>
  <c r="H24" i="120"/>
  <c r="H48" i="120"/>
  <c r="H31" i="120"/>
  <c r="F35" i="14"/>
  <c r="D13" i="178" s="1"/>
  <c r="D15" i="178"/>
  <c r="F37" i="14"/>
  <c r="E11" i="134"/>
  <c r="D27" i="229"/>
  <c r="E12" i="134"/>
  <c r="D28" i="229"/>
  <c r="C28" i="175"/>
  <c r="B12" i="134"/>
  <c r="C27" i="175"/>
  <c r="B11" i="134"/>
  <c r="F30" i="97"/>
  <c r="I30" i="97" s="1"/>
  <c r="E35" i="166"/>
  <c r="F35" i="166" s="1"/>
  <c r="D15" i="176" s="1"/>
  <c r="R35" i="182"/>
  <c r="E36" i="166"/>
  <c r="F36" i="166" s="1"/>
  <c r="D16" i="176" s="1"/>
  <c r="F36" i="182"/>
  <c r="E37" i="166"/>
  <c r="F37" i="166" s="1"/>
  <c r="D17" i="176" s="1"/>
  <c r="K14" i="181"/>
  <c r="F35" i="182"/>
  <c r="F31" i="97"/>
  <c r="I31" i="97" s="1"/>
  <c r="L35" i="182"/>
  <c r="K15" i="181"/>
  <c r="F32" i="97"/>
  <c r="L36" i="182"/>
  <c r="K13" i="181"/>
  <c r="R36" i="182"/>
  <c r="C11" i="183"/>
  <c r="C10" i="183"/>
  <c r="E15" i="166" l="1"/>
  <c r="F15" i="166" s="1"/>
  <c r="F11" i="218"/>
  <c r="E14" i="166"/>
  <c r="F14" i="166" s="1"/>
  <c r="F10" i="218"/>
  <c r="E13" i="166"/>
  <c r="F13" i="166" s="1"/>
  <c r="F9" i="218"/>
  <c r="F59" i="166"/>
  <c r="D17" i="228" s="1"/>
  <c r="W31" i="97"/>
  <c r="W30" i="97"/>
  <c r="I32" i="97"/>
  <c r="H5" i="181"/>
  <c r="I5" i="181"/>
  <c r="H6" i="181"/>
  <c r="I6" i="181"/>
  <c r="H7" i="181"/>
  <c r="I7" i="181"/>
  <c r="H8" i="181"/>
  <c r="I8" i="181"/>
  <c r="H9" i="181"/>
  <c r="I9" i="181"/>
  <c r="H10" i="181"/>
  <c r="I10" i="181"/>
  <c r="H11" i="181"/>
  <c r="I11" i="181"/>
  <c r="H12" i="181"/>
  <c r="I12" i="181"/>
  <c r="B5" i="181"/>
  <c r="C5" i="181"/>
  <c r="D5" i="181"/>
  <c r="E5" i="181"/>
  <c r="B6" i="181"/>
  <c r="C6" i="181"/>
  <c r="D6" i="181"/>
  <c r="E6" i="181"/>
  <c r="B7" i="181"/>
  <c r="C7" i="181"/>
  <c r="D7" i="181"/>
  <c r="E7" i="181"/>
  <c r="B8" i="181"/>
  <c r="C8" i="181"/>
  <c r="D8" i="181"/>
  <c r="E8" i="181"/>
  <c r="B9" i="181"/>
  <c r="C5" i="218" s="1"/>
  <c r="C9" i="181"/>
  <c r="D9" i="181"/>
  <c r="E9" i="181"/>
  <c r="B10" i="181"/>
  <c r="C6" i="218" s="1"/>
  <c r="C10" i="181"/>
  <c r="D10" i="181"/>
  <c r="E10" i="181"/>
  <c r="B11" i="181"/>
  <c r="C7" i="218" s="1"/>
  <c r="C11" i="181"/>
  <c r="D11" i="181"/>
  <c r="E11" i="181"/>
  <c r="B12" i="181"/>
  <c r="C8" i="218" s="1"/>
  <c r="C12" i="181"/>
  <c r="D12" i="181"/>
  <c r="E12" i="181"/>
  <c r="F58" i="166" l="1"/>
  <c r="D16" i="228" s="1"/>
  <c r="F57" i="166"/>
  <c r="D15" i="228" s="1"/>
  <c r="B39" i="127"/>
  <c r="C4" i="218"/>
  <c r="W32" i="97"/>
  <c r="B33" i="182"/>
  <c r="F43" i="127"/>
  <c r="E43" i="127"/>
  <c r="D43" i="127"/>
  <c r="C43" i="127"/>
  <c r="B43" i="127"/>
  <c r="F42" i="127"/>
  <c r="D42" i="127"/>
  <c r="B42" i="127"/>
  <c r="E42" i="127"/>
  <c r="C42" i="127"/>
  <c r="E41" i="127"/>
  <c r="D41" i="127"/>
  <c r="B41" i="127"/>
  <c r="F41" i="127"/>
  <c r="C41" i="127"/>
  <c r="F40" i="127"/>
  <c r="E40" i="127"/>
  <c r="D40" i="127"/>
  <c r="C40" i="127"/>
  <c r="B40" i="127"/>
  <c r="F11" i="181"/>
  <c r="F12" i="181"/>
  <c r="F10" i="181"/>
  <c r="F9" i="181"/>
  <c r="E5" i="218" s="1"/>
  <c r="F8" i="181"/>
  <c r="E4" i="218" s="1"/>
  <c r="F7" i="181"/>
  <c r="F6" i="181"/>
  <c r="F5" i="181"/>
  <c r="C39" i="127"/>
  <c r="E39" i="127"/>
  <c r="F39" i="127"/>
  <c r="D39" i="127"/>
  <c r="E33" i="182"/>
  <c r="D33" i="182"/>
  <c r="C33" i="182"/>
  <c r="E32" i="182"/>
  <c r="D32" i="182"/>
  <c r="C32" i="182"/>
  <c r="B32" i="182"/>
  <c r="E31" i="182"/>
  <c r="D31" i="182"/>
  <c r="C31" i="182"/>
  <c r="B31" i="182"/>
  <c r="E30" i="182"/>
  <c r="D30" i="182"/>
  <c r="C30" i="182"/>
  <c r="B30" i="182"/>
  <c r="E29" i="182"/>
  <c r="D29" i="182"/>
  <c r="C29" i="182"/>
  <c r="B29" i="182"/>
  <c r="E28" i="182"/>
  <c r="D28" i="182"/>
  <c r="C28" i="182"/>
  <c r="B28" i="182"/>
  <c r="E27" i="182"/>
  <c r="D27" i="182"/>
  <c r="C27" i="182"/>
  <c r="B27" i="182"/>
  <c r="E26" i="182"/>
  <c r="D26" i="182"/>
  <c r="C26" i="182"/>
  <c r="B26" i="182"/>
  <c r="K34" i="182"/>
  <c r="J34" i="182"/>
  <c r="I34" i="182"/>
  <c r="H34" i="182"/>
  <c r="K33" i="182"/>
  <c r="J33" i="182"/>
  <c r="I33" i="182"/>
  <c r="H33" i="182"/>
  <c r="K32" i="182"/>
  <c r="J32" i="182"/>
  <c r="I32" i="182"/>
  <c r="H32" i="182"/>
  <c r="K31" i="182"/>
  <c r="J31" i="182"/>
  <c r="I31" i="182"/>
  <c r="H31" i="182"/>
  <c r="K30" i="182"/>
  <c r="J30" i="182"/>
  <c r="I30" i="182"/>
  <c r="H30" i="182"/>
  <c r="K29" i="182"/>
  <c r="J29" i="182"/>
  <c r="I29" i="182"/>
  <c r="H29" i="182"/>
  <c r="K28" i="182"/>
  <c r="J28" i="182"/>
  <c r="I28" i="182"/>
  <c r="H28" i="182"/>
  <c r="K27" i="182"/>
  <c r="J27" i="182"/>
  <c r="I27" i="182"/>
  <c r="H27" i="182"/>
  <c r="K26" i="182"/>
  <c r="J26" i="182"/>
  <c r="I26" i="182"/>
  <c r="H26" i="182"/>
  <c r="Q34" i="182"/>
  <c r="P34" i="182"/>
  <c r="O34" i="182"/>
  <c r="N34" i="182"/>
  <c r="Q33" i="182"/>
  <c r="P33" i="182"/>
  <c r="O33" i="182"/>
  <c r="N33" i="182"/>
  <c r="Q32" i="182"/>
  <c r="P32" i="182"/>
  <c r="O32" i="182"/>
  <c r="N32" i="182"/>
  <c r="Q31" i="182"/>
  <c r="P31" i="182"/>
  <c r="O31" i="182"/>
  <c r="N31" i="182"/>
  <c r="Q30" i="182"/>
  <c r="P30" i="182"/>
  <c r="O30" i="182"/>
  <c r="N30" i="182"/>
  <c r="Q29" i="182"/>
  <c r="P29" i="182"/>
  <c r="O29" i="182"/>
  <c r="N29" i="182"/>
  <c r="Q28" i="182"/>
  <c r="P28" i="182"/>
  <c r="O28" i="182"/>
  <c r="N28" i="182"/>
  <c r="Q27" i="182"/>
  <c r="P27" i="182"/>
  <c r="O27" i="182"/>
  <c r="N27" i="182"/>
  <c r="Q26" i="182"/>
  <c r="P26" i="182"/>
  <c r="O26" i="182"/>
  <c r="N26" i="182"/>
  <c r="Q80" i="182"/>
  <c r="P80" i="182"/>
  <c r="O80" i="182"/>
  <c r="N80" i="182"/>
  <c r="K80" i="182"/>
  <c r="J80" i="182"/>
  <c r="I80" i="182"/>
  <c r="H80" i="182"/>
  <c r="E80" i="182"/>
  <c r="D80" i="182"/>
  <c r="C80" i="182"/>
  <c r="B80" i="182"/>
  <c r="R79" i="182"/>
  <c r="F79" i="182"/>
  <c r="R78" i="182"/>
  <c r="L78" i="182"/>
  <c r="F78" i="182"/>
  <c r="R77" i="182"/>
  <c r="L77" i="182"/>
  <c r="F77" i="182"/>
  <c r="R76" i="182"/>
  <c r="L76" i="182"/>
  <c r="F76" i="182"/>
  <c r="R75" i="182"/>
  <c r="L75" i="182"/>
  <c r="F75" i="182"/>
  <c r="R74" i="182"/>
  <c r="L74" i="182"/>
  <c r="F74" i="182"/>
  <c r="R73" i="182"/>
  <c r="L73" i="182"/>
  <c r="F73" i="182"/>
  <c r="R72" i="182"/>
  <c r="L72" i="182"/>
  <c r="F72" i="182"/>
  <c r="R71" i="182"/>
  <c r="L71" i="182"/>
  <c r="F71" i="182"/>
  <c r="R70" i="182"/>
  <c r="L70" i="182"/>
  <c r="F70" i="182"/>
  <c r="R69" i="182"/>
  <c r="L69" i="182"/>
  <c r="F69" i="182"/>
  <c r="R68" i="182"/>
  <c r="L68" i="182"/>
  <c r="F68" i="182"/>
  <c r="R67" i="182"/>
  <c r="L67" i="182"/>
  <c r="F67" i="182"/>
  <c r="R66" i="182"/>
  <c r="L66" i="182"/>
  <c r="F66" i="182"/>
  <c r="R65" i="182"/>
  <c r="L65" i="182"/>
  <c r="F65" i="182"/>
  <c r="R64" i="182"/>
  <c r="L64" i="182"/>
  <c r="F64" i="182"/>
  <c r="R63" i="182"/>
  <c r="L63" i="182"/>
  <c r="F63" i="182"/>
  <c r="R62" i="182"/>
  <c r="L62" i="182"/>
  <c r="F62" i="182"/>
  <c r="R61" i="182"/>
  <c r="L61" i="182"/>
  <c r="F61" i="182"/>
  <c r="R60" i="182"/>
  <c r="L60" i="182"/>
  <c r="F60" i="182"/>
  <c r="R59" i="182"/>
  <c r="L59" i="182"/>
  <c r="F59" i="182"/>
  <c r="R58" i="182"/>
  <c r="L58" i="182"/>
  <c r="F58" i="182"/>
  <c r="R57" i="182"/>
  <c r="L57" i="182"/>
  <c r="F57" i="182"/>
  <c r="R56" i="182"/>
  <c r="L56" i="182"/>
  <c r="F56" i="182"/>
  <c r="R55" i="182"/>
  <c r="L55" i="182"/>
  <c r="F55" i="182"/>
  <c r="R54" i="182"/>
  <c r="L54" i="182"/>
  <c r="F54" i="182"/>
  <c r="R53" i="182"/>
  <c r="L53" i="182"/>
  <c r="F53" i="182"/>
  <c r="R52" i="182"/>
  <c r="L52" i="182"/>
  <c r="F52" i="182"/>
  <c r="R51" i="182"/>
  <c r="L51" i="182"/>
  <c r="F51" i="182"/>
  <c r="R50" i="182"/>
  <c r="L50" i="182"/>
  <c r="F50" i="182"/>
  <c r="R49" i="182"/>
  <c r="L49" i="182"/>
  <c r="F49" i="182"/>
  <c r="R48" i="182"/>
  <c r="L48" i="182"/>
  <c r="F48" i="182"/>
  <c r="R47" i="182"/>
  <c r="L47" i="182"/>
  <c r="F47" i="182"/>
  <c r="R12" i="182"/>
  <c r="E12" i="14"/>
  <c r="F12" i="14" s="1"/>
  <c r="D8" i="177" s="1"/>
  <c r="R11" i="182"/>
  <c r="F11" i="182"/>
  <c r="E11" i="14" s="1"/>
  <c r="R10" i="182"/>
  <c r="F10" i="182"/>
  <c r="E10" i="14" s="1"/>
  <c r="F10" i="14" s="1"/>
  <c r="D6" i="177" s="1"/>
  <c r="R9" i="182"/>
  <c r="F9" i="182"/>
  <c r="E9" i="14" s="1"/>
  <c r="F9" i="14" s="1"/>
  <c r="D5" i="177" s="1"/>
  <c r="R8" i="182"/>
  <c r="F8" i="182"/>
  <c r="E8" i="14" s="1"/>
  <c r="F8" i="14" s="1"/>
  <c r="R7" i="182"/>
  <c r="F7" i="182"/>
  <c r="E7" i="14" s="1"/>
  <c r="F7" i="14" s="1"/>
  <c r="R6" i="182"/>
  <c r="F6" i="182"/>
  <c r="E6" i="14" s="1"/>
  <c r="F6" i="14" s="1"/>
  <c r="R5" i="182"/>
  <c r="F5" i="182"/>
  <c r="E5" i="14" s="1"/>
  <c r="F5" i="14" s="1"/>
  <c r="F11" i="14" l="1"/>
  <c r="D7" i="177" s="1"/>
  <c r="E32" i="166"/>
  <c r="F32" i="166" s="1"/>
  <c r="D12" i="176" s="1"/>
  <c r="E6" i="218"/>
  <c r="E34" i="166"/>
  <c r="F34" i="166" s="1"/>
  <c r="D14" i="176" s="1"/>
  <c r="E8" i="218"/>
  <c r="E33" i="166"/>
  <c r="F33" i="166" s="1"/>
  <c r="D13" i="176" s="1"/>
  <c r="E7" i="218"/>
  <c r="K11" i="181"/>
  <c r="K12" i="181"/>
  <c r="K5" i="181"/>
  <c r="E5" i="166" s="1"/>
  <c r="E27" i="166"/>
  <c r="F27" i="166" s="1"/>
  <c r="D7" i="176" s="1"/>
  <c r="K9" i="181"/>
  <c r="E31" i="166"/>
  <c r="F31" i="166" s="1"/>
  <c r="D11" i="176" s="1"/>
  <c r="K6" i="181"/>
  <c r="E6" i="166" s="1"/>
  <c r="E28" i="166"/>
  <c r="F28" i="166" s="1"/>
  <c r="D8" i="176" s="1"/>
  <c r="K7" i="181"/>
  <c r="E7" i="166" s="1"/>
  <c r="E29" i="166"/>
  <c r="F29" i="166" s="1"/>
  <c r="D9" i="176" s="1"/>
  <c r="K8" i="181"/>
  <c r="E30" i="166"/>
  <c r="F30" i="166" s="1"/>
  <c r="D10" i="176" s="1"/>
  <c r="K10" i="181"/>
  <c r="F80" i="182"/>
  <c r="L80" i="182"/>
  <c r="R80" i="182"/>
  <c r="K27" i="181"/>
  <c r="K28" i="181"/>
  <c r="K29" i="181"/>
  <c r="K30" i="181"/>
  <c r="K31" i="181"/>
  <c r="K32" i="181"/>
  <c r="K33" i="181"/>
  <c r="K34" i="181"/>
  <c r="K35" i="181"/>
  <c r="K36" i="181"/>
  <c r="K37" i="181"/>
  <c r="K38" i="181"/>
  <c r="K39" i="181"/>
  <c r="K40" i="181"/>
  <c r="K41" i="181"/>
  <c r="K42" i="181"/>
  <c r="K43" i="181"/>
  <c r="K44" i="181"/>
  <c r="K45" i="181"/>
  <c r="K46" i="181"/>
  <c r="K47" i="181"/>
  <c r="K48" i="181"/>
  <c r="K49" i="181"/>
  <c r="K50" i="181"/>
  <c r="K51" i="181"/>
  <c r="K52" i="181"/>
  <c r="K53" i="181"/>
  <c r="K54" i="181"/>
  <c r="K55" i="181"/>
  <c r="K56" i="181"/>
  <c r="K57" i="181"/>
  <c r="B59" i="181"/>
  <c r="C59" i="181"/>
  <c r="D59" i="181"/>
  <c r="E59" i="181"/>
  <c r="H59" i="181"/>
  <c r="I59" i="181"/>
  <c r="I101" i="181" s="1"/>
  <c r="B69" i="181"/>
  <c r="E70" i="181"/>
  <c r="B71" i="181"/>
  <c r="C72" i="181"/>
  <c r="B73" i="181"/>
  <c r="E74" i="181"/>
  <c r="B75" i="181"/>
  <c r="C76" i="181"/>
  <c r="B77" i="181"/>
  <c r="E78" i="181"/>
  <c r="H79" i="181"/>
  <c r="D79" i="181"/>
  <c r="C80" i="181"/>
  <c r="B81" i="181"/>
  <c r="I82" i="181"/>
  <c r="E82" i="181"/>
  <c r="D83" i="181"/>
  <c r="B85" i="181"/>
  <c r="D86" i="181"/>
  <c r="D87" i="181"/>
  <c r="F88" i="181"/>
  <c r="B89" i="181"/>
  <c r="D91" i="181"/>
  <c r="F92" i="181"/>
  <c r="B93" i="181"/>
  <c r="D95" i="181"/>
  <c r="B97" i="181"/>
  <c r="D99" i="181"/>
  <c r="E8" i="166" l="1"/>
  <c r="F4" i="218"/>
  <c r="F6" i="166"/>
  <c r="F50" i="166"/>
  <c r="D8" i="228" s="1"/>
  <c r="F5" i="166"/>
  <c r="D7" i="228"/>
  <c r="E12" i="166"/>
  <c r="F8" i="218"/>
  <c r="E10" i="166"/>
  <c r="F6" i="218"/>
  <c r="F7" i="166"/>
  <c r="F51" i="166"/>
  <c r="D9" i="228" s="1"/>
  <c r="E9" i="166"/>
  <c r="F5" i="218"/>
  <c r="E11" i="166"/>
  <c r="F7" i="218"/>
  <c r="K59" i="181"/>
  <c r="K101" i="181" s="1"/>
  <c r="F96" i="181"/>
  <c r="E79" i="181"/>
  <c r="H85" i="181"/>
  <c r="E83" i="181"/>
  <c r="C91" i="181"/>
  <c r="C85" i="181"/>
  <c r="C87" i="181"/>
  <c r="E85" i="181"/>
  <c r="H83" i="181"/>
  <c r="D82" i="181"/>
  <c r="D78" i="181"/>
  <c r="E71" i="181"/>
  <c r="C81" i="181"/>
  <c r="D70" i="181"/>
  <c r="D101" i="181"/>
  <c r="D92" i="181"/>
  <c r="E93" i="181"/>
  <c r="E89" i="181"/>
  <c r="D88" i="181"/>
  <c r="H81" i="181"/>
  <c r="I78" i="181"/>
  <c r="C77" i="181"/>
  <c r="H75" i="181"/>
  <c r="I70" i="181"/>
  <c r="C69" i="181"/>
  <c r="E97" i="181"/>
  <c r="C99" i="181"/>
  <c r="C97" i="181"/>
  <c r="C95" i="181"/>
  <c r="C93" i="181"/>
  <c r="C89" i="181"/>
  <c r="E81" i="181"/>
  <c r="C75" i="181"/>
  <c r="D96" i="181"/>
  <c r="E77" i="181"/>
  <c r="I75" i="181"/>
  <c r="E69" i="181"/>
  <c r="H73" i="181"/>
  <c r="H99" i="181"/>
  <c r="H95" i="181"/>
  <c r="H91" i="181"/>
  <c r="H87" i="181"/>
  <c r="C83" i="181"/>
  <c r="C79" i="181"/>
  <c r="E75" i="181"/>
  <c r="I74" i="181"/>
  <c r="E73" i="181"/>
  <c r="I71" i="181"/>
  <c r="C71" i="181"/>
  <c r="D71" i="181"/>
  <c r="E99" i="181"/>
  <c r="H97" i="181"/>
  <c r="E95" i="181"/>
  <c r="H93" i="181"/>
  <c r="E91" i="181"/>
  <c r="H89" i="181"/>
  <c r="E87" i="181"/>
  <c r="H77" i="181"/>
  <c r="D75" i="181"/>
  <c r="D74" i="181"/>
  <c r="C73" i="181"/>
  <c r="H71" i="181"/>
  <c r="H69" i="181"/>
  <c r="E98" i="181"/>
  <c r="C98" i="181"/>
  <c r="H98" i="181"/>
  <c r="B98" i="181"/>
  <c r="E94" i="181"/>
  <c r="C94" i="181"/>
  <c r="H94" i="181"/>
  <c r="B94" i="181"/>
  <c r="E90" i="181"/>
  <c r="C90" i="181"/>
  <c r="H90" i="181"/>
  <c r="B90" i="181"/>
  <c r="I98" i="181"/>
  <c r="I94" i="181"/>
  <c r="I90" i="181"/>
  <c r="I86" i="181"/>
  <c r="C84" i="181"/>
  <c r="H84" i="181"/>
  <c r="D84" i="181"/>
  <c r="I84" i="181"/>
  <c r="E84" i="181"/>
  <c r="B84" i="181"/>
  <c r="C101" i="181"/>
  <c r="H101" i="181"/>
  <c r="E101" i="181"/>
  <c r="B101" i="181"/>
  <c r="F98" i="181"/>
  <c r="C96" i="181"/>
  <c r="H96" i="181"/>
  <c r="E96" i="181"/>
  <c r="B96" i="181"/>
  <c r="F94" i="181"/>
  <c r="C92" i="181"/>
  <c r="H92" i="181"/>
  <c r="E92" i="181"/>
  <c r="B92" i="181"/>
  <c r="F90" i="181"/>
  <c r="C88" i="181"/>
  <c r="H88" i="181"/>
  <c r="E88" i="181"/>
  <c r="B88" i="181"/>
  <c r="F86" i="181"/>
  <c r="F84" i="181"/>
  <c r="D98" i="181"/>
  <c r="I96" i="181"/>
  <c r="D94" i="181"/>
  <c r="I92" i="181"/>
  <c r="D90" i="181"/>
  <c r="I88" i="181"/>
  <c r="E86" i="181"/>
  <c r="B86" i="181"/>
  <c r="C86" i="181"/>
  <c r="H86" i="181"/>
  <c r="F80" i="181"/>
  <c r="B80" i="181"/>
  <c r="F76" i="181"/>
  <c r="B76" i="181"/>
  <c r="F72" i="181"/>
  <c r="B72" i="181"/>
  <c r="F68" i="181"/>
  <c r="F99" i="181"/>
  <c r="B99" i="181"/>
  <c r="I97" i="181"/>
  <c r="D97" i="181"/>
  <c r="F95" i="181"/>
  <c r="B95" i="181"/>
  <c r="I93" i="181"/>
  <c r="D93" i="181"/>
  <c r="F91" i="181"/>
  <c r="B91" i="181"/>
  <c r="I89" i="181"/>
  <c r="D89" i="181"/>
  <c r="F87" i="181"/>
  <c r="B87" i="181"/>
  <c r="I85" i="181"/>
  <c r="D85" i="181"/>
  <c r="F83" i="181"/>
  <c r="B83" i="181"/>
  <c r="H82" i="181"/>
  <c r="C82" i="181"/>
  <c r="I81" i="181"/>
  <c r="D81" i="181"/>
  <c r="E80" i="181"/>
  <c r="F79" i="181"/>
  <c r="B79" i="181"/>
  <c r="H78" i="181"/>
  <c r="C78" i="181"/>
  <c r="I77" i="181"/>
  <c r="D77" i="181"/>
  <c r="E76" i="181"/>
  <c r="F75" i="181"/>
  <c r="H74" i="181"/>
  <c r="C74" i="181"/>
  <c r="I73" i="181"/>
  <c r="D73" i="181"/>
  <c r="E72" i="181"/>
  <c r="F71" i="181"/>
  <c r="H70" i="181"/>
  <c r="C70" i="181"/>
  <c r="I69" i="181"/>
  <c r="D69" i="181"/>
  <c r="E68" i="181"/>
  <c r="D68" i="181"/>
  <c r="F82" i="181"/>
  <c r="B82" i="181"/>
  <c r="I80" i="181"/>
  <c r="D80" i="181"/>
  <c r="F78" i="181"/>
  <c r="B78" i="181"/>
  <c r="I76" i="181"/>
  <c r="D76" i="181"/>
  <c r="F74" i="181"/>
  <c r="B74" i="181"/>
  <c r="I72" i="181"/>
  <c r="D72" i="181"/>
  <c r="F70" i="181"/>
  <c r="B70" i="181"/>
  <c r="I68" i="181"/>
  <c r="I99" i="181"/>
  <c r="F97" i="181"/>
  <c r="I95" i="181"/>
  <c r="F93" i="181"/>
  <c r="I91" i="181"/>
  <c r="F89" i="181"/>
  <c r="I87" i="181"/>
  <c r="F85" i="181"/>
  <c r="I83" i="181"/>
  <c r="F81" i="181"/>
  <c r="H80" i="181"/>
  <c r="I79" i="181"/>
  <c r="F77" i="181"/>
  <c r="H76" i="181"/>
  <c r="F73" i="181"/>
  <c r="H72" i="181"/>
  <c r="F69" i="181"/>
  <c r="H68" i="181"/>
  <c r="C68" i="181"/>
  <c r="F11" i="166" l="1"/>
  <c r="F55" i="166"/>
  <c r="D13" i="228" s="1"/>
  <c r="F12" i="166"/>
  <c r="F56" i="166"/>
  <c r="D14" i="228" s="1"/>
  <c r="F9" i="166"/>
  <c r="F53" i="166"/>
  <c r="D11" i="228" s="1"/>
  <c r="F10" i="166"/>
  <c r="F54" i="166"/>
  <c r="D12" i="228" s="1"/>
  <c r="F8" i="166"/>
  <c r="F52" i="166"/>
  <c r="D10" i="228" s="1"/>
  <c r="K95" i="181"/>
  <c r="K75" i="181"/>
  <c r="K88" i="181"/>
  <c r="K96" i="181"/>
  <c r="K71" i="181"/>
  <c r="K74" i="181"/>
  <c r="K79" i="181"/>
  <c r="K68" i="181"/>
  <c r="K76" i="181"/>
  <c r="K80" i="181"/>
  <c r="K70" i="181"/>
  <c r="K73" i="181"/>
  <c r="K78" i="181"/>
  <c r="K92" i="181"/>
  <c r="K98" i="181"/>
  <c r="K82" i="181"/>
  <c r="K87" i="181"/>
  <c r="K81" i="181"/>
  <c r="K86" i="181"/>
  <c r="K69" i="181"/>
  <c r="K77" i="181"/>
  <c r="K90" i="181"/>
  <c r="K72" i="181"/>
  <c r="K84" i="181"/>
  <c r="K83" i="181"/>
  <c r="K91" i="181"/>
  <c r="K99" i="181"/>
  <c r="K85" i="181"/>
  <c r="K89" i="181"/>
  <c r="K93" i="181"/>
  <c r="K97" i="181"/>
  <c r="K94" i="181"/>
  <c r="B6" i="162" l="1"/>
  <c r="B7" i="162"/>
  <c r="B8" i="162"/>
  <c r="B9" i="162"/>
  <c r="B10" i="162"/>
  <c r="B11" i="162"/>
  <c r="B13" i="162"/>
  <c r="A5" i="180"/>
  <c r="B5" i="180"/>
  <c r="C5" i="180"/>
  <c r="D5" i="180"/>
  <c r="E5" i="180"/>
  <c r="F5" i="180"/>
  <c r="G5" i="180"/>
  <c r="H5" i="180"/>
  <c r="A6" i="180"/>
  <c r="B6" i="180"/>
  <c r="A7" i="180"/>
  <c r="B5" i="175"/>
  <c r="C5" i="175"/>
  <c r="B6" i="175"/>
  <c r="C6" i="175"/>
  <c r="B7" i="175"/>
  <c r="B8" i="175"/>
  <c r="B9" i="175"/>
  <c r="B10" i="175"/>
  <c r="B11" i="175"/>
  <c r="B12" i="175"/>
  <c r="B13" i="175"/>
  <c r="B14" i="175"/>
  <c r="B15" i="175"/>
  <c r="B16" i="175"/>
  <c r="B17" i="175"/>
  <c r="B18" i="175"/>
  <c r="B19" i="175"/>
  <c r="B20" i="175"/>
  <c r="B21" i="175"/>
  <c r="B22" i="175"/>
  <c r="B23" i="175"/>
  <c r="B24" i="175"/>
  <c r="B25" i="175"/>
  <c r="B26" i="175"/>
  <c r="C7" i="175"/>
  <c r="C8" i="175"/>
  <c r="C9" i="175"/>
  <c r="C10" i="175"/>
  <c r="C11" i="175"/>
  <c r="C12" i="175"/>
  <c r="C13" i="175"/>
  <c r="C14" i="175"/>
  <c r="C15" i="175"/>
  <c r="C16" i="175"/>
  <c r="C17" i="175"/>
  <c r="C18" i="175"/>
  <c r="C19" i="175"/>
  <c r="C20" i="175"/>
  <c r="C21" i="175"/>
  <c r="C22" i="175"/>
  <c r="C23" i="175"/>
  <c r="C24" i="175"/>
  <c r="C25" i="175"/>
  <c r="C26" i="175"/>
  <c r="B10" i="173"/>
  <c r="B2" i="162"/>
  <c r="C12" i="169"/>
  <c r="C11" i="169"/>
  <c r="C10" i="169"/>
  <c r="C9" i="169"/>
  <c r="C12" i="168"/>
  <c r="C11" i="168"/>
  <c r="C10" i="168"/>
  <c r="A1" i="227" l="1"/>
  <c r="A1" i="231"/>
  <c r="A1" i="183"/>
  <c r="A1" i="169"/>
  <c r="A1" i="185"/>
  <c r="A1" i="186"/>
  <c r="A1" i="184"/>
  <c r="B1" i="162"/>
  <c r="F29" i="97"/>
  <c r="F28" i="97"/>
  <c r="F27" i="97"/>
  <c r="D9" i="168" s="1"/>
  <c r="F26" i="97"/>
  <c r="F25" i="97"/>
  <c r="F24" i="97"/>
  <c r="F23" i="97"/>
  <c r="F22" i="97"/>
  <c r="F21" i="97"/>
  <c r="I21" i="97" s="1"/>
  <c r="F20" i="97"/>
  <c r="I20" i="97" s="1"/>
  <c r="F19" i="97"/>
  <c r="I19" i="97" s="1"/>
  <c r="F18" i="97"/>
  <c r="I18" i="97" s="1"/>
  <c r="F17" i="97"/>
  <c r="I17" i="97" s="1"/>
  <c r="F16" i="97"/>
  <c r="I16" i="97" s="1"/>
  <c r="F15" i="97"/>
  <c r="I15" i="97" s="1"/>
  <c r="F14" i="97"/>
  <c r="I14" i="97" s="1"/>
  <c r="F13" i="97"/>
  <c r="I13" i="97" s="1"/>
  <c r="F12" i="97"/>
  <c r="I12" i="97" s="1"/>
  <c r="F11" i="97"/>
  <c r="I11" i="97" s="1"/>
  <c r="F10" i="97"/>
  <c r="I10" i="97" s="1"/>
  <c r="F9" i="97"/>
  <c r="F8" i="97"/>
  <c r="I8" i="97" s="1"/>
  <c r="F7" i="97"/>
  <c r="I7" i="97" s="1"/>
  <c r="F6" i="97"/>
  <c r="I6" i="97" s="1"/>
  <c r="F5" i="97"/>
  <c r="I5" i="97" s="1"/>
  <c r="I22" i="97" l="1"/>
  <c r="L28" i="182"/>
  <c r="F28" i="182"/>
  <c r="R28" i="182"/>
  <c r="I28" i="97"/>
  <c r="I24" i="97"/>
  <c r="I25" i="97"/>
  <c r="I29" i="97"/>
  <c r="I26" i="97"/>
  <c r="I23" i="97"/>
  <c r="I27" i="97"/>
  <c r="C9" i="183"/>
  <c r="C9" i="168"/>
  <c r="R21" i="25"/>
  <c r="S21" i="25"/>
  <c r="T21" i="25"/>
  <c r="R22" i="25"/>
  <c r="S22" i="25"/>
  <c r="T22" i="25"/>
  <c r="R23" i="25"/>
  <c r="D6" i="170" s="1"/>
  <c r="S23" i="25"/>
  <c r="T23" i="25"/>
  <c r="R24" i="25"/>
  <c r="D7" i="170" s="1"/>
  <c r="S24" i="25"/>
  <c r="T24" i="25"/>
  <c r="R25" i="25"/>
  <c r="D8" i="170" s="1"/>
  <c r="S25" i="25"/>
  <c r="T25" i="25"/>
  <c r="R26" i="25"/>
  <c r="D9" i="170" s="1"/>
  <c r="S26" i="25"/>
  <c r="T26" i="25"/>
  <c r="R27" i="25"/>
  <c r="D10" i="170" s="1"/>
  <c r="S27" i="25"/>
  <c r="T27" i="25"/>
  <c r="R28" i="25"/>
  <c r="D11" i="170" s="1"/>
  <c r="S28" i="25"/>
  <c r="T28" i="25"/>
  <c r="R29" i="25"/>
  <c r="D12" i="170" s="1"/>
  <c r="B11" i="5"/>
  <c r="B10" i="5"/>
  <c r="B9" i="5"/>
  <c r="B8" i="5"/>
  <c r="B7" i="5"/>
  <c r="B6" i="5"/>
  <c r="B5" i="5"/>
  <c r="B4" i="5"/>
  <c r="J11" i="139"/>
  <c r="J10" i="139"/>
  <c r="J9" i="139"/>
  <c r="J8" i="139"/>
  <c r="J7" i="139"/>
  <c r="J6" i="139"/>
  <c r="E11" i="139"/>
  <c r="E10" i="139"/>
  <c r="E9" i="139"/>
  <c r="E8" i="139"/>
  <c r="E7" i="139"/>
  <c r="E6" i="139"/>
  <c r="F31" i="182" l="1"/>
  <c r="L31" i="182"/>
  <c r="R31" i="182"/>
  <c r="R30" i="182"/>
  <c r="L30" i="182"/>
  <c r="F30" i="182"/>
  <c r="L29" i="182"/>
  <c r="F29" i="182"/>
  <c r="R29" i="182"/>
  <c r="R34" i="182"/>
  <c r="L34" i="182"/>
  <c r="F34" i="182"/>
  <c r="R27" i="182"/>
  <c r="L27" i="182"/>
  <c r="F27" i="182"/>
  <c r="R33" i="182"/>
  <c r="L33" i="182"/>
  <c r="F33" i="182"/>
  <c r="L26" i="182"/>
  <c r="R26" i="182"/>
  <c r="F26" i="182"/>
  <c r="R32" i="182"/>
  <c r="L32" i="182"/>
  <c r="F32" i="182"/>
  <c r="L36" i="26"/>
  <c r="K36" i="26"/>
  <c r="J36" i="26"/>
  <c r="L35" i="26"/>
  <c r="K35" i="26"/>
  <c r="J35" i="26"/>
  <c r="L34" i="26"/>
  <c r="K34" i="26"/>
  <c r="J34" i="26"/>
  <c r="L33" i="26"/>
  <c r="K33" i="26"/>
  <c r="J33" i="26"/>
  <c r="L32" i="26"/>
  <c r="K32" i="26"/>
  <c r="J32" i="26"/>
  <c r="L31" i="26"/>
  <c r="K31" i="26"/>
  <c r="J31" i="26"/>
  <c r="L30" i="26"/>
  <c r="K30" i="26"/>
  <c r="J30" i="26"/>
  <c r="L29" i="26"/>
  <c r="K29" i="26"/>
  <c r="J29" i="26"/>
  <c r="L28" i="26"/>
  <c r="K28" i="26"/>
  <c r="J28" i="26"/>
  <c r="L27" i="26"/>
  <c r="K27" i="26"/>
  <c r="J27" i="26"/>
  <c r="L26" i="26"/>
  <c r="K26" i="26"/>
  <c r="J26" i="26"/>
  <c r="L25" i="26"/>
  <c r="K25" i="26"/>
  <c r="J25" i="26"/>
  <c r="L24" i="26"/>
  <c r="K24" i="26"/>
  <c r="J24" i="26"/>
  <c r="L23" i="26"/>
  <c r="K23" i="26"/>
  <c r="J23" i="26"/>
  <c r="L22" i="26"/>
  <c r="K22" i="26"/>
  <c r="J22" i="26"/>
  <c r="L21" i="26"/>
  <c r="K21" i="26"/>
  <c r="J21" i="26"/>
  <c r="L20" i="26"/>
  <c r="K20" i="26"/>
  <c r="J20" i="26"/>
  <c r="L19" i="26"/>
  <c r="K19" i="26"/>
  <c r="J19" i="26"/>
  <c r="L18" i="26"/>
  <c r="K18" i="26"/>
  <c r="J18" i="26"/>
  <c r="L17" i="26"/>
  <c r="K17" i="26"/>
  <c r="J17" i="26"/>
  <c r="L16" i="26"/>
  <c r="K16" i="26"/>
  <c r="J16" i="26"/>
  <c r="L15" i="26"/>
  <c r="K15" i="26"/>
  <c r="J15" i="26"/>
  <c r="L14" i="26"/>
  <c r="K14" i="26"/>
  <c r="J14" i="26"/>
  <c r="L13" i="26"/>
  <c r="K13" i="26"/>
  <c r="J13" i="26"/>
  <c r="L12" i="26"/>
  <c r="K12" i="26"/>
  <c r="J12" i="26"/>
  <c r="L11" i="26"/>
  <c r="K11" i="26"/>
  <c r="J11" i="26"/>
  <c r="L10" i="26"/>
  <c r="K10" i="26"/>
  <c r="J10" i="26"/>
  <c r="L9" i="26"/>
  <c r="K9" i="26"/>
  <c r="J9" i="26"/>
  <c r="L8" i="26"/>
  <c r="K8" i="26"/>
  <c r="J8" i="26"/>
  <c r="L7" i="26"/>
  <c r="K7" i="26"/>
  <c r="J7" i="26"/>
  <c r="L6" i="26"/>
  <c r="K6" i="26"/>
  <c r="J6" i="26"/>
  <c r="L5" i="26"/>
  <c r="K5" i="26"/>
  <c r="S15" i="25"/>
  <c r="T13" i="25"/>
  <c r="S13" i="25"/>
  <c r="S12" i="25"/>
  <c r="T11" i="25"/>
  <c r="S11" i="25"/>
  <c r="T10" i="25"/>
  <c r="S10" i="25"/>
  <c r="T9" i="25"/>
  <c r="S9" i="25"/>
  <c r="T8" i="25"/>
  <c r="S8" i="25"/>
  <c r="T7" i="25"/>
  <c r="S7" i="25"/>
  <c r="T6" i="25"/>
  <c r="S6" i="25"/>
  <c r="T5" i="25"/>
  <c r="S5" i="25"/>
  <c r="R15" i="25"/>
  <c r="C14" i="170" s="1"/>
  <c r="R13" i="25"/>
  <c r="C12" i="170" s="1"/>
  <c r="R12" i="25"/>
  <c r="C11" i="170" s="1"/>
  <c r="R11" i="25"/>
  <c r="C10" i="170" s="1"/>
  <c r="R10" i="25"/>
  <c r="C9" i="170" s="1"/>
  <c r="R9" i="25"/>
  <c r="C8" i="170" s="1"/>
  <c r="R8" i="25"/>
  <c r="C7" i="170" s="1"/>
  <c r="R7" i="25"/>
  <c r="C6" i="170" s="1"/>
  <c r="R6" i="25"/>
  <c r="R5" i="25"/>
  <c r="D47" i="26" l="1"/>
  <c r="D46" i="26"/>
  <c r="K38" i="26"/>
  <c r="L38" i="26"/>
  <c r="B38" i="134" l="1"/>
  <c r="C38" i="134"/>
  <c r="D38" i="134"/>
  <c r="E38" i="134"/>
  <c r="B39" i="134"/>
  <c r="C39" i="134"/>
  <c r="D39" i="134"/>
  <c r="E39" i="134"/>
  <c r="B40" i="134"/>
  <c r="C40" i="134"/>
  <c r="D40" i="134"/>
  <c r="E40" i="134"/>
  <c r="B41" i="134"/>
  <c r="C41" i="134"/>
  <c r="D41" i="134"/>
  <c r="E41" i="134"/>
  <c r="C37" i="134"/>
  <c r="D37" i="134"/>
  <c r="E37" i="134"/>
  <c r="B37" i="134"/>
  <c r="G77" i="136" l="1"/>
  <c r="G78" i="136"/>
  <c r="G79" i="136"/>
  <c r="G80" i="136"/>
  <c r="G81" i="136"/>
  <c r="G82" i="136"/>
  <c r="G83" i="136"/>
  <c r="G84" i="136"/>
  <c r="G85" i="136"/>
  <c r="G86" i="136"/>
  <c r="G87" i="136"/>
  <c r="G88" i="136"/>
  <c r="G89" i="136"/>
  <c r="G90" i="136"/>
  <c r="G91" i="136"/>
  <c r="G92" i="136"/>
  <c r="G93" i="136"/>
  <c r="G94" i="136"/>
  <c r="G95" i="136"/>
  <c r="M95" i="136" s="1"/>
  <c r="G96" i="136"/>
  <c r="G98" i="136"/>
  <c r="G99" i="136"/>
  <c r="G100" i="136"/>
  <c r="G101" i="136"/>
  <c r="G102" i="136"/>
  <c r="G103" i="136"/>
  <c r="G104" i="136"/>
  <c r="G105" i="136"/>
  <c r="O105" i="136" s="1"/>
  <c r="G106" i="136"/>
  <c r="G107" i="136"/>
  <c r="O22" i="138"/>
  <c r="N22" i="138"/>
  <c r="M22" i="138"/>
  <c r="L22" i="138"/>
  <c r="K22" i="138"/>
  <c r="J22" i="138"/>
  <c r="H8" i="138"/>
  <c r="H9" i="138"/>
  <c r="H10" i="138"/>
  <c r="H11" i="138"/>
  <c r="H12" i="138"/>
  <c r="H13" i="138"/>
  <c r="H7" i="138"/>
  <c r="N7" i="138" s="1"/>
  <c r="M45" i="137"/>
  <c r="M46" i="137"/>
  <c r="M47" i="137"/>
  <c r="M48" i="137"/>
  <c r="M49" i="137"/>
  <c r="M50" i="137"/>
  <c r="M51" i="137"/>
  <c r="M52" i="137"/>
  <c r="M53" i="137"/>
  <c r="M54" i="137"/>
  <c r="M55" i="137"/>
  <c r="M56" i="137"/>
  <c r="M57" i="137"/>
  <c r="M58" i="137"/>
  <c r="M59" i="137"/>
  <c r="M60" i="137"/>
  <c r="M61" i="137"/>
  <c r="M62" i="137"/>
  <c r="M63" i="137"/>
  <c r="M64" i="137"/>
  <c r="M65" i="137"/>
  <c r="M66" i="137"/>
  <c r="M67" i="137"/>
  <c r="M68" i="137"/>
  <c r="M69" i="137"/>
  <c r="M70" i="137"/>
  <c r="M71" i="137"/>
  <c r="M72" i="137"/>
  <c r="M73" i="137"/>
  <c r="M74" i="137"/>
  <c r="M75" i="137"/>
  <c r="M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1" i="137"/>
  <c r="L72" i="137"/>
  <c r="L73" i="137"/>
  <c r="L74" i="137"/>
  <c r="L75" i="137"/>
  <c r="L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44" i="137"/>
  <c r="G20" i="135"/>
  <c r="E5" i="134"/>
  <c r="E6" i="134"/>
  <c r="E7" i="134"/>
  <c r="E8" i="134"/>
  <c r="E9" i="134"/>
  <c r="E10" i="134"/>
  <c r="B6" i="134"/>
  <c r="B7" i="134"/>
  <c r="B8" i="134"/>
  <c r="B9" i="134"/>
  <c r="B5" i="134"/>
  <c r="N33" i="130"/>
  <c r="N34" i="130"/>
  <c r="N32" i="130"/>
  <c r="J33" i="125"/>
  <c r="J34" i="125"/>
  <c r="J32" i="125"/>
  <c r="C54" i="79"/>
  <c r="C53" i="79"/>
  <c r="C52" i="79"/>
  <c r="H52" i="79" s="1"/>
  <c r="C51" i="79"/>
  <c r="H51" i="79" s="1"/>
  <c r="C50" i="79"/>
  <c r="H50" i="79" s="1"/>
  <c r="C49" i="79"/>
  <c r="H49" i="79" s="1"/>
  <c r="C48" i="79"/>
  <c r="H48" i="79" s="1"/>
  <c r="B54" i="79"/>
  <c r="B53" i="79"/>
  <c r="B52" i="79"/>
  <c r="F52" i="79" s="1"/>
  <c r="B51" i="79"/>
  <c r="F51" i="79" s="1"/>
  <c r="B50" i="79"/>
  <c r="F50" i="79" s="1"/>
  <c r="B49" i="79"/>
  <c r="F49" i="79" s="1"/>
  <c r="B48" i="79"/>
  <c r="F48" i="79" s="1"/>
  <c r="C47" i="79"/>
  <c r="H47" i="79" s="1"/>
  <c r="B47" i="79"/>
  <c r="F47" i="79" s="1"/>
  <c r="G109" i="136" l="1"/>
  <c r="O7" i="138"/>
  <c r="K7" i="138"/>
  <c r="M7" i="138"/>
  <c r="L7" i="138"/>
  <c r="J7" i="138"/>
  <c r="B6" i="11"/>
  <c r="B7" i="11"/>
  <c r="B8" i="11"/>
  <c r="B9" i="11"/>
  <c r="B10" i="11"/>
  <c r="B11" i="11"/>
  <c r="B12" i="11"/>
  <c r="B5" i="11"/>
  <c r="B37" i="95"/>
  <c r="Q11" i="97"/>
  <c r="Q12" i="97"/>
  <c r="Q13" i="97"/>
  <c r="Q14" i="97"/>
  <c r="Q15" i="97"/>
  <c r="Q16" i="97"/>
  <c r="Q17" i="97"/>
  <c r="Q18" i="97"/>
  <c r="Q19" i="97"/>
  <c r="Q20" i="97"/>
  <c r="Q21" i="97"/>
  <c r="Q22" i="97"/>
  <c r="Q23" i="97"/>
  <c r="Q24" i="97"/>
  <c r="S24" i="97" s="1"/>
  <c r="Q25" i="97"/>
  <c r="S25" i="97" s="1"/>
  <c r="Q26" i="97"/>
  <c r="S26" i="97" s="1"/>
  <c r="Q27" i="97"/>
  <c r="S27" i="97" s="1"/>
  <c r="D13" i="168" s="1"/>
  <c r="D14" i="168" s="1"/>
  <c r="Q28" i="97"/>
  <c r="S28" i="97" s="1"/>
  <c r="Q29" i="97"/>
  <c r="S29" i="97" s="1"/>
  <c r="Q10" i="97"/>
  <c r="W29" i="97" l="1"/>
  <c r="W27" i="97"/>
  <c r="W26" i="97"/>
  <c r="W25" i="97"/>
  <c r="W28" i="97"/>
  <c r="W24" i="97"/>
  <c r="C13" i="168"/>
  <c r="G25" i="139"/>
  <c r="H25" i="139"/>
  <c r="I25" i="139"/>
  <c r="G26" i="139"/>
  <c r="H26" i="139"/>
  <c r="I26" i="139"/>
  <c r="G27" i="139"/>
  <c r="H27" i="139"/>
  <c r="I27" i="139"/>
  <c r="G28" i="139"/>
  <c r="H28" i="139"/>
  <c r="I28" i="139"/>
  <c r="H29" i="139"/>
  <c r="I29" i="139"/>
  <c r="H24" i="139"/>
  <c r="I24" i="139"/>
  <c r="G24" i="139"/>
  <c r="B25" i="139"/>
  <c r="C25" i="139"/>
  <c r="D25" i="139"/>
  <c r="B26" i="139"/>
  <c r="C26" i="139"/>
  <c r="D26" i="139"/>
  <c r="B27" i="139"/>
  <c r="C27" i="139"/>
  <c r="D27" i="139"/>
  <c r="B28" i="139"/>
  <c r="C28" i="139"/>
  <c r="D28" i="139"/>
  <c r="C29" i="139"/>
  <c r="D29" i="139"/>
  <c r="C24" i="139"/>
  <c r="D24" i="139"/>
  <c r="B51" i="147"/>
  <c r="C51" i="147"/>
  <c r="D51" i="147"/>
  <c r="E51" i="147"/>
  <c r="F51" i="147"/>
  <c r="G51" i="147"/>
  <c r="H51" i="147"/>
  <c r="I51" i="147"/>
  <c r="J51" i="147"/>
  <c r="K51" i="147"/>
  <c r="L51" i="147"/>
  <c r="M51" i="147"/>
  <c r="N51" i="147"/>
  <c r="O51" i="147"/>
  <c r="P51" i="147"/>
  <c r="Q51" i="147"/>
  <c r="R51" i="147"/>
  <c r="S51" i="147"/>
  <c r="T51" i="147"/>
  <c r="U51" i="147"/>
  <c r="V51" i="147"/>
  <c r="W51" i="147"/>
  <c r="X51" i="147"/>
  <c r="Y51" i="147"/>
  <c r="B52" i="147"/>
  <c r="C52" i="147"/>
  <c r="D52" i="147"/>
  <c r="E52" i="147"/>
  <c r="F52" i="147"/>
  <c r="G52" i="147"/>
  <c r="H52" i="147"/>
  <c r="I52" i="147"/>
  <c r="J52" i="147"/>
  <c r="K52" i="147"/>
  <c r="L52" i="147"/>
  <c r="M52" i="147"/>
  <c r="N52" i="147"/>
  <c r="O52" i="147"/>
  <c r="P52" i="147"/>
  <c r="Q52" i="147"/>
  <c r="R52" i="147"/>
  <c r="S52" i="147"/>
  <c r="T52" i="147"/>
  <c r="U52" i="147"/>
  <c r="V52" i="147"/>
  <c r="W52" i="147"/>
  <c r="X52" i="147"/>
  <c r="Y52" i="147"/>
  <c r="B53" i="147"/>
  <c r="C53" i="147"/>
  <c r="D53" i="147"/>
  <c r="E53" i="147"/>
  <c r="F53" i="147"/>
  <c r="G53" i="147"/>
  <c r="H53" i="147"/>
  <c r="I53" i="147"/>
  <c r="J53" i="147"/>
  <c r="K53" i="147"/>
  <c r="L53" i="147"/>
  <c r="M53" i="147"/>
  <c r="N53" i="147"/>
  <c r="O53" i="147"/>
  <c r="P53" i="147"/>
  <c r="Q53" i="147"/>
  <c r="R53" i="147"/>
  <c r="S53" i="147"/>
  <c r="T53" i="147"/>
  <c r="U53" i="147"/>
  <c r="V53" i="147"/>
  <c r="W53" i="147"/>
  <c r="X53" i="147"/>
  <c r="Y53" i="147"/>
  <c r="B54" i="147"/>
  <c r="C54" i="147"/>
  <c r="D54" i="147"/>
  <c r="E54" i="147"/>
  <c r="F54" i="147"/>
  <c r="G54" i="147"/>
  <c r="H54" i="147"/>
  <c r="I54" i="147"/>
  <c r="J54" i="147"/>
  <c r="K54" i="147"/>
  <c r="L54" i="147"/>
  <c r="M54" i="147"/>
  <c r="N54" i="147"/>
  <c r="O54" i="147"/>
  <c r="P54" i="147"/>
  <c r="Q54" i="147"/>
  <c r="R54" i="147"/>
  <c r="S54" i="147"/>
  <c r="T54" i="147"/>
  <c r="U54" i="147"/>
  <c r="V54" i="147"/>
  <c r="W54" i="147"/>
  <c r="X54" i="147"/>
  <c r="Y54" i="147"/>
  <c r="B55" i="147"/>
  <c r="C55" i="147"/>
  <c r="D55" i="147"/>
  <c r="E55" i="147"/>
  <c r="F55" i="147"/>
  <c r="G55" i="147"/>
  <c r="H55" i="147"/>
  <c r="I55" i="147"/>
  <c r="J55" i="147"/>
  <c r="K55" i="147"/>
  <c r="L55" i="147"/>
  <c r="M55" i="147"/>
  <c r="N55" i="147"/>
  <c r="O55" i="147"/>
  <c r="P55" i="147"/>
  <c r="Q55" i="147"/>
  <c r="R55" i="147"/>
  <c r="S55" i="147"/>
  <c r="T55" i="147"/>
  <c r="U55" i="147"/>
  <c r="V55" i="147"/>
  <c r="W55" i="147"/>
  <c r="X55" i="147"/>
  <c r="Y55" i="147"/>
  <c r="B56" i="147"/>
  <c r="C56" i="147"/>
  <c r="D56" i="147"/>
  <c r="E56" i="147"/>
  <c r="F56" i="147"/>
  <c r="G56" i="147"/>
  <c r="H56" i="147"/>
  <c r="I56" i="147"/>
  <c r="J56" i="147"/>
  <c r="K56" i="147"/>
  <c r="L56" i="147"/>
  <c r="M56" i="147"/>
  <c r="N56" i="147"/>
  <c r="O56" i="147"/>
  <c r="P56" i="147"/>
  <c r="Q56" i="147"/>
  <c r="R56" i="147"/>
  <c r="S56" i="147"/>
  <c r="T56" i="147"/>
  <c r="U56" i="147"/>
  <c r="V56" i="147"/>
  <c r="W56" i="147"/>
  <c r="X56" i="147"/>
  <c r="Y56" i="147"/>
  <c r="B57" i="147"/>
  <c r="C57" i="147"/>
  <c r="D57" i="147"/>
  <c r="E57" i="147"/>
  <c r="F57" i="147"/>
  <c r="G57" i="147"/>
  <c r="H57" i="147"/>
  <c r="I57" i="147"/>
  <c r="J57" i="147"/>
  <c r="K57" i="147"/>
  <c r="L57" i="147"/>
  <c r="M57" i="147"/>
  <c r="N57" i="147"/>
  <c r="O57" i="147"/>
  <c r="P57" i="147"/>
  <c r="Q57" i="147"/>
  <c r="R57" i="147"/>
  <c r="S57" i="147"/>
  <c r="T57" i="147"/>
  <c r="U57" i="147"/>
  <c r="V57" i="147"/>
  <c r="W57" i="147"/>
  <c r="X57" i="147"/>
  <c r="Y57" i="147"/>
  <c r="B58" i="147"/>
  <c r="C50" i="147"/>
  <c r="D50" i="147"/>
  <c r="E50" i="147"/>
  <c r="F50" i="147"/>
  <c r="G50" i="147"/>
  <c r="H50" i="147"/>
  <c r="I50" i="147"/>
  <c r="J50" i="147"/>
  <c r="K50" i="147"/>
  <c r="L50" i="147"/>
  <c r="M50" i="147"/>
  <c r="N50" i="147"/>
  <c r="O50" i="147"/>
  <c r="P50" i="147"/>
  <c r="Q50" i="147"/>
  <c r="R50" i="147"/>
  <c r="S50" i="147"/>
  <c r="T50" i="147"/>
  <c r="U50" i="147"/>
  <c r="V50" i="147"/>
  <c r="W50" i="147"/>
  <c r="X50" i="147"/>
  <c r="Y50" i="147"/>
  <c r="B50" i="147"/>
  <c r="AA37" i="147"/>
  <c r="AA38" i="147"/>
  <c r="AA39" i="147"/>
  <c r="AA41" i="147"/>
  <c r="AA42" i="147"/>
  <c r="AA43" i="147"/>
  <c r="AA45" i="147"/>
  <c r="AA35" i="147"/>
  <c r="B21" i="147"/>
  <c r="C21" i="147"/>
  <c r="D21" i="147"/>
  <c r="E21" i="147"/>
  <c r="F21" i="147"/>
  <c r="G21" i="147"/>
  <c r="H21" i="147"/>
  <c r="I21" i="147"/>
  <c r="J21" i="147"/>
  <c r="K21" i="147"/>
  <c r="L21" i="147"/>
  <c r="M21" i="147"/>
  <c r="N21" i="147"/>
  <c r="O21" i="147"/>
  <c r="P21" i="147"/>
  <c r="Q21" i="147"/>
  <c r="R21" i="147"/>
  <c r="S21" i="147"/>
  <c r="T21" i="147"/>
  <c r="U21" i="147"/>
  <c r="V21" i="147"/>
  <c r="W21" i="147"/>
  <c r="X21" i="147"/>
  <c r="Y21" i="147"/>
  <c r="B22" i="147"/>
  <c r="C22" i="147"/>
  <c r="D22" i="147"/>
  <c r="E22" i="147"/>
  <c r="F22" i="147"/>
  <c r="G22" i="147"/>
  <c r="H22" i="147"/>
  <c r="I22" i="147"/>
  <c r="J22" i="147"/>
  <c r="K22" i="147"/>
  <c r="L22" i="147"/>
  <c r="M22" i="147"/>
  <c r="N22" i="147"/>
  <c r="O22" i="147"/>
  <c r="P22" i="147"/>
  <c r="Q22" i="147"/>
  <c r="R22" i="147"/>
  <c r="S22" i="147"/>
  <c r="T22" i="147"/>
  <c r="U22" i="147"/>
  <c r="V22" i="147"/>
  <c r="W22" i="147"/>
  <c r="X22" i="147"/>
  <c r="Y22" i="147"/>
  <c r="B23" i="147"/>
  <c r="C23" i="147"/>
  <c r="D23" i="147"/>
  <c r="E23" i="147"/>
  <c r="F23" i="147"/>
  <c r="G23" i="147"/>
  <c r="H23" i="147"/>
  <c r="I23" i="147"/>
  <c r="J23" i="147"/>
  <c r="K23" i="147"/>
  <c r="L23" i="147"/>
  <c r="M23" i="147"/>
  <c r="N23" i="147"/>
  <c r="O23" i="147"/>
  <c r="P23" i="147"/>
  <c r="Q23" i="147"/>
  <c r="R23" i="147"/>
  <c r="S23" i="147"/>
  <c r="T23" i="147"/>
  <c r="U23" i="147"/>
  <c r="V23" i="147"/>
  <c r="W23" i="147"/>
  <c r="X23" i="147"/>
  <c r="Y23" i="147"/>
  <c r="B24" i="147"/>
  <c r="C24" i="147"/>
  <c r="D24" i="147"/>
  <c r="E24" i="147"/>
  <c r="F24" i="147"/>
  <c r="G24" i="147"/>
  <c r="H24" i="147"/>
  <c r="I24" i="147"/>
  <c r="J24" i="147"/>
  <c r="K24" i="147"/>
  <c r="L24" i="147"/>
  <c r="M24" i="147"/>
  <c r="N24" i="147"/>
  <c r="O24" i="147"/>
  <c r="P24" i="147"/>
  <c r="Q24" i="147"/>
  <c r="R24" i="147"/>
  <c r="S24" i="147"/>
  <c r="T24" i="147"/>
  <c r="U24" i="147"/>
  <c r="V24" i="147"/>
  <c r="W24" i="147"/>
  <c r="X24" i="147"/>
  <c r="Y24" i="147"/>
  <c r="B25" i="147"/>
  <c r="C25" i="147"/>
  <c r="D25" i="147"/>
  <c r="E25" i="147"/>
  <c r="F25" i="147"/>
  <c r="G25" i="147"/>
  <c r="H25" i="147"/>
  <c r="I25" i="147"/>
  <c r="J25" i="147"/>
  <c r="K25" i="147"/>
  <c r="L25" i="147"/>
  <c r="M25" i="147"/>
  <c r="N25" i="147"/>
  <c r="O25" i="147"/>
  <c r="P25" i="147"/>
  <c r="Q25" i="147"/>
  <c r="R25" i="147"/>
  <c r="S25" i="147"/>
  <c r="T25" i="147"/>
  <c r="U25" i="147"/>
  <c r="V25" i="147"/>
  <c r="W25" i="147"/>
  <c r="X25" i="147"/>
  <c r="Y25" i="147"/>
  <c r="B26" i="147"/>
  <c r="C26" i="147"/>
  <c r="D26" i="147"/>
  <c r="E26" i="147"/>
  <c r="F26" i="147"/>
  <c r="G26" i="147"/>
  <c r="H26" i="147"/>
  <c r="I26" i="147"/>
  <c r="J26" i="147"/>
  <c r="K26" i="147"/>
  <c r="L26" i="147"/>
  <c r="M26" i="147"/>
  <c r="N26" i="147"/>
  <c r="O26" i="147"/>
  <c r="P26" i="147"/>
  <c r="Q26" i="147"/>
  <c r="R26" i="147"/>
  <c r="S26" i="147"/>
  <c r="T26" i="147"/>
  <c r="U26" i="147"/>
  <c r="V26" i="147"/>
  <c r="W26" i="147"/>
  <c r="X26" i="147"/>
  <c r="Y26" i="147"/>
  <c r="B27" i="147"/>
  <c r="C27" i="147"/>
  <c r="D27" i="147"/>
  <c r="E27" i="147"/>
  <c r="F27" i="147"/>
  <c r="G27" i="147"/>
  <c r="H27" i="147"/>
  <c r="I27" i="147"/>
  <c r="J27" i="147"/>
  <c r="K27" i="147"/>
  <c r="L27" i="147"/>
  <c r="M27" i="147"/>
  <c r="N27" i="147"/>
  <c r="O27" i="147"/>
  <c r="P27" i="147"/>
  <c r="Q27" i="147"/>
  <c r="R27" i="147"/>
  <c r="S27" i="147"/>
  <c r="T27" i="147"/>
  <c r="U27" i="147"/>
  <c r="V27" i="147"/>
  <c r="X27" i="147"/>
  <c r="Y27" i="147"/>
  <c r="C20" i="147"/>
  <c r="D20" i="147"/>
  <c r="E20" i="147"/>
  <c r="F20" i="147"/>
  <c r="G20" i="147"/>
  <c r="H20" i="147"/>
  <c r="I20" i="147"/>
  <c r="J20" i="147"/>
  <c r="K20" i="147"/>
  <c r="L20" i="147"/>
  <c r="M20" i="147"/>
  <c r="N20" i="147"/>
  <c r="O20" i="147"/>
  <c r="P20" i="147"/>
  <c r="Q20" i="147"/>
  <c r="R20" i="147"/>
  <c r="S20" i="147"/>
  <c r="T20" i="147"/>
  <c r="U20" i="147"/>
  <c r="V20" i="147"/>
  <c r="W20" i="147"/>
  <c r="X20" i="147"/>
  <c r="Y20" i="147"/>
  <c r="B20" i="147"/>
  <c r="AA6" i="147" l="1"/>
  <c r="AA7" i="147"/>
  <c r="AA8" i="147"/>
  <c r="AA9" i="147"/>
  <c r="AA10" i="147"/>
  <c r="AA11" i="147"/>
  <c r="AA12" i="147"/>
  <c r="AA15" i="147"/>
  <c r="AA5" i="147"/>
  <c r="AA51" i="146"/>
  <c r="AA52" i="146"/>
  <c r="AA53" i="146"/>
  <c r="AA54" i="146"/>
  <c r="AA55" i="146"/>
  <c r="AA56" i="146"/>
  <c r="AA57" i="146"/>
  <c r="AA58" i="146"/>
  <c r="AA50" i="146"/>
  <c r="AA36" i="146"/>
  <c r="AA37" i="146"/>
  <c r="AA38" i="146"/>
  <c r="AA39" i="146"/>
  <c r="AA40" i="146"/>
  <c r="AA41" i="146"/>
  <c r="AA42" i="146"/>
  <c r="AA43" i="146"/>
  <c r="AA35" i="146"/>
  <c r="AA21" i="146"/>
  <c r="AA51" i="147" s="1"/>
  <c r="AA22" i="146"/>
  <c r="AA52" i="147" s="1"/>
  <c r="AA23" i="146"/>
  <c r="AA53" i="147" s="1"/>
  <c r="AA24" i="146"/>
  <c r="AA54" i="147" s="1"/>
  <c r="AA25" i="146"/>
  <c r="AA55" i="147" s="1"/>
  <c r="AA26" i="146"/>
  <c r="AA56" i="147" s="1"/>
  <c r="AA27" i="146"/>
  <c r="AA57" i="147" s="1"/>
  <c r="AA28" i="146"/>
  <c r="AA58" i="147" s="1"/>
  <c r="AA60" i="147"/>
  <c r="AA20" i="146"/>
  <c r="AA50" i="147" s="1"/>
  <c r="AA6" i="146"/>
  <c r="AA7" i="146"/>
  <c r="AA8" i="146"/>
  <c r="AA9" i="146"/>
  <c r="AA10" i="146"/>
  <c r="AA11" i="146"/>
  <c r="AA12" i="146"/>
  <c r="AA13" i="146"/>
  <c r="AA5" i="146"/>
  <c r="O78" i="136"/>
  <c r="O80" i="136"/>
  <c r="O82" i="136"/>
  <c r="O84" i="136"/>
  <c r="O86" i="136"/>
  <c r="O88" i="136"/>
  <c r="O90" i="136"/>
  <c r="O92" i="136"/>
  <c r="O94" i="136"/>
  <c r="O96" i="136"/>
  <c r="O98" i="136"/>
  <c r="O100" i="136"/>
  <c r="O102" i="136"/>
  <c r="O104" i="136"/>
  <c r="O106" i="136"/>
  <c r="N93" i="136"/>
  <c r="N76" i="136"/>
  <c r="M78" i="136"/>
  <c r="M80" i="136"/>
  <c r="M82" i="136"/>
  <c r="M84" i="136"/>
  <c r="M86" i="136"/>
  <c r="M88" i="136"/>
  <c r="M90" i="136"/>
  <c r="M92" i="136"/>
  <c r="M94" i="136"/>
  <c r="M96" i="136"/>
  <c r="M98" i="136"/>
  <c r="M100" i="136"/>
  <c r="M102" i="136"/>
  <c r="M104" i="136"/>
  <c r="M106" i="136"/>
  <c r="L78" i="136"/>
  <c r="L80" i="136"/>
  <c r="L82" i="136"/>
  <c r="L84" i="136"/>
  <c r="L86" i="136"/>
  <c r="L88" i="136"/>
  <c r="L90" i="136"/>
  <c r="L92" i="136"/>
  <c r="L94" i="136"/>
  <c r="L96" i="136"/>
  <c r="L98" i="136"/>
  <c r="L100" i="136"/>
  <c r="L102" i="136"/>
  <c r="L104" i="136"/>
  <c r="L106" i="136"/>
  <c r="L76" i="136"/>
  <c r="K78" i="136"/>
  <c r="K80" i="136"/>
  <c r="K82" i="136"/>
  <c r="K84" i="136"/>
  <c r="K86" i="136"/>
  <c r="K88" i="136"/>
  <c r="K90" i="136"/>
  <c r="K92" i="136"/>
  <c r="K94" i="136"/>
  <c r="K96" i="136"/>
  <c r="K98" i="136"/>
  <c r="K100" i="136"/>
  <c r="K102" i="136"/>
  <c r="K104" i="136"/>
  <c r="K106" i="136"/>
  <c r="C109" i="136"/>
  <c r="E109" i="136"/>
  <c r="F109" i="136"/>
  <c r="N78" i="136"/>
  <c r="N80" i="136"/>
  <c r="N82" i="136"/>
  <c r="N84" i="136"/>
  <c r="N86" i="136"/>
  <c r="N88" i="136"/>
  <c r="N90" i="136"/>
  <c r="N92" i="136"/>
  <c r="N94" i="136"/>
  <c r="N96" i="136"/>
  <c r="N98" i="136"/>
  <c r="N100" i="136"/>
  <c r="N102" i="136"/>
  <c r="N104" i="136"/>
  <c r="N106" i="136"/>
  <c r="O76" i="136"/>
  <c r="C71" i="136"/>
  <c r="E71" i="136"/>
  <c r="F71" i="136"/>
  <c r="H71" i="136"/>
  <c r="B71" i="136"/>
  <c r="I39" i="136"/>
  <c r="I40" i="136"/>
  <c r="L40" i="136" s="1"/>
  <c r="I41" i="136"/>
  <c r="L41" i="136" s="1"/>
  <c r="I42" i="136"/>
  <c r="Q42" i="136" s="1"/>
  <c r="I43" i="136"/>
  <c r="L43" i="136" s="1"/>
  <c r="I44" i="136"/>
  <c r="L44" i="136" s="1"/>
  <c r="I45" i="136"/>
  <c r="L45" i="136" s="1"/>
  <c r="L46" i="136"/>
  <c r="I47" i="136"/>
  <c r="I48" i="136"/>
  <c r="L48" i="136" s="1"/>
  <c r="I49" i="136"/>
  <c r="L49" i="136" s="1"/>
  <c r="I50" i="136"/>
  <c r="Q50" i="136" s="1"/>
  <c r="I51" i="136"/>
  <c r="L51" i="136" s="1"/>
  <c r="I52" i="136"/>
  <c r="L52" i="136" s="1"/>
  <c r="I53" i="136"/>
  <c r="L53" i="136" s="1"/>
  <c r="I54" i="136"/>
  <c r="L54" i="136" s="1"/>
  <c r="I55" i="136"/>
  <c r="I56" i="136"/>
  <c r="L56" i="136" s="1"/>
  <c r="L57" i="136"/>
  <c r="I58" i="136"/>
  <c r="Q58" i="136" s="1"/>
  <c r="I59" i="136"/>
  <c r="L59" i="136" s="1"/>
  <c r="I60" i="136"/>
  <c r="M60" i="136" s="1"/>
  <c r="I61" i="136"/>
  <c r="M61" i="136" s="1"/>
  <c r="I62" i="136"/>
  <c r="M62" i="136" s="1"/>
  <c r="I63" i="136"/>
  <c r="I64" i="136"/>
  <c r="M64" i="136" s="1"/>
  <c r="M65" i="136"/>
  <c r="I66" i="136"/>
  <c r="Q66" i="136" s="1"/>
  <c r="I67" i="136"/>
  <c r="M67" i="136" s="1"/>
  <c r="I68" i="136"/>
  <c r="M68" i="136" s="1"/>
  <c r="I69" i="136"/>
  <c r="I70" i="136"/>
  <c r="I38" i="136"/>
  <c r="I19" i="136"/>
  <c r="N19" i="136" s="1"/>
  <c r="I20" i="136"/>
  <c r="N20" i="136" s="1"/>
  <c r="I21" i="136"/>
  <c r="I22" i="136"/>
  <c r="P22" i="136" s="1"/>
  <c r="I23" i="136"/>
  <c r="I18" i="136"/>
  <c r="N18" i="136" s="1"/>
  <c r="I6" i="136"/>
  <c r="P6" i="136" s="1"/>
  <c r="I7" i="136"/>
  <c r="N7" i="136" s="1"/>
  <c r="I8" i="136"/>
  <c r="P8" i="136" s="1"/>
  <c r="I9" i="136"/>
  <c r="P9" i="136" s="1"/>
  <c r="I10" i="136"/>
  <c r="L10" i="136" s="1"/>
  <c r="I5" i="136"/>
  <c r="L5" i="136" s="1"/>
  <c r="H24" i="138"/>
  <c r="M24" i="138" s="1"/>
  <c r="H25" i="138"/>
  <c r="K25" i="138" s="1"/>
  <c r="H26" i="138"/>
  <c r="O26" i="138" s="1"/>
  <c r="H27" i="138"/>
  <c r="O27" i="138" s="1"/>
  <c r="H28" i="138"/>
  <c r="M28" i="138" s="1"/>
  <c r="H23" i="138"/>
  <c r="O23" i="138" s="1"/>
  <c r="J13" i="138"/>
  <c r="N9" i="138"/>
  <c r="N11" i="138"/>
  <c r="N12" i="138"/>
  <c r="N13" i="138"/>
  <c r="N8" i="138"/>
  <c r="E23" i="140"/>
  <c r="I23" i="140" s="1"/>
  <c r="E24" i="140"/>
  <c r="I24" i="140" s="1"/>
  <c r="E25" i="140"/>
  <c r="I25" i="140" s="1"/>
  <c r="E26" i="140"/>
  <c r="I26" i="140" s="1"/>
  <c r="E27" i="140"/>
  <c r="I27" i="140" s="1"/>
  <c r="E28" i="140"/>
  <c r="I28" i="140" s="1"/>
  <c r="E29" i="140"/>
  <c r="I29" i="140" s="1"/>
  <c r="E30" i="140"/>
  <c r="I30" i="140" s="1"/>
  <c r="E31" i="140"/>
  <c r="I31" i="140" s="1"/>
  <c r="E32" i="140"/>
  <c r="I32" i="140" s="1"/>
  <c r="E33" i="140"/>
  <c r="I33" i="140" s="1"/>
  <c r="E34" i="140"/>
  <c r="I34" i="140" s="1"/>
  <c r="E35" i="140"/>
  <c r="I35" i="140" s="1"/>
  <c r="E36" i="140"/>
  <c r="I36" i="140" s="1"/>
  <c r="E37" i="140"/>
  <c r="I37" i="140" s="1"/>
  <c r="E38" i="140"/>
  <c r="I38" i="140" s="1"/>
  <c r="E39" i="140"/>
  <c r="I39" i="140" s="1"/>
  <c r="E40" i="140"/>
  <c r="I40" i="140" s="1"/>
  <c r="E41" i="140"/>
  <c r="I41" i="140" s="1"/>
  <c r="E42" i="140"/>
  <c r="I42" i="140" s="1"/>
  <c r="E43" i="140"/>
  <c r="I43" i="140" s="1"/>
  <c r="E44" i="140"/>
  <c r="I44" i="140" s="1"/>
  <c r="E45" i="140"/>
  <c r="I45" i="140" s="1"/>
  <c r="E46" i="140"/>
  <c r="I46" i="140" s="1"/>
  <c r="E47" i="140"/>
  <c r="I47" i="140" s="1"/>
  <c r="E48" i="140"/>
  <c r="I48" i="140" s="1"/>
  <c r="E49" i="140"/>
  <c r="I49" i="140" s="1"/>
  <c r="E50" i="140"/>
  <c r="I50" i="140" s="1"/>
  <c r="E51" i="140"/>
  <c r="I51" i="140" s="1"/>
  <c r="E52" i="140"/>
  <c r="I52" i="140" s="1"/>
  <c r="E53" i="140"/>
  <c r="I53" i="140" s="1"/>
  <c r="E22" i="140"/>
  <c r="E6" i="140"/>
  <c r="E7" i="140"/>
  <c r="H7" i="140" s="1"/>
  <c r="E8" i="140"/>
  <c r="I8" i="140" s="1"/>
  <c r="E9" i="140"/>
  <c r="H9" i="140" s="1"/>
  <c r="E10" i="140"/>
  <c r="E5" i="140"/>
  <c r="I5" i="140" s="1"/>
  <c r="C63" i="142"/>
  <c r="D63" i="142"/>
  <c r="E63" i="142"/>
  <c r="F63" i="142"/>
  <c r="G63" i="142"/>
  <c r="B63" i="142"/>
  <c r="B18" i="145"/>
  <c r="C18" i="145"/>
  <c r="D18" i="145"/>
  <c r="C116" i="137"/>
  <c r="D116" i="137"/>
  <c r="E116" i="137"/>
  <c r="F116" i="137"/>
  <c r="B116" i="137"/>
  <c r="C38" i="137"/>
  <c r="D38" i="137"/>
  <c r="F38" i="137"/>
  <c r="B38" i="137"/>
  <c r="G6" i="137"/>
  <c r="M6" i="137" s="1"/>
  <c r="G7" i="137"/>
  <c r="M7" i="137" s="1"/>
  <c r="G8" i="137"/>
  <c r="L8" i="137" s="1"/>
  <c r="G9" i="137"/>
  <c r="M9" i="137" s="1"/>
  <c r="G10" i="137"/>
  <c r="M10" i="137" s="1"/>
  <c r="G11" i="137"/>
  <c r="M11" i="137" s="1"/>
  <c r="G12" i="137"/>
  <c r="L12" i="137" s="1"/>
  <c r="M13" i="137"/>
  <c r="G14" i="137"/>
  <c r="M14" i="137" s="1"/>
  <c r="G15" i="137"/>
  <c r="M15" i="137" s="1"/>
  <c r="G16" i="137"/>
  <c r="M16" i="137" s="1"/>
  <c r="G17" i="137"/>
  <c r="M17" i="137" s="1"/>
  <c r="G18" i="137"/>
  <c r="K18" i="137" s="1"/>
  <c r="G19" i="137"/>
  <c r="M19" i="137" s="1"/>
  <c r="G20" i="137"/>
  <c r="M20" i="137" s="1"/>
  <c r="G21" i="137"/>
  <c r="M21" i="137" s="1"/>
  <c r="G22" i="137"/>
  <c r="M22" i="137" s="1"/>
  <c r="G23" i="137"/>
  <c r="M23" i="137" s="1"/>
  <c r="G24" i="137"/>
  <c r="M24" i="137" s="1"/>
  <c r="G25" i="137"/>
  <c r="M25" i="137" s="1"/>
  <c r="G26" i="137"/>
  <c r="M26" i="137" s="1"/>
  <c r="G27" i="137"/>
  <c r="M27" i="137" s="1"/>
  <c r="G28" i="137"/>
  <c r="M28" i="137" s="1"/>
  <c r="G29" i="137"/>
  <c r="M29" i="137" s="1"/>
  <c r="G30" i="137"/>
  <c r="M30" i="137" s="1"/>
  <c r="G31" i="137"/>
  <c r="G32" i="137"/>
  <c r="M32" i="137" s="1"/>
  <c r="G33" i="137"/>
  <c r="M33" i="137" s="1"/>
  <c r="G34" i="137"/>
  <c r="M34" i="137" s="1"/>
  <c r="G35" i="137"/>
  <c r="M36" i="137"/>
  <c r="G5" i="137"/>
  <c r="G36" i="135"/>
  <c r="L36" i="135" s="1"/>
  <c r="G37" i="135"/>
  <c r="N37" i="135" s="1"/>
  <c r="G38" i="135"/>
  <c r="N38" i="135" s="1"/>
  <c r="G39" i="135"/>
  <c r="M39" i="135" s="1"/>
  <c r="G40" i="135"/>
  <c r="N40" i="135" s="1"/>
  <c r="G41" i="135"/>
  <c r="M41" i="135" s="1"/>
  <c r="G42" i="135"/>
  <c r="N42" i="135" s="1"/>
  <c r="G43" i="135"/>
  <c r="G35" i="135"/>
  <c r="M35" i="135" s="1"/>
  <c r="J20" i="135"/>
  <c r="G21" i="135"/>
  <c r="N21" i="135" s="1"/>
  <c r="G22" i="135"/>
  <c r="M22" i="135" s="1"/>
  <c r="G23" i="135"/>
  <c r="K23" i="135" s="1"/>
  <c r="G24" i="135"/>
  <c r="N24" i="135" s="1"/>
  <c r="G25" i="135"/>
  <c r="L25" i="135" s="1"/>
  <c r="G26" i="135"/>
  <c r="M26" i="135" s="1"/>
  <c r="G27" i="135"/>
  <c r="M27" i="135" s="1"/>
  <c r="G28" i="135"/>
  <c r="M20" i="135"/>
  <c r="D59" i="222" l="1"/>
  <c r="D43" i="222"/>
  <c r="D27" i="222"/>
  <c r="D11" i="222"/>
  <c r="D54" i="222"/>
  <c r="D38" i="222"/>
  <c r="D22" i="222"/>
  <c r="D6" i="222"/>
  <c r="D49" i="222"/>
  <c r="D33" i="222"/>
  <c r="D17" i="222"/>
  <c r="D48" i="222"/>
  <c r="D32" i="222"/>
  <c r="D16" i="222"/>
  <c r="D55" i="222"/>
  <c r="D39" i="222"/>
  <c r="D23" i="222"/>
  <c r="D7" i="222"/>
  <c r="D50" i="222"/>
  <c r="D34" i="222"/>
  <c r="D18" i="222"/>
  <c r="D61" i="222"/>
  <c r="D45" i="222"/>
  <c r="D29" i="222"/>
  <c r="D13" i="222"/>
  <c r="D60" i="222"/>
  <c r="D44" i="222"/>
  <c r="D28" i="222"/>
  <c r="D12" i="222"/>
  <c r="D51" i="222"/>
  <c r="D35" i="222"/>
  <c r="D19" i="222"/>
  <c r="D5" i="222"/>
  <c r="D46" i="222"/>
  <c r="D30" i="222"/>
  <c r="D14" i="222"/>
  <c r="D57" i="222"/>
  <c r="D41" i="222"/>
  <c r="D25" i="222"/>
  <c r="D9" i="222"/>
  <c r="D56" i="222"/>
  <c r="D40" i="222"/>
  <c r="D24" i="222"/>
  <c r="H9" i="222" s="1"/>
  <c r="D8" i="222"/>
  <c r="D47" i="222"/>
  <c r="D31" i="222"/>
  <c r="D15" i="222"/>
  <c r="D58" i="222"/>
  <c r="D42" i="222"/>
  <c r="D26" i="222"/>
  <c r="D10" i="222"/>
  <c r="D53" i="222"/>
  <c r="D37" i="222"/>
  <c r="D21" i="222"/>
  <c r="D52" i="222"/>
  <c r="D36" i="222"/>
  <c r="D20" i="222"/>
  <c r="B26" i="145"/>
  <c r="B30" i="145"/>
  <c r="B34" i="145"/>
  <c r="B23" i="145"/>
  <c r="B27" i="145"/>
  <c r="B31" i="145"/>
  <c r="B24" i="145"/>
  <c r="B28" i="145"/>
  <c r="B32" i="145"/>
  <c r="B25" i="145"/>
  <c r="B29" i="145"/>
  <c r="B33" i="145"/>
  <c r="D24" i="145"/>
  <c r="D23" i="145"/>
  <c r="D33" i="145"/>
  <c r="D31" i="145"/>
  <c r="D28" i="145"/>
  <c r="D34" i="145"/>
  <c r="D29" i="145"/>
  <c r="D27" i="145"/>
  <c r="D30" i="145"/>
  <c r="D25" i="145"/>
  <c r="D32" i="145"/>
  <c r="D26" i="145"/>
  <c r="C25" i="145"/>
  <c r="C29" i="145"/>
  <c r="C33" i="145"/>
  <c r="C26" i="145"/>
  <c r="C30" i="145"/>
  <c r="C34" i="145"/>
  <c r="C23" i="145"/>
  <c r="C27" i="145"/>
  <c r="C31" i="145"/>
  <c r="C24" i="145"/>
  <c r="C28" i="145"/>
  <c r="C32" i="145"/>
  <c r="L43" i="135"/>
  <c r="K43" i="135"/>
  <c r="M43" i="135"/>
  <c r="N43" i="135"/>
  <c r="J43" i="135"/>
  <c r="J28" i="135"/>
  <c r="L28" i="135"/>
  <c r="M28" i="135"/>
  <c r="N28" i="135"/>
  <c r="K28" i="135"/>
  <c r="M69" i="136"/>
  <c r="Q69" i="136"/>
  <c r="Q38" i="136"/>
  <c r="K38" i="136"/>
  <c r="I71" i="136"/>
  <c r="K71" i="136" s="1"/>
  <c r="K41" i="136"/>
  <c r="E55" i="140"/>
  <c r="H55" i="140" s="1"/>
  <c r="M5" i="137"/>
  <c r="I5" i="137"/>
  <c r="K5" i="137"/>
  <c r="M35" i="137"/>
  <c r="K35" i="137"/>
  <c r="M31" i="137"/>
  <c r="K31" i="137"/>
  <c r="J27" i="139"/>
  <c r="N41" i="135"/>
  <c r="H36" i="140"/>
  <c r="J26" i="138"/>
  <c r="J37" i="135"/>
  <c r="H44" i="140"/>
  <c r="J24" i="139"/>
  <c r="J23" i="138"/>
  <c r="N28" i="138"/>
  <c r="Q7" i="136"/>
  <c r="K57" i="136"/>
  <c r="M58" i="136"/>
  <c r="H8" i="140"/>
  <c r="G44" i="140"/>
  <c r="L28" i="138"/>
  <c r="N26" i="138"/>
  <c r="K9" i="136"/>
  <c r="J39" i="135"/>
  <c r="G36" i="140"/>
  <c r="L26" i="138"/>
  <c r="P10" i="136"/>
  <c r="M44" i="136"/>
  <c r="O60" i="136"/>
  <c r="Q60" i="136"/>
  <c r="K69" i="136"/>
  <c r="K53" i="136"/>
  <c r="L69" i="136"/>
  <c r="M56" i="136"/>
  <c r="M40" i="136"/>
  <c r="N56" i="136"/>
  <c r="N40" i="136"/>
  <c r="O56" i="136"/>
  <c r="O40" i="136"/>
  <c r="P56" i="136"/>
  <c r="P40" i="136"/>
  <c r="Q56" i="136"/>
  <c r="Q40" i="136"/>
  <c r="N60" i="136"/>
  <c r="O44" i="136"/>
  <c r="P44" i="136"/>
  <c r="K65" i="136"/>
  <c r="K49" i="136"/>
  <c r="L65" i="136"/>
  <c r="M52" i="136"/>
  <c r="N68" i="136"/>
  <c r="N52" i="136"/>
  <c r="O68" i="136"/>
  <c r="O52" i="136"/>
  <c r="P68" i="136"/>
  <c r="P52" i="136"/>
  <c r="Q68" i="136"/>
  <c r="Q52" i="136"/>
  <c r="N44" i="136"/>
  <c r="P60" i="136"/>
  <c r="Q44" i="136"/>
  <c r="K61" i="136"/>
  <c r="K45" i="136"/>
  <c r="L61" i="136"/>
  <c r="M48" i="136"/>
  <c r="N64" i="136"/>
  <c r="N48" i="136"/>
  <c r="O64" i="136"/>
  <c r="O48" i="136"/>
  <c r="P64" i="136"/>
  <c r="P48" i="136"/>
  <c r="Q64" i="136"/>
  <c r="Q48" i="136"/>
  <c r="M20" i="136"/>
  <c r="L20" i="136"/>
  <c r="P18" i="136"/>
  <c r="K22" i="136"/>
  <c r="K20" i="136"/>
  <c r="O22" i="136"/>
  <c r="L18" i="136"/>
  <c r="M22" i="136"/>
  <c r="O20" i="136"/>
  <c r="Q20" i="136"/>
  <c r="Q22" i="136"/>
  <c r="N8" i="136"/>
  <c r="L6" i="136"/>
  <c r="N5" i="136"/>
  <c r="O7" i="136"/>
  <c r="Q9" i="136"/>
  <c r="K7" i="136"/>
  <c r="M9" i="136"/>
  <c r="M7" i="136"/>
  <c r="O9" i="136"/>
  <c r="J24" i="138"/>
  <c r="L24" i="138"/>
  <c r="N24" i="138"/>
  <c r="J28" i="138"/>
  <c r="L23" i="138"/>
  <c r="N23" i="138"/>
  <c r="L8" i="138"/>
  <c r="J8" i="138"/>
  <c r="K12" i="138"/>
  <c r="L9" i="138"/>
  <c r="J11" i="138"/>
  <c r="L13" i="138"/>
  <c r="O13" i="138"/>
  <c r="M11" i="138"/>
  <c r="J9" i="138"/>
  <c r="L11" i="138"/>
  <c r="O9" i="138"/>
  <c r="G28" i="140"/>
  <c r="H28" i="140"/>
  <c r="G52" i="140"/>
  <c r="H52" i="140"/>
  <c r="E26" i="139"/>
  <c r="G9" i="140"/>
  <c r="G7" i="140"/>
  <c r="I9" i="140"/>
  <c r="E28" i="139"/>
  <c r="H5" i="140"/>
  <c r="I7" i="140"/>
  <c r="J41" i="135"/>
  <c r="K40" i="135"/>
  <c r="L41" i="135"/>
  <c r="K37" i="135"/>
  <c r="L39" i="135"/>
  <c r="K36" i="135"/>
  <c r="K41" i="135"/>
  <c r="J22" i="135"/>
  <c r="J26" i="135"/>
  <c r="J27" i="135"/>
  <c r="J23" i="135"/>
  <c r="K25" i="135"/>
  <c r="K21" i="135"/>
  <c r="L27" i="135"/>
  <c r="L23" i="135"/>
  <c r="M25" i="135"/>
  <c r="M21" i="135"/>
  <c r="N27" i="135"/>
  <c r="N23" i="135"/>
  <c r="K42" i="135"/>
  <c r="K38" i="135"/>
  <c r="M40" i="135"/>
  <c r="G38" i="137"/>
  <c r="J38" i="137" s="1"/>
  <c r="I30" i="137"/>
  <c r="I22" i="137"/>
  <c r="I14" i="137"/>
  <c r="I6" i="137"/>
  <c r="J30" i="137"/>
  <c r="J22" i="137"/>
  <c r="J14" i="137"/>
  <c r="J6" i="137"/>
  <c r="K30" i="137"/>
  <c r="K22" i="137"/>
  <c r="K14" i="137"/>
  <c r="K6" i="137"/>
  <c r="L30" i="137"/>
  <c r="L22" i="137"/>
  <c r="L14" i="137"/>
  <c r="L6" i="137"/>
  <c r="M12" i="137"/>
  <c r="O71" i="136"/>
  <c r="K24" i="135"/>
  <c r="L20" i="135"/>
  <c r="L26" i="135"/>
  <c r="L22" i="135"/>
  <c r="M24" i="135"/>
  <c r="N20" i="135"/>
  <c r="N26" i="135"/>
  <c r="N22" i="135"/>
  <c r="J40" i="135"/>
  <c r="J36" i="135"/>
  <c r="L42" i="135"/>
  <c r="L38" i="135"/>
  <c r="M38" i="135"/>
  <c r="N39" i="135"/>
  <c r="I36" i="137"/>
  <c r="I28" i="137"/>
  <c r="I20" i="137"/>
  <c r="I12" i="137"/>
  <c r="J36" i="137"/>
  <c r="J28" i="137"/>
  <c r="J20" i="137"/>
  <c r="J12" i="137"/>
  <c r="K36" i="137"/>
  <c r="K28" i="137"/>
  <c r="K20" i="137"/>
  <c r="K12" i="137"/>
  <c r="L36" i="137"/>
  <c r="L28" i="137"/>
  <c r="L20" i="137"/>
  <c r="M8" i="137"/>
  <c r="G40" i="140"/>
  <c r="G24" i="140"/>
  <c r="H40" i="140"/>
  <c r="H24" i="140"/>
  <c r="L105" i="136"/>
  <c r="K105" i="136"/>
  <c r="M105" i="136"/>
  <c r="N105" i="136"/>
  <c r="O101" i="136"/>
  <c r="L101" i="136"/>
  <c r="K101" i="136"/>
  <c r="M101" i="136"/>
  <c r="N101" i="136"/>
  <c r="O97" i="136"/>
  <c r="L97" i="136"/>
  <c r="K97" i="136"/>
  <c r="M97" i="136"/>
  <c r="N97" i="136"/>
  <c r="O93" i="136"/>
  <c r="L93" i="136"/>
  <c r="K93" i="136"/>
  <c r="M93" i="136"/>
  <c r="O89" i="136"/>
  <c r="L89" i="136"/>
  <c r="K89" i="136"/>
  <c r="M89" i="136"/>
  <c r="N89" i="136"/>
  <c r="O85" i="136"/>
  <c r="L85" i="136"/>
  <c r="K85" i="136"/>
  <c r="M85" i="136"/>
  <c r="N85" i="136"/>
  <c r="O81" i="136"/>
  <c r="L81" i="136"/>
  <c r="K81" i="136"/>
  <c r="M81" i="136"/>
  <c r="N81" i="136"/>
  <c r="O77" i="136"/>
  <c r="L77" i="136"/>
  <c r="K77" i="136"/>
  <c r="M77" i="136"/>
  <c r="N77" i="136"/>
  <c r="L109" i="136"/>
  <c r="J21" i="135"/>
  <c r="L21" i="135"/>
  <c r="M23" i="135"/>
  <c r="N25" i="135"/>
  <c r="I34" i="137"/>
  <c r="I18" i="137"/>
  <c r="J26" i="137"/>
  <c r="J10" i="137"/>
  <c r="K26" i="137"/>
  <c r="K10" i="137"/>
  <c r="L18" i="137"/>
  <c r="M18" i="137"/>
  <c r="G6" i="140"/>
  <c r="H6" i="140"/>
  <c r="I6" i="140"/>
  <c r="O23" i="136"/>
  <c r="K23" i="136"/>
  <c r="Q23" i="136"/>
  <c r="M23" i="136"/>
  <c r="N23" i="136"/>
  <c r="L23" i="136"/>
  <c r="P23" i="136"/>
  <c r="J25" i="135"/>
  <c r="K27" i="135"/>
  <c r="M36" i="135"/>
  <c r="I26" i="137"/>
  <c r="I10" i="137"/>
  <c r="J34" i="137"/>
  <c r="J18" i="137"/>
  <c r="K34" i="137"/>
  <c r="L34" i="137"/>
  <c r="L26" i="137"/>
  <c r="L10" i="137"/>
  <c r="G10" i="140"/>
  <c r="H10" i="140"/>
  <c r="I10" i="140"/>
  <c r="O10" i="138"/>
  <c r="M10" i="138"/>
  <c r="J10" i="138"/>
  <c r="N10" i="138"/>
  <c r="K10" i="138"/>
  <c r="L10" i="138"/>
  <c r="O19" i="136"/>
  <c r="K19" i="136"/>
  <c r="Q19" i="136"/>
  <c r="M19" i="136"/>
  <c r="P19" i="136"/>
  <c r="L19" i="136"/>
  <c r="J24" i="135"/>
  <c r="K20" i="135"/>
  <c r="K26" i="135"/>
  <c r="K22" i="135"/>
  <c r="L24" i="135"/>
  <c r="M37" i="135"/>
  <c r="L37" i="135"/>
  <c r="J42" i="135"/>
  <c r="J38" i="135"/>
  <c r="K39" i="135"/>
  <c r="L40" i="135"/>
  <c r="M42" i="135"/>
  <c r="I32" i="137"/>
  <c r="I24" i="137"/>
  <c r="I16" i="137"/>
  <c r="I8" i="137"/>
  <c r="J32" i="137"/>
  <c r="J24" i="137"/>
  <c r="J16" i="137"/>
  <c r="J8" i="137"/>
  <c r="K32" i="137"/>
  <c r="K24" i="137"/>
  <c r="K16" i="137"/>
  <c r="K8" i="137"/>
  <c r="L32" i="137"/>
  <c r="L24" i="137"/>
  <c r="L16" i="137"/>
  <c r="I55" i="140"/>
  <c r="G48" i="140"/>
  <c r="G32" i="140"/>
  <c r="H48" i="140"/>
  <c r="H32" i="140"/>
  <c r="L25" i="138"/>
  <c r="N25" i="138"/>
  <c r="J25" i="138"/>
  <c r="M25" i="138"/>
  <c r="O25" i="138"/>
  <c r="I35" i="137"/>
  <c r="I31" i="137"/>
  <c r="I27" i="137"/>
  <c r="I23" i="137"/>
  <c r="I19" i="137"/>
  <c r="I15" i="137"/>
  <c r="I11" i="137"/>
  <c r="I7" i="137"/>
  <c r="J35" i="137"/>
  <c r="J31" i="137"/>
  <c r="J27" i="137"/>
  <c r="J23" i="137"/>
  <c r="J19" i="137"/>
  <c r="J15" i="137"/>
  <c r="J11" i="137"/>
  <c r="J7" i="137"/>
  <c r="K27" i="137"/>
  <c r="K23" i="137"/>
  <c r="K19" i="137"/>
  <c r="K15" i="137"/>
  <c r="K11" i="137"/>
  <c r="K7" i="137"/>
  <c r="L35" i="137"/>
  <c r="L31" i="137"/>
  <c r="L27" i="137"/>
  <c r="L23" i="137"/>
  <c r="L19" i="137"/>
  <c r="L15" i="137"/>
  <c r="L11" i="137"/>
  <c r="L7" i="137"/>
  <c r="G5" i="140"/>
  <c r="G8" i="140"/>
  <c r="G51" i="140"/>
  <c r="G47" i="140"/>
  <c r="G43" i="140"/>
  <c r="G39" i="140"/>
  <c r="G35" i="140"/>
  <c r="G31" i="140"/>
  <c r="G27" i="140"/>
  <c r="G23" i="140"/>
  <c r="H51" i="140"/>
  <c r="H47" i="140"/>
  <c r="H43" i="140"/>
  <c r="H39" i="140"/>
  <c r="H35" i="140"/>
  <c r="H31" i="140"/>
  <c r="H27" i="140"/>
  <c r="H23" i="140"/>
  <c r="E24" i="139"/>
  <c r="E27" i="139"/>
  <c r="J26" i="139"/>
  <c r="J12" i="138"/>
  <c r="K8" i="138"/>
  <c r="K11" i="138"/>
  <c r="M13" i="138"/>
  <c r="O11" i="138"/>
  <c r="O10" i="136"/>
  <c r="K10" i="136"/>
  <c r="Q10" i="136"/>
  <c r="M10" i="136"/>
  <c r="O6" i="136"/>
  <c r="K6" i="136"/>
  <c r="Q6" i="136"/>
  <c r="M6" i="136"/>
  <c r="N10" i="136"/>
  <c r="P69" i="136"/>
  <c r="O69" i="136"/>
  <c r="N69" i="136"/>
  <c r="Q65" i="136"/>
  <c r="P65" i="136"/>
  <c r="O65" i="136"/>
  <c r="N65" i="136"/>
  <c r="Q61" i="136"/>
  <c r="P61" i="136"/>
  <c r="O61" i="136"/>
  <c r="N61" i="136"/>
  <c r="Q57" i="136"/>
  <c r="P57" i="136"/>
  <c r="O57" i="136"/>
  <c r="N57" i="136"/>
  <c r="M57" i="136"/>
  <c r="Q53" i="136"/>
  <c r="P53" i="136"/>
  <c r="O53" i="136"/>
  <c r="N53" i="136"/>
  <c r="M53" i="136"/>
  <c r="Q49" i="136"/>
  <c r="P49" i="136"/>
  <c r="O49" i="136"/>
  <c r="N49" i="136"/>
  <c r="M49" i="136"/>
  <c r="Q45" i="136"/>
  <c r="P45" i="136"/>
  <c r="O45" i="136"/>
  <c r="N45" i="136"/>
  <c r="M45" i="136"/>
  <c r="Q41" i="136"/>
  <c r="P41" i="136"/>
  <c r="O41" i="136"/>
  <c r="N41" i="136"/>
  <c r="M41" i="136"/>
  <c r="K67" i="136"/>
  <c r="K59" i="136"/>
  <c r="K51" i="136"/>
  <c r="K43" i="136"/>
  <c r="L67" i="136"/>
  <c r="G22" i="140"/>
  <c r="G50" i="140"/>
  <c r="G46" i="140"/>
  <c r="G42" i="140"/>
  <c r="G38" i="140"/>
  <c r="G34" i="140"/>
  <c r="G30" i="140"/>
  <c r="G26" i="140"/>
  <c r="H22" i="140"/>
  <c r="H50" i="140"/>
  <c r="H46" i="140"/>
  <c r="H42" i="140"/>
  <c r="H38" i="140"/>
  <c r="H34" i="140"/>
  <c r="H30" i="140"/>
  <c r="H26" i="140"/>
  <c r="I22" i="140"/>
  <c r="J29" i="139"/>
  <c r="J25" i="139"/>
  <c r="M12" i="138"/>
  <c r="O12" i="138"/>
  <c r="N27" i="138"/>
  <c r="J27" i="138"/>
  <c r="L27" i="138"/>
  <c r="M27" i="138"/>
  <c r="Q18" i="136"/>
  <c r="M18" i="136"/>
  <c r="O18" i="136"/>
  <c r="K18" i="136"/>
  <c r="Q21" i="136"/>
  <c r="M21" i="136"/>
  <c r="O21" i="136"/>
  <c r="K21" i="136"/>
  <c r="P21" i="136"/>
  <c r="M107" i="136"/>
  <c r="O107" i="136"/>
  <c r="L107" i="136"/>
  <c r="K107" i="136"/>
  <c r="N107" i="136"/>
  <c r="M103" i="136"/>
  <c r="O103" i="136"/>
  <c r="L103" i="136"/>
  <c r="K103" i="136"/>
  <c r="N103" i="136"/>
  <c r="M99" i="136"/>
  <c r="O99" i="136"/>
  <c r="L99" i="136"/>
  <c r="K99" i="136"/>
  <c r="N99" i="136"/>
  <c r="O95" i="136"/>
  <c r="L95" i="136"/>
  <c r="K95" i="136"/>
  <c r="N95" i="136"/>
  <c r="M91" i="136"/>
  <c r="O91" i="136"/>
  <c r="L91" i="136"/>
  <c r="K91" i="136"/>
  <c r="N91" i="136"/>
  <c r="M87" i="136"/>
  <c r="O87" i="136"/>
  <c r="L87" i="136"/>
  <c r="K87" i="136"/>
  <c r="N87" i="136"/>
  <c r="M83" i="136"/>
  <c r="O83" i="136"/>
  <c r="L83" i="136"/>
  <c r="K83" i="136"/>
  <c r="N83" i="136"/>
  <c r="M79" i="136"/>
  <c r="O79" i="136"/>
  <c r="L79" i="136"/>
  <c r="K79" i="136"/>
  <c r="N79" i="136"/>
  <c r="I33" i="137"/>
  <c r="I29" i="137"/>
  <c r="I25" i="137"/>
  <c r="I21" i="137"/>
  <c r="I17" i="137"/>
  <c r="I13" i="137"/>
  <c r="I9" i="137"/>
  <c r="J5" i="137"/>
  <c r="J33" i="137"/>
  <c r="J29" i="137"/>
  <c r="J25" i="137"/>
  <c r="J21" i="137"/>
  <c r="J17" i="137"/>
  <c r="J13" i="137"/>
  <c r="J9" i="137"/>
  <c r="K33" i="137"/>
  <c r="K29" i="137"/>
  <c r="K25" i="137"/>
  <c r="K21" i="137"/>
  <c r="K17" i="137"/>
  <c r="K13" i="137"/>
  <c r="K9" i="137"/>
  <c r="L5" i="137"/>
  <c r="L33" i="137"/>
  <c r="L29" i="137"/>
  <c r="L25" i="137"/>
  <c r="L21" i="137"/>
  <c r="L17" i="137"/>
  <c r="L13" i="137"/>
  <c r="L9" i="137"/>
  <c r="G53" i="140"/>
  <c r="G49" i="140"/>
  <c r="G45" i="140"/>
  <c r="G41" i="140"/>
  <c r="G37" i="140"/>
  <c r="G33" i="140"/>
  <c r="G29" i="140"/>
  <c r="G25" i="140"/>
  <c r="H53" i="140"/>
  <c r="H49" i="140"/>
  <c r="H45" i="140"/>
  <c r="H41" i="140"/>
  <c r="H37" i="140"/>
  <c r="H33" i="140"/>
  <c r="H29" i="140"/>
  <c r="H25" i="140"/>
  <c r="E29" i="139"/>
  <c r="E25" i="139"/>
  <c r="J28" i="139"/>
  <c r="K13" i="138"/>
  <c r="K9" i="138"/>
  <c r="L12" i="138"/>
  <c r="M8" i="138"/>
  <c r="M9" i="138"/>
  <c r="O8" i="138"/>
  <c r="K27" i="138"/>
  <c r="Q5" i="136"/>
  <c r="M5" i="136"/>
  <c r="O5" i="136"/>
  <c r="K5" i="136"/>
  <c r="Q8" i="136"/>
  <c r="M8" i="136"/>
  <c r="O8" i="136"/>
  <c r="K8" i="136"/>
  <c r="L8" i="136"/>
  <c r="N6" i="136"/>
  <c r="P5" i="136"/>
  <c r="L21" i="136"/>
  <c r="N21" i="136"/>
  <c r="M38" i="136"/>
  <c r="L38" i="136"/>
  <c r="P38" i="136"/>
  <c r="O38" i="136"/>
  <c r="N38" i="136"/>
  <c r="Q67" i="136"/>
  <c r="P67" i="136"/>
  <c r="O67" i="136"/>
  <c r="N67" i="136"/>
  <c r="Q63" i="136"/>
  <c r="P63" i="136"/>
  <c r="O63" i="136"/>
  <c r="N63" i="136"/>
  <c r="Q59" i="136"/>
  <c r="P59" i="136"/>
  <c r="O59" i="136"/>
  <c r="N59" i="136"/>
  <c r="M59" i="136"/>
  <c r="Q55" i="136"/>
  <c r="P55" i="136"/>
  <c r="O55" i="136"/>
  <c r="N55" i="136"/>
  <c r="M55" i="136"/>
  <c r="Q51" i="136"/>
  <c r="P51" i="136"/>
  <c r="O51" i="136"/>
  <c r="N51" i="136"/>
  <c r="M51" i="136"/>
  <c r="Q47" i="136"/>
  <c r="P47" i="136"/>
  <c r="O47" i="136"/>
  <c r="N47" i="136"/>
  <c r="M47" i="136"/>
  <c r="Q43" i="136"/>
  <c r="P43" i="136"/>
  <c r="O43" i="136"/>
  <c r="N43" i="136"/>
  <c r="M43" i="136"/>
  <c r="Q39" i="136"/>
  <c r="P39" i="136"/>
  <c r="O39" i="136"/>
  <c r="N39" i="136"/>
  <c r="M39" i="136"/>
  <c r="L71" i="136"/>
  <c r="K63" i="136"/>
  <c r="K55" i="136"/>
  <c r="K47" i="136"/>
  <c r="K39" i="136"/>
  <c r="L63" i="136"/>
  <c r="L55" i="136"/>
  <c r="L47" i="136"/>
  <c r="L39" i="136"/>
  <c r="M63" i="136"/>
  <c r="K28" i="138"/>
  <c r="K24" i="138"/>
  <c r="M23" i="138"/>
  <c r="M26" i="138"/>
  <c r="O28" i="138"/>
  <c r="O24" i="138"/>
  <c r="L7" i="136"/>
  <c r="N9" i="136"/>
  <c r="P7" i="136"/>
  <c r="N22" i="136"/>
  <c r="P20" i="136"/>
  <c r="K68" i="136"/>
  <c r="K64" i="136"/>
  <c r="K60" i="136"/>
  <c r="K56" i="136"/>
  <c r="K52" i="136"/>
  <c r="K48" i="136"/>
  <c r="K44" i="136"/>
  <c r="K40" i="136"/>
  <c r="L68" i="136"/>
  <c r="L64" i="136"/>
  <c r="L60" i="136"/>
  <c r="M54" i="136"/>
  <c r="M46" i="136"/>
  <c r="N62" i="136"/>
  <c r="N54" i="136"/>
  <c r="N46" i="136"/>
  <c r="O62" i="136"/>
  <c r="O54" i="136"/>
  <c r="O46" i="136"/>
  <c r="P62" i="136"/>
  <c r="P54" i="136"/>
  <c r="P46" i="136"/>
  <c r="Q62" i="136"/>
  <c r="Q54" i="136"/>
  <c r="Q46" i="136"/>
  <c r="AA20" i="147"/>
  <c r="AA26" i="147"/>
  <c r="AA22" i="147"/>
  <c r="K23" i="138"/>
  <c r="K26" i="138"/>
  <c r="L9" i="136"/>
  <c r="L22" i="136"/>
  <c r="K66" i="136"/>
  <c r="K62" i="136"/>
  <c r="K58" i="136"/>
  <c r="K54" i="136"/>
  <c r="K50" i="136"/>
  <c r="K46" i="136"/>
  <c r="K42" i="136"/>
  <c r="L66" i="136"/>
  <c r="L62" i="136"/>
  <c r="L58" i="136"/>
  <c r="L50" i="136"/>
  <c r="L42" i="136"/>
  <c r="M66" i="136"/>
  <c r="M50" i="136"/>
  <c r="M42" i="136"/>
  <c r="N66" i="136"/>
  <c r="N58" i="136"/>
  <c r="N50" i="136"/>
  <c r="N42" i="136"/>
  <c r="O66" i="136"/>
  <c r="O58" i="136"/>
  <c r="O50" i="136"/>
  <c r="O42" i="136"/>
  <c r="P66" i="136"/>
  <c r="P58" i="136"/>
  <c r="P50" i="136"/>
  <c r="P42" i="136"/>
  <c r="AA28" i="147"/>
  <c r="AA24" i="147"/>
  <c r="M76" i="136"/>
  <c r="AA30" i="147"/>
  <c r="AA25" i="147"/>
  <c r="AA21" i="147"/>
  <c r="AA27" i="147"/>
  <c r="AA23" i="147"/>
  <c r="N35" i="135"/>
  <c r="L35" i="135"/>
  <c r="N36" i="135"/>
  <c r="J35" i="135"/>
  <c r="K35" i="135"/>
  <c r="G6" i="135"/>
  <c r="L6" i="135" s="1"/>
  <c r="G7" i="135"/>
  <c r="M7" i="135" s="1"/>
  <c r="G8" i="135"/>
  <c r="M8" i="135" s="1"/>
  <c r="G9" i="135"/>
  <c r="N9" i="135" s="1"/>
  <c r="G10" i="135"/>
  <c r="L10" i="135" s="1"/>
  <c r="G11" i="135"/>
  <c r="M11" i="135" s="1"/>
  <c r="G12" i="135"/>
  <c r="M12" i="135" s="1"/>
  <c r="G13" i="135"/>
  <c r="G5" i="135"/>
  <c r="M5" i="135" s="1"/>
  <c r="G22" i="134"/>
  <c r="G23" i="134"/>
  <c r="G24" i="134"/>
  <c r="G25" i="134"/>
  <c r="G26" i="134"/>
  <c r="D54" i="133"/>
  <c r="M71" i="136" l="1"/>
  <c r="H8" i="222"/>
  <c r="H10" i="222"/>
  <c r="H11" i="222"/>
  <c r="H7" i="222"/>
  <c r="M13" i="135"/>
  <c r="J13" i="135"/>
  <c r="L13" i="135"/>
  <c r="K13" i="135"/>
  <c r="N13" i="135"/>
  <c r="D36" i="145"/>
  <c r="I38" i="137"/>
  <c r="E54" i="133"/>
  <c r="C54" i="133"/>
  <c r="K8" i="135"/>
  <c r="N8" i="135"/>
  <c r="N12" i="135"/>
  <c r="J12" i="135"/>
  <c r="J8" i="135"/>
  <c r="L8" i="135"/>
  <c r="Q71" i="136"/>
  <c r="K9" i="135"/>
  <c r="L9" i="135"/>
  <c r="P71" i="136"/>
  <c r="B36" i="145"/>
  <c r="N71" i="136"/>
  <c r="K38" i="137"/>
  <c r="J11" i="135"/>
  <c r="K12" i="135"/>
  <c r="L12" i="135"/>
  <c r="N11" i="135"/>
  <c r="J7" i="135"/>
  <c r="N7" i="135"/>
  <c r="M10" i="135"/>
  <c r="C36" i="145"/>
  <c r="M6" i="135"/>
  <c r="J10" i="135"/>
  <c r="J6" i="135"/>
  <c r="K11" i="135"/>
  <c r="K7" i="135"/>
  <c r="M9" i="135"/>
  <c r="N10" i="135"/>
  <c r="N6" i="135"/>
  <c r="L38" i="137"/>
  <c r="M38" i="137"/>
  <c r="J9" i="135"/>
  <c r="K10" i="135"/>
  <c r="K6" i="135"/>
  <c r="L11" i="135"/>
  <c r="L7" i="135"/>
  <c r="G55" i="140"/>
  <c r="K109" i="136"/>
  <c r="O109" i="136"/>
  <c r="M109" i="136"/>
  <c r="N109" i="136"/>
  <c r="J5" i="135"/>
  <c r="N5" i="135"/>
  <c r="L5" i="135"/>
  <c r="K5" i="135"/>
  <c r="C29" i="132"/>
  <c r="D29" i="132"/>
  <c r="E29" i="132"/>
  <c r="C30" i="132"/>
  <c r="D30" i="132"/>
  <c r="E30" i="132"/>
  <c r="C31" i="132"/>
  <c r="D31" i="132"/>
  <c r="E31" i="132"/>
  <c r="C32" i="132"/>
  <c r="D32" i="132"/>
  <c r="E32" i="132"/>
  <c r="C33" i="132"/>
  <c r="D33" i="132"/>
  <c r="E33" i="132"/>
  <c r="C34" i="132"/>
  <c r="D34" i="132"/>
  <c r="E34" i="132"/>
  <c r="C35" i="132"/>
  <c r="D35" i="132"/>
  <c r="E35" i="132"/>
  <c r="C36" i="132"/>
  <c r="D36" i="132"/>
  <c r="D28" i="132"/>
  <c r="E28" i="132"/>
  <c r="J48" i="131"/>
  <c r="K48" i="131"/>
  <c r="L48" i="131"/>
  <c r="M48" i="131"/>
  <c r="I48" i="131"/>
  <c r="N44" i="131"/>
  <c r="N45" i="131"/>
  <c r="N46" i="131"/>
  <c r="N43" i="131"/>
  <c r="C48" i="131"/>
  <c r="D48" i="131"/>
  <c r="E48" i="131"/>
  <c r="G44" i="131"/>
  <c r="G45" i="131"/>
  <c r="G46" i="131"/>
  <c r="G43" i="131"/>
  <c r="J31" i="131"/>
  <c r="K31" i="131"/>
  <c r="L31" i="131"/>
  <c r="M31" i="131"/>
  <c r="I31" i="131"/>
  <c r="N24" i="131"/>
  <c r="N25" i="131"/>
  <c r="N26" i="131"/>
  <c r="N27" i="131"/>
  <c r="N28" i="131"/>
  <c r="N23" i="131"/>
  <c r="C31" i="131"/>
  <c r="D31" i="131"/>
  <c r="E31" i="131"/>
  <c r="F31" i="131"/>
  <c r="G24" i="131"/>
  <c r="G25" i="131"/>
  <c r="G26" i="131"/>
  <c r="G27" i="131"/>
  <c r="G28" i="131"/>
  <c r="G29" i="131"/>
  <c r="G23" i="131"/>
  <c r="I12" i="131"/>
  <c r="C12" i="131"/>
  <c r="D12" i="131"/>
  <c r="E12" i="131"/>
  <c r="F12" i="131"/>
  <c r="B12" i="131"/>
  <c r="G10" i="131"/>
  <c r="G27" i="130"/>
  <c r="F29" i="132" s="1"/>
  <c r="G28" i="130"/>
  <c r="F30" i="132" s="1"/>
  <c r="G29" i="130"/>
  <c r="F31" i="132" s="1"/>
  <c r="G30" i="130"/>
  <c r="F32" i="132" s="1"/>
  <c r="G31" i="130"/>
  <c r="F33" i="132" s="1"/>
  <c r="G32" i="130"/>
  <c r="F34" i="132" s="1"/>
  <c r="G33" i="130"/>
  <c r="F35" i="132" s="1"/>
  <c r="G34" i="130"/>
  <c r="F36" i="132" s="1"/>
  <c r="G26" i="130"/>
  <c r="F28" i="132" s="1"/>
  <c r="G6" i="130"/>
  <c r="F6" i="132" s="1"/>
  <c r="G7" i="130"/>
  <c r="F7" i="132" s="1"/>
  <c r="G8" i="130"/>
  <c r="F8" i="132" s="1"/>
  <c r="G9" i="130"/>
  <c r="F9" i="132" s="1"/>
  <c r="G10" i="130"/>
  <c r="F10" i="132" s="1"/>
  <c r="G11" i="130"/>
  <c r="F11" i="132" s="1"/>
  <c r="G12" i="130"/>
  <c r="F12" i="132" s="1"/>
  <c r="G13" i="130"/>
  <c r="G5" i="130"/>
  <c r="F5" i="132" s="1"/>
  <c r="C28" i="128"/>
  <c r="B28" i="128"/>
  <c r="G23" i="127"/>
  <c r="G40" i="127" s="1"/>
  <c r="G24" i="127"/>
  <c r="G41" i="127" s="1"/>
  <c r="G25" i="127"/>
  <c r="G42" i="127" s="1"/>
  <c r="G26" i="127"/>
  <c r="G43" i="127" s="1"/>
  <c r="G27" i="127"/>
  <c r="G44" i="127" s="1"/>
  <c r="G22" i="127"/>
  <c r="G39" i="127" s="1"/>
  <c r="G6" i="127"/>
  <c r="G7" i="127"/>
  <c r="G8" i="127"/>
  <c r="G9" i="127"/>
  <c r="G10" i="127"/>
  <c r="G5" i="127"/>
  <c r="J44" i="126"/>
  <c r="J45" i="126"/>
  <c r="J46" i="126"/>
  <c r="J43" i="126"/>
  <c r="H48" i="126"/>
  <c r="I48" i="126"/>
  <c r="G48" i="126"/>
  <c r="E44" i="126"/>
  <c r="E45" i="126"/>
  <c r="E46" i="126"/>
  <c r="E43" i="126"/>
  <c r="C48" i="126"/>
  <c r="D48" i="126"/>
  <c r="B48" i="126"/>
  <c r="H31" i="126"/>
  <c r="I31" i="126"/>
  <c r="G31" i="126"/>
  <c r="J24" i="126"/>
  <c r="J25" i="126"/>
  <c r="J26" i="126"/>
  <c r="J27" i="126"/>
  <c r="J28" i="126"/>
  <c r="J29" i="126"/>
  <c r="J23" i="126"/>
  <c r="C31" i="126"/>
  <c r="D31" i="126"/>
  <c r="B31" i="126"/>
  <c r="E24" i="126"/>
  <c r="E25" i="126"/>
  <c r="E26" i="126"/>
  <c r="E27" i="126"/>
  <c r="E28" i="126"/>
  <c r="E29" i="126"/>
  <c r="E23" i="126"/>
  <c r="G12" i="126"/>
  <c r="C12" i="126"/>
  <c r="D12" i="126"/>
  <c r="B12" i="126"/>
  <c r="E6" i="126"/>
  <c r="E7" i="126"/>
  <c r="E5" i="126"/>
  <c r="E27" i="125"/>
  <c r="D29" i="128" s="1"/>
  <c r="E28" i="125"/>
  <c r="E29" i="125"/>
  <c r="D31" i="128" s="1"/>
  <c r="E30" i="125"/>
  <c r="D32" i="128" s="1"/>
  <c r="E31" i="125"/>
  <c r="D33" i="128" s="1"/>
  <c r="E32" i="125"/>
  <c r="E33" i="125"/>
  <c r="D35" i="128" s="1"/>
  <c r="E34" i="125"/>
  <c r="D36" i="128" s="1"/>
  <c r="E26" i="125"/>
  <c r="E6" i="125"/>
  <c r="D6" i="128" s="1"/>
  <c r="E7" i="125"/>
  <c r="D7" i="128" s="1"/>
  <c r="E8" i="125"/>
  <c r="D8" i="128" s="1"/>
  <c r="E9" i="125"/>
  <c r="D9" i="128" s="1"/>
  <c r="E10" i="125"/>
  <c r="D10" i="128" s="1"/>
  <c r="E11" i="125"/>
  <c r="D11" i="128" s="1"/>
  <c r="E12" i="125"/>
  <c r="D12" i="128" s="1"/>
  <c r="E13" i="125"/>
  <c r="D13" i="128" s="1"/>
  <c r="E15" i="125"/>
  <c r="E5" i="125"/>
  <c r="D5" i="128" s="1"/>
  <c r="C76" i="28"/>
  <c r="D76" i="28"/>
  <c r="E76" i="28"/>
  <c r="F76" i="28"/>
  <c r="G76" i="28"/>
  <c r="H76" i="28"/>
  <c r="I76" i="28"/>
  <c r="J76" i="28"/>
  <c r="B76"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70" i="28"/>
  <c r="K71" i="28"/>
  <c r="K72" i="28"/>
  <c r="K73" i="28"/>
  <c r="K74" i="28"/>
  <c r="K43" i="28"/>
  <c r="C38" i="28"/>
  <c r="D38" i="28"/>
  <c r="E38" i="28"/>
  <c r="F38" i="28"/>
  <c r="G38" i="28"/>
  <c r="H38" i="28"/>
  <c r="I38" i="28"/>
  <c r="J38" i="28"/>
  <c r="B38" i="28"/>
  <c r="L6" i="28"/>
  <c r="L7" i="28"/>
  <c r="L8" i="28"/>
  <c r="L9" i="28"/>
  <c r="L10" i="28"/>
  <c r="L11" i="28"/>
  <c r="L12" i="28"/>
  <c r="L13" i="28"/>
  <c r="L14" i="28"/>
  <c r="L15" i="28"/>
  <c r="L16" i="28"/>
  <c r="L17" i="28"/>
  <c r="L19" i="28"/>
  <c r="L20" i="28"/>
  <c r="L21" i="28"/>
  <c r="L22" i="28"/>
  <c r="L23" i="28"/>
  <c r="L24" i="28"/>
  <c r="L25" i="28"/>
  <c r="L26" i="28"/>
  <c r="L27" i="28"/>
  <c r="L28" i="28"/>
  <c r="L29" i="28"/>
  <c r="L30" i="28"/>
  <c r="L31" i="28"/>
  <c r="L32" i="28"/>
  <c r="L33" i="28"/>
  <c r="L34" i="28"/>
  <c r="L35" i="28"/>
  <c r="L36" i="28"/>
  <c r="L5" i="28"/>
  <c r="K6" i="28"/>
  <c r="K7" i="28"/>
  <c r="K8" i="28"/>
  <c r="K9" i="28"/>
  <c r="K10" i="28"/>
  <c r="K11" i="28"/>
  <c r="K12" i="28"/>
  <c r="K13" i="28"/>
  <c r="K14" i="28"/>
  <c r="K15" i="28"/>
  <c r="K16" i="28"/>
  <c r="K17" i="28"/>
  <c r="K19" i="28"/>
  <c r="K20" i="28"/>
  <c r="K21" i="28"/>
  <c r="K22" i="28"/>
  <c r="K23" i="28"/>
  <c r="K24" i="28"/>
  <c r="K25" i="28"/>
  <c r="K26" i="28"/>
  <c r="K27" i="28"/>
  <c r="K28" i="28"/>
  <c r="K29" i="28"/>
  <c r="K30" i="28"/>
  <c r="K31" i="28"/>
  <c r="K32" i="28"/>
  <c r="K33" i="28"/>
  <c r="K34" i="28"/>
  <c r="K35" i="28"/>
  <c r="K36" i="28"/>
  <c r="K5" i="28"/>
  <c r="L18" i="27"/>
  <c r="L19" i="27"/>
  <c r="L20" i="27"/>
  <c r="L21" i="27"/>
  <c r="L22" i="27"/>
  <c r="L17" i="27"/>
  <c r="K18" i="27"/>
  <c r="F7" i="217" s="1"/>
  <c r="K19" i="27"/>
  <c r="F8" i="217" s="1"/>
  <c r="K20" i="27"/>
  <c r="F9" i="217" s="1"/>
  <c r="K21" i="27"/>
  <c r="F10" i="217" s="1"/>
  <c r="K22" i="27"/>
  <c r="F11" i="217" s="1"/>
  <c r="K17" i="27"/>
  <c r="F6" i="217" s="1"/>
  <c r="L6" i="27"/>
  <c r="L7" i="27"/>
  <c r="L8" i="27"/>
  <c r="L9" i="27"/>
  <c r="C10" i="173"/>
  <c r="L5" i="27"/>
  <c r="K6" i="27"/>
  <c r="E7" i="217" s="1"/>
  <c r="K7" i="27"/>
  <c r="E8" i="217" s="1"/>
  <c r="K8" i="27"/>
  <c r="E9" i="217" s="1"/>
  <c r="K9" i="27"/>
  <c r="E10" i="217" s="1"/>
  <c r="K10" i="27"/>
  <c r="K5" i="27"/>
  <c r="E6" i="217" s="1"/>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C47" i="26"/>
  <c r="C48" i="26"/>
  <c r="C49" i="26"/>
  <c r="C50" i="26"/>
  <c r="C51" i="26"/>
  <c r="C52" i="26"/>
  <c r="C53" i="26"/>
  <c r="C54" i="26"/>
  <c r="C55" i="26"/>
  <c r="C56" i="26"/>
  <c r="C57" i="26"/>
  <c r="C58" i="26"/>
  <c r="C59" i="26"/>
  <c r="C60" i="26"/>
  <c r="C61" i="26"/>
  <c r="C62" i="26"/>
  <c r="C63" i="26"/>
  <c r="C64" i="26"/>
  <c r="C66" i="26"/>
  <c r="C67" i="26"/>
  <c r="C69" i="26"/>
  <c r="C70" i="26"/>
  <c r="C71" i="26"/>
  <c r="C72" i="26"/>
  <c r="C73" i="26"/>
  <c r="C74" i="26"/>
  <c r="C75" i="26"/>
  <c r="C76" i="26"/>
  <c r="C77" i="26"/>
  <c r="C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J38" i="26"/>
  <c r="D79" i="26" s="1"/>
  <c r="H38" i="26"/>
  <c r="G38" i="26"/>
  <c r="F38" i="26"/>
  <c r="D38" i="26"/>
  <c r="C38" i="26"/>
  <c r="H53" i="79"/>
  <c r="H54" i="79"/>
  <c r="F53" i="79"/>
  <c r="F54" i="79"/>
  <c r="F55" i="79"/>
  <c r="C37" i="79"/>
  <c r="G37" i="79" s="1"/>
  <c r="G6" i="217" l="1"/>
  <c r="H6" i="217"/>
  <c r="C6" i="173"/>
  <c r="G9" i="217"/>
  <c r="D6" i="173"/>
  <c r="H9" i="217"/>
  <c r="L26" i="125"/>
  <c r="D28" i="128"/>
  <c r="C5" i="173"/>
  <c r="G8" i="217"/>
  <c r="D5" i="173"/>
  <c r="H8" i="217"/>
  <c r="H12" i="222"/>
  <c r="C4" i="173"/>
  <c r="G7" i="217"/>
  <c r="D4" i="173"/>
  <c r="H7" i="217"/>
  <c r="C7" i="173"/>
  <c r="G10" i="217"/>
  <c r="D7" i="173"/>
  <c r="H10" i="217"/>
  <c r="F13" i="132"/>
  <c r="E11" i="217"/>
  <c r="G11" i="217"/>
  <c r="D8" i="173"/>
  <c r="H11" i="217"/>
  <c r="L32" i="125"/>
  <c r="D34" i="128"/>
  <c r="L28" i="125"/>
  <c r="D30" i="128"/>
  <c r="P29" i="130"/>
  <c r="G48" i="131"/>
  <c r="N31" i="131"/>
  <c r="P29" i="131"/>
  <c r="G31" i="131"/>
  <c r="P23" i="131"/>
  <c r="D15" i="128"/>
  <c r="I15" i="125"/>
  <c r="D32" i="80"/>
  <c r="H32" i="80" s="1"/>
  <c r="D16" i="80"/>
  <c r="H16" i="80" s="1"/>
  <c r="D28" i="80"/>
  <c r="H28" i="80" s="1"/>
  <c r="D12" i="80"/>
  <c r="H12" i="80" s="1"/>
  <c r="D24" i="80"/>
  <c r="H24" i="80" s="1"/>
  <c r="D8" i="80"/>
  <c r="H8" i="80" s="1"/>
  <c r="D4" i="80"/>
  <c r="H4" i="80" s="1"/>
  <c r="D20" i="80"/>
  <c r="H20" i="80" s="1"/>
  <c r="B37" i="80"/>
  <c r="F37" i="80" s="1"/>
  <c r="K13" i="130"/>
  <c r="K12" i="130"/>
  <c r="D35" i="80"/>
  <c r="H35" i="80" s="1"/>
  <c r="D31" i="80"/>
  <c r="H31" i="80" s="1"/>
  <c r="D27" i="80"/>
  <c r="H27" i="80" s="1"/>
  <c r="D23" i="80"/>
  <c r="H23" i="80" s="1"/>
  <c r="D19" i="80"/>
  <c r="H19" i="80" s="1"/>
  <c r="D15" i="80"/>
  <c r="H15" i="80" s="1"/>
  <c r="D11" i="80"/>
  <c r="H11" i="80" s="1"/>
  <c r="D7" i="80"/>
  <c r="H7" i="80" s="1"/>
  <c r="K8" i="130"/>
  <c r="D34" i="80"/>
  <c r="H34" i="80" s="1"/>
  <c r="D30" i="80"/>
  <c r="H30" i="80" s="1"/>
  <c r="D26" i="80"/>
  <c r="H26" i="80" s="1"/>
  <c r="D22" i="80"/>
  <c r="H22" i="80" s="1"/>
  <c r="D18" i="80"/>
  <c r="H18" i="80" s="1"/>
  <c r="D14" i="80"/>
  <c r="H14" i="80" s="1"/>
  <c r="D10" i="80"/>
  <c r="H10" i="80" s="1"/>
  <c r="D6" i="80"/>
  <c r="H6" i="80" s="1"/>
  <c r="K11" i="130"/>
  <c r="K7" i="130"/>
  <c r="D33" i="80"/>
  <c r="H33" i="80" s="1"/>
  <c r="D29" i="80"/>
  <c r="H29" i="80" s="1"/>
  <c r="D25" i="80"/>
  <c r="H25" i="80" s="1"/>
  <c r="D21" i="80"/>
  <c r="H21" i="80" s="1"/>
  <c r="D17" i="80"/>
  <c r="H17" i="80" s="1"/>
  <c r="D13" i="80"/>
  <c r="H13" i="80" s="1"/>
  <c r="D9" i="80"/>
  <c r="H9" i="80" s="1"/>
  <c r="D5" i="80"/>
  <c r="H5" i="80" s="1"/>
  <c r="L44" i="126"/>
  <c r="P27" i="131"/>
  <c r="N48" i="131"/>
  <c r="K10" i="131"/>
  <c r="P24" i="131"/>
  <c r="P26" i="130"/>
  <c r="P28" i="130"/>
  <c r="P33" i="130"/>
  <c r="P34" i="130"/>
  <c r="P32" i="130"/>
  <c r="P30" i="130"/>
  <c r="L45" i="126"/>
  <c r="L43" i="126"/>
  <c r="L27" i="126"/>
  <c r="L26" i="126"/>
  <c r="E31" i="126"/>
  <c r="L28" i="126"/>
  <c r="L24" i="126"/>
  <c r="L46" i="126"/>
  <c r="J31" i="126"/>
  <c r="I7" i="126"/>
  <c r="I5" i="126"/>
  <c r="E12" i="126"/>
  <c r="I5" i="125"/>
  <c r="I7" i="125"/>
  <c r="L33" i="125"/>
  <c r="L31" i="125"/>
  <c r="I6" i="125"/>
  <c r="L29" i="125"/>
  <c r="I11" i="125"/>
  <c r="L34" i="125"/>
  <c r="L27" i="125"/>
  <c r="I10" i="125"/>
  <c r="K76" i="28"/>
  <c r="L76" i="28"/>
  <c r="K38" i="28"/>
  <c r="L38" i="28"/>
  <c r="C79" i="26"/>
  <c r="B79" i="26"/>
  <c r="L30" i="125"/>
  <c r="I6" i="126"/>
  <c r="L23" i="126"/>
  <c r="K5" i="130"/>
  <c r="P31" i="130"/>
  <c r="P27" i="130"/>
  <c r="G12" i="131"/>
  <c r="P26" i="131"/>
  <c r="P44" i="131"/>
  <c r="I13" i="125"/>
  <c r="I9" i="125"/>
  <c r="L29" i="126"/>
  <c r="L25" i="126"/>
  <c r="K15" i="130"/>
  <c r="K10" i="130"/>
  <c r="K6" i="130"/>
  <c r="P28" i="131"/>
  <c r="P43" i="131"/>
  <c r="D37" i="79"/>
  <c r="H37" i="79" s="1"/>
  <c r="I12" i="125"/>
  <c r="I8" i="125"/>
  <c r="K9" i="130"/>
  <c r="K5" i="131"/>
  <c r="P25" i="131"/>
  <c r="P46" i="131"/>
  <c r="P45" i="131"/>
  <c r="J48" i="126"/>
  <c r="E48" i="126"/>
  <c r="C39" i="99"/>
  <c r="D39" i="99"/>
  <c r="E39" i="99"/>
  <c r="F39" i="99"/>
  <c r="G39" i="99"/>
  <c r="H39" i="99"/>
  <c r="I39" i="99"/>
  <c r="J39" i="99"/>
  <c r="L7" i="99"/>
  <c r="L8" i="99"/>
  <c r="N8" i="99" s="1"/>
  <c r="L9" i="99"/>
  <c r="N9" i="99" s="1"/>
  <c r="L10" i="99"/>
  <c r="N10" i="99" s="1"/>
  <c r="L11" i="99"/>
  <c r="N11" i="99" s="1"/>
  <c r="L12" i="99"/>
  <c r="N12" i="99" s="1"/>
  <c r="L13" i="99"/>
  <c r="N13" i="99" s="1"/>
  <c r="L14" i="99"/>
  <c r="N14" i="99" s="1"/>
  <c r="L15" i="99"/>
  <c r="N15" i="99" s="1"/>
  <c r="L16" i="99"/>
  <c r="N16" i="99" s="1"/>
  <c r="L17" i="99"/>
  <c r="N17" i="99" s="1"/>
  <c r="L18" i="99"/>
  <c r="N18" i="99" s="1"/>
  <c r="L19" i="99"/>
  <c r="N19" i="99" s="1"/>
  <c r="L21" i="99"/>
  <c r="N21" i="99" s="1"/>
  <c r="L22" i="99"/>
  <c r="N22" i="99" s="1"/>
  <c r="L23" i="99"/>
  <c r="N23" i="99" s="1"/>
  <c r="L24" i="99"/>
  <c r="N24" i="99" s="1"/>
  <c r="L25" i="99"/>
  <c r="N25" i="99" s="1"/>
  <c r="L26" i="99"/>
  <c r="N26" i="99" s="1"/>
  <c r="L27" i="99"/>
  <c r="N27" i="99" s="1"/>
  <c r="L28" i="99"/>
  <c r="N28" i="99" s="1"/>
  <c r="L29" i="99"/>
  <c r="N29" i="99" s="1"/>
  <c r="L30" i="99"/>
  <c r="N30" i="99" s="1"/>
  <c r="L31" i="99"/>
  <c r="N31" i="99" s="1"/>
  <c r="L32" i="99"/>
  <c r="N32" i="99" s="1"/>
  <c r="L33" i="99"/>
  <c r="N33" i="99" s="1"/>
  <c r="L34" i="99"/>
  <c r="N34" i="99" s="1"/>
  <c r="L35" i="99"/>
  <c r="N35" i="99" s="1"/>
  <c r="L36" i="99"/>
  <c r="N36" i="99" s="1"/>
  <c r="L37" i="99"/>
  <c r="N37" i="99" s="1"/>
  <c r="K7" i="99"/>
  <c r="K8" i="99"/>
  <c r="K9" i="99"/>
  <c r="K10" i="99"/>
  <c r="K11" i="99"/>
  <c r="K12" i="99"/>
  <c r="K13" i="99"/>
  <c r="K14" i="99"/>
  <c r="K15" i="99"/>
  <c r="K16" i="99"/>
  <c r="K17" i="99"/>
  <c r="K18" i="99"/>
  <c r="K19" i="99"/>
  <c r="K21" i="99"/>
  <c r="K22" i="99"/>
  <c r="K23" i="99"/>
  <c r="K24" i="99"/>
  <c r="K25" i="99"/>
  <c r="K26" i="99"/>
  <c r="K27" i="99"/>
  <c r="K28" i="99"/>
  <c r="K29" i="99"/>
  <c r="K30" i="99"/>
  <c r="K31" i="99"/>
  <c r="K32" i="99"/>
  <c r="K33" i="99"/>
  <c r="K34" i="99"/>
  <c r="K35" i="99"/>
  <c r="K36" i="99"/>
  <c r="K37" i="99"/>
  <c r="C39" i="13"/>
  <c r="D39" i="13"/>
  <c r="E39" i="13"/>
  <c r="F39" i="13"/>
  <c r="G39" i="13"/>
  <c r="H39" i="13"/>
  <c r="I39" i="13"/>
  <c r="J39" i="13"/>
  <c r="K39" i="13"/>
  <c r="C61" i="11"/>
  <c r="D61" i="11"/>
  <c r="E61" i="11"/>
  <c r="F61" i="11"/>
  <c r="G61" i="11"/>
  <c r="H61" i="11"/>
  <c r="J61" i="11"/>
  <c r="K61" i="11"/>
  <c r="L61" i="11"/>
  <c r="M61" i="11"/>
  <c r="N61" i="11"/>
  <c r="P5" i="11"/>
  <c r="P6" i="11"/>
  <c r="P7" i="11"/>
  <c r="P8" i="11"/>
  <c r="P9" i="11"/>
  <c r="P10" i="11"/>
  <c r="P11" i="11"/>
  <c r="P12" i="11"/>
  <c r="P13" i="11"/>
  <c r="S26" i="10"/>
  <c r="K5" i="123"/>
  <c r="K6" i="123"/>
  <c r="K7" i="123"/>
  <c r="K8" i="123"/>
  <c r="K11" i="123"/>
  <c r="K4" i="123"/>
  <c r="C53" i="8"/>
  <c r="D53" i="8"/>
  <c r="E53" i="8"/>
  <c r="F53" i="8"/>
  <c r="G53" i="8"/>
  <c r="H53" i="8"/>
  <c r="I53" i="8"/>
  <c r="J53" i="8"/>
  <c r="K53" i="8"/>
  <c r="L53" i="8"/>
  <c r="M53" i="8"/>
  <c r="N53" i="8"/>
  <c r="O53" i="8"/>
  <c r="P53" i="8"/>
  <c r="Q53" i="8"/>
  <c r="R53" i="8"/>
  <c r="S53" i="8"/>
  <c r="T53" i="8"/>
  <c r="U53" i="8"/>
  <c r="B53"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 i="8"/>
  <c r="V6" i="8"/>
  <c r="V7" i="8"/>
  <c r="V8" i="8"/>
  <c r="V4" i="8"/>
  <c r="G5" i="120"/>
  <c r="G6" i="120"/>
  <c r="G7" i="120"/>
  <c r="G9" i="120"/>
  <c r="E53" i="120"/>
  <c r="D53" i="120"/>
  <c r="B53" i="120"/>
  <c r="H5" i="120"/>
  <c r="H6" i="120"/>
  <c r="H7" i="120"/>
  <c r="H8" i="120"/>
  <c r="H9" i="120"/>
  <c r="H4" i="120"/>
  <c r="G8" i="120"/>
  <c r="G4" i="120"/>
  <c r="G37" i="122"/>
  <c r="G38" i="122"/>
  <c r="G39" i="122"/>
  <c r="G40" i="122"/>
  <c r="G41" i="122"/>
  <c r="G36" i="122"/>
  <c r="G21" i="122"/>
  <c r="G22" i="122"/>
  <c r="G23" i="122"/>
  <c r="G24" i="122"/>
  <c r="G27" i="122"/>
  <c r="G20" i="122"/>
  <c r="G5" i="122"/>
  <c r="G6" i="122"/>
  <c r="G7" i="122"/>
  <c r="G8" i="122"/>
  <c r="G9" i="122"/>
  <c r="G4" i="122"/>
  <c r="B7" i="216" l="1"/>
  <c r="C7" i="216" s="1"/>
  <c r="V12" i="224"/>
  <c r="B8" i="216"/>
  <c r="C8" i="216" s="1"/>
  <c r="V13" i="224"/>
  <c r="B11" i="216"/>
  <c r="C11" i="216" s="1"/>
  <c r="V16" i="224"/>
  <c r="B10" i="216"/>
  <c r="C10" i="216" s="1"/>
  <c r="V15" i="224"/>
  <c r="B9" i="216"/>
  <c r="C9" i="216" s="1"/>
  <c r="V14" i="224"/>
  <c r="P31" i="131"/>
  <c r="D37" i="80"/>
  <c r="H37" i="80" s="1"/>
  <c r="N7" i="99"/>
  <c r="L39" i="99"/>
  <c r="N39" i="99" s="1"/>
  <c r="H53" i="120"/>
  <c r="G53" i="120"/>
  <c r="L48" i="126"/>
  <c r="I12" i="126"/>
  <c r="K39" i="99"/>
  <c r="L39" i="13"/>
  <c r="M39" i="13"/>
  <c r="O39" i="13" s="1"/>
  <c r="V53" i="8"/>
  <c r="K12" i="131"/>
  <c r="L31" i="126"/>
  <c r="P48" i="131"/>
  <c r="E56" i="5"/>
  <c r="E97" i="5" s="1"/>
  <c r="F56" i="5"/>
  <c r="F97" i="5" s="1"/>
  <c r="D56" i="5"/>
  <c r="D97" i="5" s="1"/>
  <c r="B23" i="5"/>
  <c r="J37" i="94"/>
  <c r="K5" i="94"/>
  <c r="K6" i="94"/>
  <c r="K7" i="94"/>
  <c r="K8" i="94"/>
  <c r="K9" i="94"/>
  <c r="K10" i="94"/>
  <c r="K11" i="94"/>
  <c r="K12" i="94"/>
  <c r="K13" i="94"/>
  <c r="K14" i="94"/>
  <c r="K15" i="94"/>
  <c r="K16" i="94"/>
  <c r="K17" i="94"/>
  <c r="K18" i="94"/>
  <c r="K19" i="94"/>
  <c r="K20" i="94"/>
  <c r="K21" i="94"/>
  <c r="K22" i="94"/>
  <c r="K23" i="94"/>
  <c r="K24" i="94"/>
  <c r="K25" i="94"/>
  <c r="K26" i="94"/>
  <c r="K27" i="94"/>
  <c r="K28" i="94"/>
  <c r="K29" i="94"/>
  <c r="K30" i="94"/>
  <c r="K31" i="94"/>
  <c r="K32" i="94"/>
  <c r="K33" i="94"/>
  <c r="K34" i="94"/>
  <c r="K35" i="94"/>
  <c r="K4" i="94"/>
  <c r="H5" i="94"/>
  <c r="H6" i="94"/>
  <c r="H7" i="94"/>
  <c r="H8" i="94"/>
  <c r="H9" i="94"/>
  <c r="H10" i="94"/>
  <c r="H11" i="94"/>
  <c r="H12" i="94"/>
  <c r="H13" i="94"/>
  <c r="H14" i="94"/>
  <c r="H15" i="94"/>
  <c r="H16" i="94"/>
  <c r="H17" i="94"/>
  <c r="H18" i="94"/>
  <c r="H19" i="94"/>
  <c r="H20" i="94"/>
  <c r="H21" i="94"/>
  <c r="H22" i="94"/>
  <c r="H23" i="94"/>
  <c r="H24" i="94"/>
  <c r="H25" i="94"/>
  <c r="H26" i="94"/>
  <c r="H27" i="94"/>
  <c r="H28" i="94"/>
  <c r="H29" i="94"/>
  <c r="H30" i="94"/>
  <c r="H31" i="94"/>
  <c r="H32" i="94"/>
  <c r="H33" i="94"/>
  <c r="H34" i="94"/>
  <c r="H35" i="94"/>
  <c r="H4" i="94"/>
  <c r="G37" i="94"/>
  <c r="E5" i="94"/>
  <c r="E6" i="94"/>
  <c r="E7" i="94"/>
  <c r="E8" i="94"/>
  <c r="E9" i="94"/>
  <c r="E10" i="94"/>
  <c r="E11" i="94"/>
  <c r="E12" i="94"/>
  <c r="E13" i="94"/>
  <c r="E14" i="94"/>
  <c r="E15" i="94"/>
  <c r="E16" i="94"/>
  <c r="E17" i="94"/>
  <c r="E18" i="94"/>
  <c r="E19" i="94"/>
  <c r="E20" i="94"/>
  <c r="E21" i="94"/>
  <c r="E22" i="94"/>
  <c r="E23" i="94"/>
  <c r="E24" i="94"/>
  <c r="E25" i="94"/>
  <c r="E26" i="94"/>
  <c r="E27" i="94"/>
  <c r="E28" i="94"/>
  <c r="E29" i="94"/>
  <c r="E30" i="94"/>
  <c r="E31" i="94"/>
  <c r="E32" i="94"/>
  <c r="E33" i="94"/>
  <c r="E34" i="94"/>
  <c r="E35" i="94"/>
  <c r="E4" i="9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27" i="4"/>
  <c r="G60"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27" i="4"/>
  <c r="D60" i="4"/>
  <c r="B60" i="4"/>
  <c r="H6" i="4"/>
  <c r="H7" i="4"/>
  <c r="H8" i="4"/>
  <c r="H9" i="4"/>
  <c r="H10" i="4"/>
  <c r="H11" i="4"/>
  <c r="H12" i="4"/>
  <c r="H13" i="4"/>
  <c r="H5" i="4"/>
  <c r="E6" i="4"/>
  <c r="E7" i="4"/>
  <c r="E8" i="4"/>
  <c r="E9" i="4"/>
  <c r="E10" i="4"/>
  <c r="E11" i="4"/>
  <c r="E12" i="4"/>
  <c r="E5" i="4"/>
  <c r="I4" i="5"/>
  <c r="J5" i="5"/>
  <c r="J6" i="5"/>
  <c r="I7" i="5"/>
  <c r="J8" i="5"/>
  <c r="J9" i="5"/>
  <c r="J10" i="5"/>
  <c r="I11" i="5"/>
  <c r="I12" i="5"/>
  <c r="J14" i="5"/>
  <c r="B64" i="5" l="1"/>
  <c r="H23" i="5"/>
  <c r="E60" i="4"/>
  <c r="I23" i="5"/>
  <c r="J23" i="5"/>
  <c r="J48" i="5"/>
  <c r="J40" i="5"/>
  <c r="J32" i="5"/>
  <c r="J28" i="5"/>
  <c r="J35" i="5"/>
  <c r="J27" i="5"/>
  <c r="H47" i="5"/>
  <c r="J47" i="5"/>
  <c r="J50" i="5"/>
  <c r="J46" i="5"/>
  <c r="J42" i="5"/>
  <c r="J38" i="5"/>
  <c r="J34" i="5"/>
  <c r="J30" i="5"/>
  <c r="J26" i="5"/>
  <c r="H39" i="5"/>
  <c r="I39" i="5"/>
  <c r="J39" i="5"/>
  <c r="J52" i="5"/>
  <c r="J44" i="5"/>
  <c r="J36" i="5"/>
  <c r="J24" i="5"/>
  <c r="J51" i="5"/>
  <c r="J43" i="5"/>
  <c r="I47" i="5"/>
  <c r="J53" i="5"/>
  <c r="I49" i="5"/>
  <c r="J45" i="5"/>
  <c r="J41" i="5"/>
  <c r="J37" i="5"/>
  <c r="J33" i="5"/>
  <c r="J29" i="5"/>
  <c r="J25" i="5"/>
  <c r="H31" i="5"/>
  <c r="I31" i="5"/>
  <c r="J31" i="5"/>
  <c r="J49" i="5"/>
  <c r="H49" i="5"/>
  <c r="H41" i="5"/>
  <c r="H33" i="5"/>
  <c r="H25" i="5"/>
  <c r="I41" i="5"/>
  <c r="I33" i="5"/>
  <c r="I25" i="5"/>
  <c r="H53" i="5"/>
  <c r="H45" i="5"/>
  <c r="H37" i="5"/>
  <c r="H29" i="5"/>
  <c r="I45" i="5"/>
  <c r="I37" i="5"/>
  <c r="I29" i="5"/>
  <c r="H51" i="5"/>
  <c r="H43" i="5"/>
  <c r="H35" i="5"/>
  <c r="H27" i="5"/>
  <c r="I51" i="5"/>
  <c r="I43" i="5"/>
  <c r="I35" i="5"/>
  <c r="I27" i="5"/>
  <c r="H37" i="94"/>
  <c r="H60" i="4"/>
  <c r="H52" i="5"/>
  <c r="H48" i="5"/>
  <c r="H44" i="5"/>
  <c r="H40" i="5"/>
  <c r="H36" i="5"/>
  <c r="H32" i="5"/>
  <c r="H28" i="5"/>
  <c r="I52" i="5"/>
  <c r="I48" i="5"/>
  <c r="I44" i="5"/>
  <c r="I40" i="5"/>
  <c r="I36" i="5"/>
  <c r="I32" i="5"/>
  <c r="I28" i="5"/>
  <c r="I24" i="5"/>
  <c r="H54" i="5"/>
  <c r="H50" i="5"/>
  <c r="H46" i="5"/>
  <c r="H42" i="5"/>
  <c r="H38" i="5"/>
  <c r="H34" i="5"/>
  <c r="H30" i="5"/>
  <c r="H26" i="5"/>
  <c r="I50" i="5"/>
  <c r="I46" i="5"/>
  <c r="I42" i="5"/>
  <c r="I38" i="5"/>
  <c r="I34" i="5"/>
  <c r="I30" i="5"/>
  <c r="I26" i="5"/>
  <c r="B56" i="5"/>
  <c r="I10" i="5"/>
  <c r="I6" i="5"/>
  <c r="H12" i="5"/>
  <c r="J12" i="5"/>
  <c r="H11" i="5"/>
  <c r="H7" i="5"/>
  <c r="I14" i="5"/>
  <c r="I9" i="5"/>
  <c r="I5" i="5"/>
  <c r="J11" i="5"/>
  <c r="J7" i="5"/>
  <c r="H4" i="5"/>
  <c r="H10" i="5"/>
  <c r="H6" i="5"/>
  <c r="I8" i="5"/>
  <c r="J4" i="5"/>
  <c r="H8" i="5"/>
  <c r="H14" i="5"/>
  <c r="H9" i="5"/>
  <c r="H5" i="5"/>
  <c r="K37" i="94"/>
  <c r="M91" i="137"/>
  <c r="M99" i="137"/>
  <c r="M107" i="137"/>
  <c r="L83" i="137"/>
  <c r="K91" i="137"/>
  <c r="K99" i="137"/>
  <c r="K107" i="137"/>
  <c r="J86" i="137"/>
  <c r="J102" i="137"/>
  <c r="J83" i="137"/>
  <c r="I89" i="137"/>
  <c r="I91" i="137"/>
  <c r="I97" i="137"/>
  <c r="I99" i="137"/>
  <c r="I107" i="137"/>
  <c r="K84" i="137"/>
  <c r="L85" i="137"/>
  <c r="M86" i="137"/>
  <c r="J87" i="137"/>
  <c r="K88" i="137"/>
  <c r="L89" i="137"/>
  <c r="M90" i="137"/>
  <c r="J91" i="137"/>
  <c r="K92" i="137"/>
  <c r="L93" i="137"/>
  <c r="M94" i="137"/>
  <c r="J95" i="137"/>
  <c r="K96" i="137"/>
  <c r="L97" i="137"/>
  <c r="M98" i="137"/>
  <c r="J99" i="137"/>
  <c r="K100" i="137"/>
  <c r="L101" i="137"/>
  <c r="M102" i="137"/>
  <c r="J103" i="137"/>
  <c r="K104" i="137"/>
  <c r="L105" i="137"/>
  <c r="M106" i="137"/>
  <c r="J107" i="137"/>
  <c r="K108" i="137"/>
  <c r="L109" i="137"/>
  <c r="M110" i="137"/>
  <c r="J111" i="137"/>
  <c r="K112" i="137"/>
  <c r="L113" i="137"/>
  <c r="M114" i="137"/>
  <c r="K83" i="137"/>
  <c r="C77" i="137"/>
  <c r="D77" i="137"/>
  <c r="E77" i="137"/>
  <c r="F77" i="137"/>
  <c r="B77" i="137"/>
  <c r="G77" i="137"/>
  <c r="K77" i="137" l="1"/>
  <c r="H56" i="5"/>
  <c r="B97" i="5"/>
  <c r="I77" i="137"/>
  <c r="J77" i="137"/>
  <c r="M77" i="137"/>
  <c r="L77" i="137"/>
  <c r="J56" i="5"/>
  <c r="I56" i="5"/>
  <c r="I109" i="137"/>
  <c r="I101" i="137"/>
  <c r="I93" i="137"/>
  <c r="I85" i="137"/>
  <c r="J106" i="137"/>
  <c r="J90" i="137"/>
  <c r="K109" i="137"/>
  <c r="K101" i="137"/>
  <c r="K93" i="137"/>
  <c r="K85" i="137"/>
  <c r="M109" i="137"/>
  <c r="M101" i="137"/>
  <c r="M93" i="137"/>
  <c r="M85" i="137"/>
  <c r="I113" i="137"/>
  <c r="I105" i="137"/>
  <c r="J114" i="137"/>
  <c r="J98" i="137"/>
  <c r="K113" i="137"/>
  <c r="K105" i="137"/>
  <c r="K97" i="137"/>
  <c r="K89" i="137"/>
  <c r="M113" i="137"/>
  <c r="M105" i="137"/>
  <c r="M97" i="137"/>
  <c r="M89" i="137"/>
  <c r="I111" i="137"/>
  <c r="I103" i="137"/>
  <c r="I95" i="137"/>
  <c r="I87" i="137"/>
  <c r="J110" i="137"/>
  <c r="J94" i="137"/>
  <c r="K111" i="137"/>
  <c r="K103" i="137"/>
  <c r="K95" i="137"/>
  <c r="K87" i="137"/>
  <c r="M111" i="137"/>
  <c r="M103" i="137"/>
  <c r="M95" i="137"/>
  <c r="M87" i="137"/>
  <c r="L84" i="137"/>
  <c r="L112" i="137"/>
  <c r="L108" i="137"/>
  <c r="L104" i="137"/>
  <c r="L100" i="137"/>
  <c r="L96" i="137"/>
  <c r="L92" i="137"/>
  <c r="L88" i="137"/>
  <c r="I83" i="137"/>
  <c r="I112" i="137"/>
  <c r="I108" i="137"/>
  <c r="I104" i="137"/>
  <c r="I100" i="137"/>
  <c r="I96" i="137"/>
  <c r="I92" i="137"/>
  <c r="I88" i="137"/>
  <c r="I84" i="137"/>
  <c r="J113" i="137"/>
  <c r="J109" i="137"/>
  <c r="J105" i="137"/>
  <c r="J101" i="137"/>
  <c r="J97" i="137"/>
  <c r="J93" i="137"/>
  <c r="J89" i="137"/>
  <c r="J85" i="137"/>
  <c r="K114" i="137"/>
  <c r="K110" i="137"/>
  <c r="K106" i="137"/>
  <c r="K102" i="137"/>
  <c r="K98" i="137"/>
  <c r="K94" i="137"/>
  <c r="K90" i="137"/>
  <c r="K86" i="137"/>
  <c r="L111" i="137"/>
  <c r="L107" i="137"/>
  <c r="L103" i="137"/>
  <c r="L99" i="137"/>
  <c r="L95" i="137"/>
  <c r="L91" i="137"/>
  <c r="L87" i="137"/>
  <c r="M83" i="137"/>
  <c r="M112" i="137"/>
  <c r="M108" i="137"/>
  <c r="M104" i="137"/>
  <c r="M100" i="137"/>
  <c r="M96" i="137"/>
  <c r="M92" i="137"/>
  <c r="M88" i="137"/>
  <c r="M84" i="137"/>
  <c r="I116" i="137"/>
  <c r="J112" i="137"/>
  <c r="J108" i="137"/>
  <c r="J104" i="137"/>
  <c r="J100" i="137"/>
  <c r="J96" i="137"/>
  <c r="J92" i="137"/>
  <c r="J88" i="137"/>
  <c r="J84" i="137"/>
  <c r="L114" i="137"/>
  <c r="L110" i="137"/>
  <c r="L106" i="137"/>
  <c r="L102" i="137"/>
  <c r="L98" i="137"/>
  <c r="L94" i="137"/>
  <c r="L90" i="137"/>
  <c r="L86" i="137"/>
  <c r="I114" i="137"/>
  <c r="I110" i="137"/>
  <c r="I106" i="137"/>
  <c r="I102" i="137"/>
  <c r="I98" i="137"/>
  <c r="I94" i="137"/>
  <c r="I90" i="137"/>
  <c r="I86" i="137"/>
  <c r="J116" i="137" l="1"/>
  <c r="M116" i="137"/>
  <c r="K116" i="137"/>
  <c r="L116"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700-000001000000}">
      <text>
        <r>
          <rPr>
            <sz val="10"/>
            <color indexed="18"/>
            <rFont val="Tahoma"/>
            <family val="2"/>
          </rPr>
          <t>Source [qryT01a]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000-000001000000}">
      <text>
        <r>
          <rPr>
            <sz val="10"/>
            <color indexed="18"/>
            <rFont val="Tahoma"/>
            <family val="2"/>
          </rPr>
          <t>Source [qryT09_2]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100-000001000000}">
      <text>
        <r>
          <rPr>
            <sz val="10"/>
            <color indexed="18"/>
            <rFont val="Tahoma"/>
            <family val="2"/>
          </rPr>
          <t>Source [qryT09a]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200-000001000000}">
      <text>
        <r>
          <rPr>
            <sz val="10"/>
            <color indexed="18"/>
            <rFont val="Tahoma"/>
            <family val="2"/>
          </rPr>
          <t>Source [qryT09b]</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300-000001000000}">
      <text>
        <r>
          <rPr>
            <sz val="10"/>
            <color indexed="18"/>
            <rFont val="Tahoma"/>
            <family val="2"/>
          </rPr>
          <t>Source [qryT11a]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400-000001000000}">
      <text>
        <r>
          <rPr>
            <sz val="10"/>
            <color indexed="18"/>
            <rFont val="Tahoma"/>
            <family val="2"/>
          </rPr>
          <t>Source [qryT12]</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500-000001000000}">
      <text>
        <r>
          <rPr>
            <sz val="10"/>
            <color indexed="18"/>
            <rFont val="Tahoma"/>
            <family val="2"/>
          </rPr>
          <t>Source [qryT13a]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600-000001000000}">
      <text>
        <r>
          <rPr>
            <sz val="10"/>
            <color indexed="18"/>
            <rFont val="Tahoma"/>
            <family val="2"/>
          </rPr>
          <t>Source [qryT14a]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700-000001000000}">
      <text>
        <r>
          <rPr>
            <sz val="10"/>
            <color indexed="18"/>
            <rFont val="Tahoma"/>
            <family val="2"/>
          </rPr>
          <t>Source [qryT14b]</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800-000001000000}">
      <text>
        <r>
          <rPr>
            <sz val="10"/>
            <color indexed="18"/>
            <rFont val="Tahoma"/>
            <family val="2"/>
          </rPr>
          <t>Source [qryT14c]</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900-000001000000}">
      <text>
        <r>
          <rPr>
            <sz val="10"/>
            <color indexed="18"/>
            <rFont val="Tahoma"/>
            <family val="2"/>
          </rPr>
          <t>Source [qryT14d]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800-000001000000}">
      <text>
        <r>
          <rPr>
            <sz val="10"/>
            <color indexed="18"/>
            <rFont val="Tahoma"/>
            <family val="2"/>
          </rPr>
          <t>Source [qryT02b]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A00-000001000000}">
      <text>
        <r>
          <rPr>
            <sz val="10"/>
            <color indexed="18"/>
            <rFont val="Tahoma"/>
            <family val="2"/>
          </rPr>
          <t>Source [qryT14e]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B00-000001000000}">
      <text>
        <r>
          <rPr>
            <sz val="10"/>
            <color indexed="18"/>
            <rFont val="Tahoma"/>
            <family val="2"/>
          </rPr>
          <t>Source [qryT14f]</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C00-000001000000}">
      <text>
        <r>
          <rPr>
            <sz val="10"/>
            <color indexed="18"/>
            <rFont val="Tahoma"/>
            <family val="2"/>
          </rPr>
          <t>Source [qryT16b]</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D00-000001000000}">
      <text>
        <r>
          <rPr>
            <sz val="10"/>
            <color indexed="18"/>
            <rFont val="Tahoma"/>
            <family val="2"/>
          </rPr>
          <t>Source [qryT16c]</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E00-000001000000}">
      <text>
        <r>
          <rPr>
            <sz val="10"/>
            <color indexed="18"/>
            <rFont val="Tahoma"/>
            <family val="2"/>
          </rPr>
          <t>Source [qryT16d]</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7F00-000001000000}">
      <text>
        <r>
          <rPr>
            <sz val="10"/>
            <color indexed="18"/>
            <rFont val="Tahoma"/>
            <family val="2"/>
          </rPr>
          <t>Source [qryT18a]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000-000001000000}">
      <text>
        <r>
          <rPr>
            <sz val="10"/>
            <color indexed="18"/>
            <rFont val="Tahoma"/>
            <family val="2"/>
          </rPr>
          <t>Source [qryT19]</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100-000001000000}">
      <text>
        <r>
          <rPr>
            <sz val="10"/>
            <color indexed="18"/>
            <rFont val="Tahoma"/>
            <family val="2"/>
          </rPr>
          <t>Source [qryT19a]</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200-000001000000}">
      <text>
        <r>
          <rPr>
            <sz val="10"/>
            <color indexed="18"/>
            <rFont val="Tahoma"/>
            <family val="2"/>
          </rPr>
          <t>Source [qryT19b]</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300-000001000000}">
      <text>
        <r>
          <rPr>
            <sz val="10"/>
            <color indexed="18"/>
            <rFont val="Tahoma"/>
            <family val="2"/>
          </rPr>
          <t>Source [qryT20]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900-000001000000}">
      <text>
        <r>
          <rPr>
            <sz val="10"/>
            <color indexed="18"/>
            <rFont val="Tahoma"/>
            <family val="2"/>
          </rPr>
          <t>Source [qryT03a]</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400-000001000000}">
      <text>
        <r>
          <rPr>
            <sz val="10"/>
            <color indexed="18"/>
            <rFont val="Tahoma"/>
            <family val="2"/>
          </rPr>
          <t>Source [qryT21a]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500-000001000000}">
      <text>
        <r>
          <rPr>
            <sz val="10"/>
            <color indexed="18"/>
            <rFont val="Tahoma"/>
            <family val="2"/>
          </rPr>
          <t>Source [qryT22]</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600-000001000000}">
      <text>
        <r>
          <rPr>
            <sz val="10"/>
            <color indexed="18"/>
            <rFont val="Tahoma"/>
            <family val="2"/>
          </rPr>
          <t>Source [qryT23a]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700-000001000000}">
      <text>
        <r>
          <rPr>
            <sz val="10"/>
            <color indexed="18"/>
            <rFont val="Tahoma"/>
            <family val="2"/>
          </rPr>
          <t>Source [qryT24]</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800-000001000000}">
      <text>
        <r>
          <rPr>
            <sz val="10"/>
            <color indexed="18"/>
            <rFont val="Tahoma"/>
            <family val="2"/>
          </rPr>
          <t>Source [qryT25]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900-000001000000}">
      <text>
        <r>
          <rPr>
            <sz val="10"/>
            <color indexed="18"/>
            <rFont val="Tahoma"/>
            <family val="2"/>
          </rPr>
          <t>Source [qryT03b]</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A00-000001000000}">
      <text>
        <r>
          <rPr>
            <sz val="10"/>
            <color indexed="18"/>
            <rFont val="Tahoma"/>
            <family val="2"/>
          </rPr>
          <t>Source [qryT10]</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8B00-000001000000}">
      <text>
        <r>
          <rPr>
            <sz val="10"/>
            <color indexed="18"/>
            <rFont val="Tahoma"/>
            <family val="2"/>
          </rPr>
          <t>Source [qryTRef_poptot]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A00-000001000000}">
      <text>
        <r>
          <rPr>
            <sz val="10"/>
            <color indexed="18"/>
            <rFont val="Tahoma"/>
            <family val="2"/>
          </rPr>
          <t>Source [qryT04a]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B00-000001000000}">
      <text>
        <r>
          <rPr>
            <sz val="10"/>
            <color indexed="18"/>
            <rFont val="Tahoma"/>
            <family val="2"/>
          </rPr>
          <t>Source [qryT04cde]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C00-000001000000}">
      <text>
        <r>
          <rPr>
            <sz val="10"/>
            <color indexed="18"/>
            <rFont val="Tahoma"/>
            <family val="2"/>
          </rPr>
          <t>Source [qryT05a]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D00-000001000000}">
      <text>
        <r>
          <rPr>
            <sz val="10"/>
            <color indexed="18"/>
            <rFont val="Tahoma"/>
            <family val="2"/>
          </rPr>
          <t>Source [qryT06d]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E00-000001000000}">
      <text>
        <r>
          <rPr>
            <sz val="10"/>
            <color indexed="18"/>
            <rFont val="Tahoma"/>
            <family val="2"/>
          </rPr>
          <t>Source [qryT07]</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6F00-000001000000}">
      <text>
        <r>
          <rPr>
            <sz val="10"/>
            <color indexed="18"/>
            <rFont val="Tahoma"/>
            <family val="2"/>
          </rPr>
          <t>Source [qryT08a]</t>
        </r>
      </text>
    </comment>
  </commentList>
</comments>
</file>

<file path=xl/sharedStrings.xml><?xml version="1.0" encoding="utf-8"?>
<sst xmlns="http://schemas.openxmlformats.org/spreadsheetml/2006/main" count="12500" uniqueCount="1336">
  <si>
    <t>Number</t>
  </si>
  <si>
    <t>Primary Total</t>
  </si>
  <si>
    <t>Secondary Fires</t>
  </si>
  <si>
    <t>Chimney Fires</t>
  </si>
  <si>
    <t>Year</t>
  </si>
  <si>
    <t>Dwellings</t>
  </si>
  <si>
    <t>Other Buildings</t>
  </si>
  <si>
    <t>Road Vehicles</t>
  </si>
  <si>
    <t>Others</t>
  </si>
  <si>
    <t>2004-05</t>
  </si>
  <si>
    <t>Road Vehicle</t>
  </si>
  <si>
    <t>Total</t>
  </si>
  <si>
    <t>2005-06</t>
  </si>
  <si>
    <t>2011-12</t>
  </si>
  <si>
    <t>2006-07</t>
  </si>
  <si>
    <t>2012-13</t>
  </si>
  <si>
    <t>2007-08</t>
  </si>
  <si>
    <t>2013-14</t>
  </si>
  <si>
    <t>2008-09</t>
  </si>
  <si>
    <t>2009-10</t>
  </si>
  <si>
    <t>2010-11</t>
  </si>
  <si>
    <t>Primary Fires</t>
  </si>
  <si>
    <t>Local Authority</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</si>
  <si>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</si>
  <si>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</si>
  <si>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</si>
  <si>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</si>
  <si>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</si>
  <si>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</si>
  <si>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</si>
  <si>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</si>
  <si>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</si>
  <si>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</si>
  <si>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</si>
  <si>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</si>
  <si>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</si>
  <si>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</si>
  <si>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</si>
  <si>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</si>
  <si>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</si>
  <si>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</si>
  <si>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</si>
  <si>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</si>
  <si>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</si>
  <si>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</si>
  <si>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</si>
  <si>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</si>
  <si>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</si>
  <si>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</si>
  <si>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</si>
  <si>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</si>
  <si>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</si>
  <si>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</si>
  <si>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</si>
  <si>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Fatal Casualties Total</t>
  </si>
  <si>
    <t>Non-Fatal Casualties Total</t>
  </si>
  <si>
    <t>-</t>
  </si>
  <si>
    <t>Non-Fatal Casualties in Primary Fires</t>
  </si>
  <si>
    <t>Rate</t>
  </si>
  <si>
    <t>Accidental Dwelling Fires</t>
  </si>
  <si>
    <t>Fatal Casualties</t>
  </si>
  <si>
    <t>(per 1,000 fires)</t>
  </si>
  <si>
    <t>Accidental</t>
  </si>
  <si>
    <t>(per 100,000 dwellings)</t>
  </si>
  <si>
    <t>Percentage</t>
  </si>
  <si>
    <t>Road Traffic Collisions (RTC)</t>
  </si>
  <si>
    <t>Flooding</t>
  </si>
  <si>
    <t>Evacuation (no fire)</t>
  </si>
  <si>
    <t>Lift Release</t>
  </si>
  <si>
    <t>Spills and Leaks (not RTC)</t>
  </si>
  <si>
    <t>Making Safe (not RTC)</t>
  </si>
  <si>
    <t>Stand By</t>
  </si>
  <si>
    <t>Advice Only</t>
  </si>
  <si>
    <t>RTC</t>
  </si>
  <si>
    <t>Other</t>
  </si>
  <si>
    <t>Non-fatal Casualties</t>
  </si>
  <si>
    <t>Other Residential</t>
  </si>
  <si>
    <t>Private garages, sheds, etc</t>
  </si>
  <si>
    <t>Permanent Agricultural</t>
  </si>
  <si>
    <t>Industrial</t>
  </si>
  <si>
    <t>Entertainment, Sport and Culture</t>
  </si>
  <si>
    <t>Food and Drink</t>
  </si>
  <si>
    <t>Retail</t>
  </si>
  <si>
    <t>Education</t>
  </si>
  <si>
    <t>Woodland</t>
  </si>
  <si>
    <t>Car</t>
  </si>
  <si>
    <t>Abandoned Car</t>
  </si>
  <si>
    <t>Other Road Vehicle</t>
  </si>
  <si>
    <t>Abandoned Other Road Vehicle</t>
  </si>
  <si>
    <t>Road Vehicle (subtotal)</t>
  </si>
  <si>
    <t>Primary Outdoor Fire Total</t>
  </si>
  <si>
    <t>Grasslands</t>
  </si>
  <si>
    <t>Outdoor structure</t>
  </si>
  <si>
    <t>Other Outdoors (including land)</t>
  </si>
  <si>
    <t>Secondary Outdoor Fires Total</t>
  </si>
  <si>
    <t>Derelict Building</t>
  </si>
  <si>
    <t>Grassland</t>
  </si>
  <si>
    <t>Derelict Vehicle</t>
  </si>
  <si>
    <t>Rate per million population</t>
  </si>
  <si>
    <t>Fatal</t>
  </si>
  <si>
    <r>
      <t>Dwellings</t>
    </r>
    <r>
      <rPr>
        <b/>
        <sz val="10"/>
        <rFont val="Arial"/>
        <family val="2"/>
      </rPr>
      <t xml:space="preserve"> - Accidental</t>
    </r>
  </si>
  <si>
    <t>Other Buildings - Accidental</t>
  </si>
  <si>
    <t>Road Vehicles - Accidental</t>
  </si>
  <si>
    <t>Other - Accidental</t>
  </si>
  <si>
    <t>Total Accidental Primary Fires</t>
  </si>
  <si>
    <t>Fires</t>
  </si>
  <si>
    <t>Other Buildings - Deliberate</t>
  </si>
  <si>
    <t>Road Vehicles - Deliberate</t>
  </si>
  <si>
    <t>Others - Deliberate</t>
  </si>
  <si>
    <t>Total Deliberate Primary Fires</t>
  </si>
  <si>
    <t>Accidental Primary Fires</t>
  </si>
  <si>
    <t>Deliberate Primary Fires</t>
  </si>
  <si>
    <t>Total Primary Fires</t>
  </si>
  <si>
    <t>Non-Fatal Casualties</t>
  </si>
  <si>
    <t>2003-04</t>
  </si>
  <si>
    <t>Secondary fires</t>
  </si>
  <si>
    <t>Fire False Alarms</t>
  </si>
  <si>
    <t>Refuse</t>
  </si>
  <si>
    <t>Deliberate</t>
  </si>
  <si>
    <t>1995-96</t>
  </si>
  <si>
    <t>1996-97</t>
  </si>
  <si>
    <t>1997-98</t>
  </si>
  <si>
    <t>1998-99</t>
  </si>
  <si>
    <t>1999-00</t>
  </si>
  <si>
    <t>2000-01</t>
  </si>
  <si>
    <t>2001-02</t>
  </si>
  <si>
    <t>England</t>
  </si>
  <si>
    <t>Wales</t>
  </si>
  <si>
    <t>Dwelling fires</t>
  </si>
  <si>
    <t>Total Primary Outdoor Fires per 100,000 population</t>
  </si>
  <si>
    <t>Total Secondary Outdoor Fires per 100,000 population</t>
  </si>
  <si>
    <t>Deliberate Dwelling Fires</t>
  </si>
  <si>
    <t>All Primary Fires</t>
  </si>
  <si>
    <t>Accidental Secondary Fires</t>
  </si>
  <si>
    <t>Deliberate Secondary Fires</t>
  </si>
  <si>
    <t>All Secondary Fires</t>
  </si>
  <si>
    <t xml:space="preserve">Return to contents </t>
  </si>
  <si>
    <t>Edinburgh City</t>
  </si>
  <si>
    <t>Fires by type and location</t>
  </si>
  <si>
    <t>Casualties by location</t>
  </si>
  <si>
    <t>False alarms</t>
  </si>
  <si>
    <t>Primary and secondary fires by location</t>
  </si>
  <si>
    <t>Fires and casualties by motive</t>
  </si>
  <si>
    <t>p</t>
  </si>
  <si>
    <t>Provisional</t>
  </si>
  <si>
    <t>r</t>
  </si>
  <si>
    <t>Revised</t>
  </si>
  <si>
    <t>2014-15</t>
  </si>
  <si>
    <t>Dwellings - Deliberate</t>
  </si>
  <si>
    <t>Fire Casualties</t>
  </si>
  <si>
    <t>Non-Fatal</t>
  </si>
  <si>
    <t>Malicious</t>
  </si>
  <si>
    <t>Due to apparatus</t>
  </si>
  <si>
    <t>Good Intent</t>
  </si>
  <si>
    <t>http://www.scotland.gov.uk/Topics/Statistics/Browse/Crime-Justice/PubFires</t>
  </si>
  <si>
    <t>Population</t>
  </si>
  <si>
    <t>Tables and Charts</t>
  </si>
  <si>
    <t>Chimney fires</t>
  </si>
  <si>
    <t>Long term data</t>
  </si>
  <si>
    <t>Scotland (total)</t>
  </si>
  <si>
    <t>2015-16</t>
  </si>
  <si>
    <t>Due to Apparatus</t>
  </si>
  <si>
    <t>Note</t>
  </si>
  <si>
    <r>
      <rPr>
        <b/>
        <sz val="9"/>
        <color theme="1"/>
        <rFont val="Arial"/>
        <family val="2"/>
      </rPr>
      <t>p</t>
    </r>
    <r>
      <rPr>
        <sz val="9"/>
        <color theme="1"/>
        <rFont val="Arial"/>
        <family val="2"/>
      </rPr>
      <t xml:space="preserve"> - provisional</t>
    </r>
  </si>
  <si>
    <r>
      <rPr>
        <b/>
        <sz val="9"/>
        <rFont val="Arial"/>
        <family val="2"/>
      </rPr>
      <t>p</t>
    </r>
    <r>
      <rPr>
        <sz val="9"/>
        <rFont val="Arial"/>
        <family val="2"/>
      </rPr>
      <t xml:space="preserve"> - provisional</t>
    </r>
  </si>
  <si>
    <t>Total Fires</t>
  </si>
  <si>
    <t>Deliberate Dwelling fires</t>
  </si>
  <si>
    <t>Total False Alarms</t>
  </si>
  <si>
    <r>
      <rPr>
        <b/>
        <sz val="9"/>
        <rFont val="Arial"/>
        <family val="2"/>
      </rPr>
      <t>r</t>
    </r>
    <r>
      <rPr>
        <sz val="9"/>
        <rFont val="Arial"/>
        <family val="2"/>
      </rPr>
      <t xml:space="preserve"> - revised</t>
    </r>
  </si>
  <si>
    <t>Return to contents</t>
  </si>
  <si>
    <t>Refuse (subtotal)</t>
  </si>
  <si>
    <t>Back to contents</t>
  </si>
  <si>
    <t>Location not found</t>
  </si>
  <si>
    <t>Evacuation</t>
  </si>
  <si>
    <t>Total Flooding Incidents</t>
  </si>
  <si>
    <t>Make Vehicle Safe</t>
  </si>
  <si>
    <t>Stand By - No Action</t>
  </si>
  <si>
    <t>Wash Down Road</t>
  </si>
  <si>
    <t>Total Road Traffic Collisions Incidents</t>
  </si>
  <si>
    <t>Pumping Out</t>
  </si>
  <si>
    <t>Female</t>
  </si>
  <si>
    <t>Male</t>
  </si>
  <si>
    <t>Unknown/
unspecified</t>
  </si>
  <si>
    <t>Unknown/ Unspecified</t>
  </si>
  <si>
    <t>Burns</t>
  </si>
  <si>
    <t>SFRS Personnel</t>
  </si>
  <si>
    <t>Non SFRS Personnel</t>
  </si>
  <si>
    <t>Nature of treatment</t>
  </si>
  <si>
    <t>Precautionary check recommended</t>
  </si>
  <si>
    <t>First aid given at scene</t>
  </si>
  <si>
    <t>Unknown</t>
  </si>
  <si>
    <t>Unknown/ unspecified</t>
  </si>
  <si>
    <t>Nature of Injury</t>
  </si>
  <si>
    <t>Nature of Treatment</t>
  </si>
  <si>
    <t>Physical injuries</t>
  </si>
  <si>
    <t>Total non-fatal casualties</t>
  </si>
  <si>
    <t>Hospital visit, slight injuries</t>
  </si>
  <si>
    <t>Hospital visit, serious injuries</t>
  </si>
  <si>
    <t>Cause of death</t>
  </si>
  <si>
    <t>Nature of injury</t>
  </si>
  <si>
    <t>0-16</t>
  </si>
  <si>
    <t>17-29</t>
  </si>
  <si>
    <t>30-59</t>
  </si>
  <si>
    <t>60+</t>
  </si>
  <si>
    <t>Scotland's Population</t>
  </si>
  <si>
    <t>Fatal casualties</t>
  </si>
  <si>
    <t>Non-fatal casualties</t>
  </si>
  <si>
    <t>of which were rescued</t>
  </si>
  <si>
    <t>Total rescues</t>
  </si>
  <si>
    <t>Not known</t>
  </si>
  <si>
    <t>Primary Dwelling Fires</t>
  </si>
  <si>
    <t>Smoke alarm absent</t>
  </si>
  <si>
    <t>Total fires</t>
  </si>
  <si>
    <t>Total fatal casualties</t>
  </si>
  <si>
    <t>Present, operated/ raised alarm</t>
  </si>
  <si>
    <t>Present, operated/ did not raise alarm</t>
  </si>
  <si>
    <t>Present, did not operate</t>
  </si>
  <si>
    <t>Reason for failure to operate</t>
  </si>
  <si>
    <t>Fire not close enough to detector</t>
  </si>
  <si>
    <t>Fire in area not covered by system</t>
  </si>
  <si>
    <t>Alarm battery defective</t>
  </si>
  <si>
    <t>Alerted by other means</t>
  </si>
  <si>
    <t>Alarm battery missing</t>
  </si>
  <si>
    <t>Fault in system</t>
  </si>
  <si>
    <t>Detector removed</t>
  </si>
  <si>
    <t>System damaged by fire</t>
  </si>
  <si>
    <t>System not set up correctly</t>
  </si>
  <si>
    <t>System turned off</t>
  </si>
  <si>
    <t>Unspecified</t>
  </si>
  <si>
    <t>Chimney - Chimney</t>
  </si>
  <si>
    <t>Cooking appliance - Barbecue/Camping stove</t>
  </si>
  <si>
    <t>Cooking appliance - Cooker incl. oven</t>
  </si>
  <si>
    <t>Cooking appliance - Deep fat fryer</t>
  </si>
  <si>
    <t>Cooking appliance - Grill/Toaster</t>
  </si>
  <si>
    <t>Cooking appliance - Microwave oven</t>
  </si>
  <si>
    <t>Cooking appliance - Ring/hot plate (separate appliance)</t>
  </si>
  <si>
    <t>Cooking appliance - Other cooking appliance</t>
  </si>
  <si>
    <t>Smoking related - Cigarette lighter</t>
  </si>
  <si>
    <t>Smoking related - Smoking materials</t>
  </si>
  <si>
    <t>Matches</t>
  </si>
  <si>
    <t>Candles</t>
  </si>
  <si>
    <t>Oil/Incense burners</t>
  </si>
  <si>
    <t>Naked flame - Lighted paper or card, or other naked flame</t>
  </si>
  <si>
    <t>Electric lighting - Fairy lights</t>
  </si>
  <si>
    <t>Electric lighting - Fluorescent lights</t>
  </si>
  <si>
    <t>Electric lighting - Other incandescent light bulbs</t>
  </si>
  <si>
    <t>Electric lighting - Spot lights</t>
  </si>
  <si>
    <t>Electric lighting - Other lights</t>
  </si>
  <si>
    <t>Electricity supply - Apparatus - batteries, generators</t>
  </si>
  <si>
    <t>Electricity supply - Wiring, cabling, plugs</t>
  </si>
  <si>
    <t>Fuel/Chemical - Gases/Flammable chemicals</t>
  </si>
  <si>
    <t>Fuel/Chemical - Liquids; petrol/oil related</t>
  </si>
  <si>
    <t>Fuel/Chemical - Solids; coal, coke, wood, card</t>
  </si>
  <si>
    <t>Heating equipment - Central heating/Hot water</t>
  </si>
  <si>
    <t>Heating equipment - Heating/Fire</t>
  </si>
  <si>
    <t>Heating equipment - Power Source</t>
  </si>
  <si>
    <t>Heating equipment - Separate water heating</t>
  </si>
  <si>
    <t>Heating equipment - Other</t>
  </si>
  <si>
    <t>Other domestic style appliance - Audio equipment</t>
  </si>
  <si>
    <t>Other domestic style appliance - Battery charger</t>
  </si>
  <si>
    <t>Other domestic style appliance - Blow lamp/Paint remover</t>
  </si>
  <si>
    <t>Other domestic style appliance - Dishwasher</t>
  </si>
  <si>
    <t>Other domestic style appliance - Electric blanket</t>
  </si>
  <si>
    <t>Other domestic style appliance - Electric kettle</t>
  </si>
  <si>
    <t>Other domestic style appliance - Extractor fan</t>
  </si>
  <si>
    <t>Other domestic style appliance - Fridge/Freezer</t>
  </si>
  <si>
    <t>Other domestic style appliance - Hair dryer</t>
  </si>
  <si>
    <t>Other domestic style appliance - Iron</t>
  </si>
  <si>
    <t>Other domestic style appliance - Other domestic style appliance</t>
  </si>
  <si>
    <t>Other domestic style appliance - PC equipment (domestic use)</t>
  </si>
  <si>
    <t>Other domestic style appliance - Spin dryer</t>
  </si>
  <si>
    <t>Other domestic style appliance - Trouser press</t>
  </si>
  <si>
    <t>Other domestic style appliance - Tumble dryer</t>
  </si>
  <si>
    <t>Other domestic style appliance - TV</t>
  </si>
  <si>
    <t>Other domestic style appliance - Vacuum cleaner</t>
  </si>
  <si>
    <t>Other domestic style appliance - Video/DVD</t>
  </si>
  <si>
    <t>Other domestic style appliance - Washer/Dryer combined</t>
  </si>
  <si>
    <t>Other domestic style appliance - Washing machine</t>
  </si>
  <si>
    <t>Other domestic style appliance - Other</t>
  </si>
  <si>
    <t>Other appliance or equipment</t>
  </si>
  <si>
    <t>Fireworks</t>
  </si>
  <si>
    <t>Industrial equipment - Welding/Cutting equipment</t>
  </si>
  <si>
    <t>Industrial equipment - other</t>
  </si>
  <si>
    <t>Office equipment</t>
  </si>
  <si>
    <t>Natural occurrence - Natural occurrence</t>
  </si>
  <si>
    <t>Not known/other</t>
  </si>
  <si>
    <t>Yes</t>
  </si>
  <si>
    <t>No</t>
  </si>
  <si>
    <t>Total accidental dwelling fires</t>
  </si>
  <si>
    <t xml:space="preserve">Yes </t>
  </si>
  <si>
    <t>Primary Fires in Dwellings</t>
  </si>
  <si>
    <t>Fire confined to the item</t>
  </si>
  <si>
    <t>Fire beyond item but confined to room</t>
  </si>
  <si>
    <t>Fire elsewhere in building</t>
  </si>
  <si>
    <t>Fire beyond building</t>
  </si>
  <si>
    <t>Primary Fires in Other Buildings</t>
  </si>
  <si>
    <t xml:space="preserve">Primary fires </t>
  </si>
  <si>
    <t>1 appliance</t>
  </si>
  <si>
    <t>2 appliances</t>
  </si>
  <si>
    <t>3-5 appliances</t>
  </si>
  <si>
    <t>6-10 appliances</t>
  </si>
  <si>
    <t>11- 15 appliances</t>
  </si>
  <si>
    <t>All Primary Fires - Time of Call</t>
  </si>
  <si>
    <t>1am</t>
  </si>
  <si>
    <t>2am</t>
  </si>
  <si>
    <t>3am</t>
  </si>
  <si>
    <t>4am</t>
  </si>
  <si>
    <t>5am</t>
  </si>
  <si>
    <t>6am</t>
  </si>
  <si>
    <t>7am</t>
  </si>
  <si>
    <t>8am</t>
  </si>
  <si>
    <t>9am</t>
  </si>
  <si>
    <t>10am</t>
  </si>
  <si>
    <t>11am</t>
  </si>
  <si>
    <t>1pm</t>
  </si>
  <si>
    <t>2pm</t>
  </si>
  <si>
    <t>3pm</t>
  </si>
  <si>
    <t>4pm</t>
  </si>
  <si>
    <t>5pm</t>
  </si>
  <si>
    <t>6pm</t>
  </si>
  <si>
    <t>7pm</t>
  </si>
  <si>
    <t>8pm</t>
  </si>
  <si>
    <t>9pm</t>
  </si>
  <si>
    <t>10pm</t>
  </si>
  <si>
    <t>11pm</t>
  </si>
  <si>
    <t>unspecified</t>
  </si>
  <si>
    <t>Primary Dwelling Fires - Time of Call</t>
  </si>
  <si>
    <t>Primary Other Building Fires - Time of Call</t>
  </si>
  <si>
    <t>Primary Outdoor - Time of Call</t>
  </si>
  <si>
    <t>16+ appliances</t>
  </si>
  <si>
    <t>16+ above appliances</t>
  </si>
  <si>
    <t>Midnight</t>
  </si>
  <si>
    <t>11-15 appliances</t>
  </si>
  <si>
    <t>Total Accidental Secondary fires</t>
  </si>
  <si>
    <t>Total Deliberate Secondary fires</t>
  </si>
  <si>
    <r>
      <t>Year</t>
    </r>
    <r>
      <rPr>
        <b/>
        <vertAlign val="superscript"/>
        <sz val="10"/>
        <rFont val="Arial"/>
        <family val="2"/>
      </rPr>
      <t>1</t>
    </r>
  </si>
  <si>
    <t>Non-Fatal Casualties in Primary Fires excluding precautionary check-ups</t>
  </si>
  <si>
    <r>
      <rPr>
        <b/>
        <sz val="10"/>
        <color theme="1"/>
        <rFont val="Arial"/>
        <family val="2"/>
      </rPr>
      <t>r</t>
    </r>
    <r>
      <rPr>
        <sz val="10"/>
        <color theme="1"/>
        <rFont val="Arial"/>
        <family val="2"/>
      </rPr>
      <t xml:space="preserve"> - revised</t>
    </r>
  </si>
  <si>
    <t>Non SFRS Personnel Fatal Casualties</t>
  </si>
  <si>
    <t>Scotland Population</t>
  </si>
  <si>
    <t>Non SFRS Personnel Non-Fatal Casualties</t>
  </si>
  <si>
    <t>Fatal Casualties - Dwelling Fires</t>
  </si>
  <si>
    <t>Non-Fatal Casualties - Primary Dwelling Fires</t>
  </si>
  <si>
    <r>
      <t>p -</t>
    </r>
    <r>
      <rPr>
        <sz val="10"/>
        <rFont val="Arial"/>
        <family val="2"/>
      </rPr>
      <t xml:space="preserve"> provisional</t>
    </r>
  </si>
  <si>
    <t>Midday</t>
  </si>
  <si>
    <t>Type of Non-fire Incident</t>
  </si>
  <si>
    <t>Fatal Casualties in Fires</t>
  </si>
  <si>
    <t>Non-fire Incident Total</t>
  </si>
  <si>
    <t>Total Primary Fires in Buildings</t>
  </si>
  <si>
    <t>Rescued and not Injured</t>
  </si>
  <si>
    <t>Non SFRS Personnel Non-fatal Casualties</t>
  </si>
  <si>
    <t>Fatalities</t>
  </si>
  <si>
    <t>Primary Outdoor Fires</t>
  </si>
  <si>
    <t>Secondary Outdoor Fires</t>
  </si>
  <si>
    <t>Refuse (Subtotal)</t>
  </si>
  <si>
    <t>Total Other Buildings fires</t>
  </si>
  <si>
    <t>Total Dwelling fires</t>
  </si>
  <si>
    <t xml:space="preserve"> Total Primary Fires</t>
  </si>
  <si>
    <t>Total Dwelling Fires</t>
  </si>
  <si>
    <t>Total Other Building Fires</t>
  </si>
  <si>
    <t>Total Outdoor Fires</t>
  </si>
  <si>
    <t xml:space="preserve"> Total Fatal Casualties</t>
  </si>
  <si>
    <t>Number of Fatal Casualties in Dwelling Fires</t>
  </si>
  <si>
    <t xml:space="preserve"> Total Non-Fatal Casualties</t>
  </si>
  <si>
    <t>Non-fire Incidents</t>
  </si>
  <si>
    <t>False Alarms</t>
  </si>
  <si>
    <t>data not available</t>
  </si>
  <si>
    <t>Number of Dwellings</t>
  </si>
  <si>
    <t>Casualty rates by gender, age, nature of injury/death and nature of treatment</t>
  </si>
  <si>
    <t>Per million population</t>
  </si>
  <si>
    <t>Returm to contents</t>
  </si>
  <si>
    <t>Green tabs are background data</t>
  </si>
  <si>
    <t>Rescues</t>
  </si>
  <si>
    <t>Alcohol/drugs</t>
  </si>
  <si>
    <t>Fire and casualty rates by nation</t>
  </si>
  <si>
    <t>Time of call</t>
  </si>
  <si>
    <t>Smoke alarms and Source of Ignition</t>
  </si>
  <si>
    <t>Spread of fire, appliances attending</t>
  </si>
  <si>
    <t>Scotland's long-term trend data for fires, casualties, non-fire incidents and false alarms</t>
  </si>
  <si>
    <t>2016-17</t>
  </si>
  <si>
    <t>No Location</t>
  </si>
  <si>
    <t>ENGLAND</t>
  </si>
  <si>
    <t>WALES</t>
  </si>
  <si>
    <t>SCOTLAND</t>
  </si>
  <si>
    <t>Mid 2015</t>
  </si>
  <si>
    <t>Mid 2014</t>
  </si>
  <si>
    <t>Mid 2013</t>
  </si>
  <si>
    <t>Mid 2012</t>
  </si>
  <si>
    <t>Mid 2011</t>
  </si>
  <si>
    <t>Mid 2010</t>
  </si>
  <si>
    <t>Mid 2009</t>
  </si>
  <si>
    <t>Mid 2008</t>
  </si>
  <si>
    <t>Mid 2007</t>
  </si>
  <si>
    <t>Na h-Eileanan Siar</t>
  </si>
  <si>
    <t>Years to Chart</t>
  </si>
  <si>
    <t>Other False Alarms</t>
  </si>
  <si>
    <t>Other Non-Fire Incidents</t>
  </si>
  <si>
    <t>Non-Fire Incidents</t>
  </si>
  <si>
    <t>This Year</t>
  </si>
  <si>
    <t>Long-Term Trend of Fire Fatalities in Scotland, 1994-95 onwards</t>
  </si>
  <si>
    <t>Note 2: chart data does not include incidents that occurred during national industrial action in November 2002, January and February 2003</t>
  </si>
  <si>
    <t xml:space="preserve">Note 1: Data is shown from the introduction of the FDR1(94) paper recording in 1994.  Since 2008-09, data has been reported in financial years rather than calendar years and data from 1994 was recalculated to the new format. IRS recording was introduced in 2009-10.  </t>
  </si>
  <si>
    <t>Year Labels</t>
  </si>
  <si>
    <t>Back to Index</t>
  </si>
  <si>
    <t>Cause of Death</t>
  </si>
  <si>
    <t>Source of ignition</t>
  </si>
  <si>
    <t>Table 1</t>
  </si>
  <si>
    <t>Table 1a</t>
  </si>
  <si>
    <t>Table 1b</t>
  </si>
  <si>
    <t>Table 2</t>
  </si>
  <si>
    <t>Table 2a</t>
  </si>
  <si>
    <t>Table 2b</t>
  </si>
  <si>
    <t>Table 3</t>
  </si>
  <si>
    <t>Table 3a</t>
  </si>
  <si>
    <t>Table 3b</t>
  </si>
  <si>
    <t>Table 4</t>
  </si>
  <si>
    <t>Table 4a</t>
  </si>
  <si>
    <t>Table 4b</t>
  </si>
  <si>
    <t>Table 4c</t>
  </si>
  <si>
    <t>Table 4d</t>
  </si>
  <si>
    <t>Table 4e</t>
  </si>
  <si>
    <t>Table 5</t>
  </si>
  <si>
    <t>Table 5a</t>
  </si>
  <si>
    <t>Table 6</t>
  </si>
  <si>
    <t>Table 6a</t>
  </si>
  <si>
    <t>Table 6b</t>
  </si>
  <si>
    <t>Table 6c</t>
  </si>
  <si>
    <t>Table 6d</t>
  </si>
  <si>
    <t>Table 7</t>
  </si>
  <si>
    <t>Table 8</t>
  </si>
  <si>
    <t>Table 8a</t>
  </si>
  <si>
    <t>Table 9</t>
  </si>
  <si>
    <t>Table 9a</t>
  </si>
  <si>
    <t>Table 9b</t>
  </si>
  <si>
    <t>Table 10</t>
  </si>
  <si>
    <t>Table 10a</t>
  </si>
  <si>
    <t>Table 10b</t>
  </si>
  <si>
    <t>Table 10c</t>
  </si>
  <si>
    <t>Table 11</t>
  </si>
  <si>
    <t>Table 11a</t>
  </si>
  <si>
    <t>Table 11b</t>
  </si>
  <si>
    <t>Table 12</t>
  </si>
  <si>
    <t>Table 12a</t>
  </si>
  <si>
    <t>Table 13</t>
  </si>
  <si>
    <t>Table 13a</t>
  </si>
  <si>
    <t>Table 13b</t>
  </si>
  <si>
    <t>Table 14</t>
  </si>
  <si>
    <t>Table 14a</t>
  </si>
  <si>
    <t>Table 14b</t>
  </si>
  <si>
    <t>Table 14c</t>
  </si>
  <si>
    <t>Table 14d</t>
  </si>
  <si>
    <t>Table 14e</t>
  </si>
  <si>
    <t>Table 14f</t>
  </si>
  <si>
    <t>Table 14g</t>
  </si>
  <si>
    <t>Table 15</t>
  </si>
  <si>
    <t>Table 15a</t>
  </si>
  <si>
    <t>Table 15b</t>
  </si>
  <si>
    <t>Table 15c</t>
  </si>
  <si>
    <t>Table 15d</t>
  </si>
  <si>
    <t>Table 16</t>
  </si>
  <si>
    <t>Table 16a</t>
  </si>
  <si>
    <t>Table 16b</t>
  </si>
  <si>
    <t>Table 16c</t>
  </si>
  <si>
    <t>Table 16d</t>
  </si>
  <si>
    <t>Table 17</t>
  </si>
  <si>
    <t>Table 17a</t>
  </si>
  <si>
    <t>Table 17b</t>
  </si>
  <si>
    <t>Table 17c</t>
  </si>
  <si>
    <t>Table 17d</t>
  </si>
  <si>
    <t>Table 18</t>
  </si>
  <si>
    <t>Table 18a</t>
  </si>
  <si>
    <t>Table 18b</t>
  </si>
  <si>
    <t>Table 19</t>
  </si>
  <si>
    <t>Table 19a</t>
  </si>
  <si>
    <t>Table 19b</t>
  </si>
  <si>
    <t>Table 20</t>
  </si>
  <si>
    <t>Table 21</t>
  </si>
  <si>
    <t>Table 21a</t>
  </si>
  <si>
    <t>Table 21b</t>
  </si>
  <si>
    <t>Table 21c</t>
  </si>
  <si>
    <t>Table 22</t>
  </si>
  <si>
    <t>Table 23</t>
  </si>
  <si>
    <t>Table 23a</t>
  </si>
  <si>
    <t>Table 24</t>
  </si>
  <si>
    <t>Table 25</t>
  </si>
  <si>
    <t>Fires by Location</t>
  </si>
  <si>
    <t>Fires by Location, Local Authority</t>
  </si>
  <si>
    <t>Casualties by Location</t>
  </si>
  <si>
    <t>Casualties per 1,000 Fires by Location</t>
  </si>
  <si>
    <t>Casualties by Location, Local Authority</t>
  </si>
  <si>
    <t>Casualties from Accidental Dwelling Fires</t>
  </si>
  <si>
    <t>Casualties from Accidental Dwelling Fires, Local Authority</t>
  </si>
  <si>
    <t>Malicious Fire False Alarms by Location</t>
  </si>
  <si>
    <t>Fire False Alarms Due To Apparatus by Location</t>
  </si>
  <si>
    <t>Fire False Alarms Good Intent by Location</t>
  </si>
  <si>
    <t>Non-Fire Incident False Alarms</t>
  </si>
  <si>
    <t>Non-Fire Incident False Alarms, Local Authority</t>
  </si>
  <si>
    <t>Non-Fire Incidents by Type</t>
  </si>
  <si>
    <t>Non-Fire Incidents by Type, Local Authority</t>
  </si>
  <si>
    <t>Non-Fire Incident Road Traffic Collisions by Action Required</t>
  </si>
  <si>
    <t>Non-Fire Incident Flooding Incidents by Action Required</t>
  </si>
  <si>
    <t>Casualties from Non-Fire Incidents</t>
  </si>
  <si>
    <t>Primary Fires by Location of Buildings</t>
  </si>
  <si>
    <t>Primary Fires by Location of Buildings, Local Authority</t>
  </si>
  <si>
    <t>Outdoor Fires by Location</t>
  </si>
  <si>
    <t>Primary Outdoor Fires by Location</t>
  </si>
  <si>
    <t>Secondary Outdoor Fires by Location</t>
  </si>
  <si>
    <t>Rate of Fires per million population, Great Britain</t>
  </si>
  <si>
    <t>Rate of Primary Fires per million population, Great Britain</t>
  </si>
  <si>
    <t>Rate of Fatal Casualties from Fires per million population, Great Britain</t>
  </si>
  <si>
    <t>Rate of Non-Fatal Casualties from Fires per million population, Great Britain</t>
  </si>
  <si>
    <t>Rate of Non-Fire Incidents by Type per 100,000 population, Local Authority</t>
  </si>
  <si>
    <t>Primary Fires by Location and Motive</t>
  </si>
  <si>
    <t>Primary Fires by Motive, Local Authority</t>
  </si>
  <si>
    <t>Primary Fires and Casualties by Motive, Local Authority</t>
  </si>
  <si>
    <t>Non-Fatal Casualties in Dwelling Fires by Motive</t>
  </si>
  <si>
    <t>Rate of Non-Fatal Casualties per 1,000 Incidents by Motive, Local Authority</t>
  </si>
  <si>
    <t>Secondary Fires by Motive</t>
  </si>
  <si>
    <t>Secondary Fires by Property Type and Motive</t>
  </si>
  <si>
    <t>Secondary Fires by Property Type and Motive, Local Authority</t>
  </si>
  <si>
    <t>Fatal Casualties from Fires by Gender</t>
  </si>
  <si>
    <t>Non-Fatal Casualties from Fires by Gender</t>
  </si>
  <si>
    <t>Fatal Casualties from Fires by Gender and Cause of Death</t>
  </si>
  <si>
    <t>Non-Fatal Casualties from Fires by Gender and Nature of Injury</t>
  </si>
  <si>
    <t>Non-Fatal Casualties from Fires by Gender and Nature of Treatments</t>
  </si>
  <si>
    <t>Non-Fatal Casualties from Fires by Nature of Treatments</t>
  </si>
  <si>
    <t>Non-Fatal Casualties from Dwelling Fires by Nature of Treatments</t>
  </si>
  <si>
    <t>Rate of Non-Fatal Casualties per 1,000 Dwelling Fires, by Nature of Treatments</t>
  </si>
  <si>
    <t>Rate of Fatal Casualties from Fires by Gender per million population</t>
  </si>
  <si>
    <t>Rate of Non-Fatal Casualties from Fires by Gender per million population</t>
  </si>
  <si>
    <t>Rate of Fatal Casualties from Fires by Gender and Cause of Death per million population</t>
  </si>
  <si>
    <t>Rate of Non-Fatal Casualties from Fires by Gender and Nature of Injury per million population</t>
  </si>
  <si>
    <t>Rate of Non-Fatal Casualties from Fires by Gender and Nature of Treatment per million population</t>
  </si>
  <si>
    <t>Fatal Casualties from Fires by Age</t>
  </si>
  <si>
    <t>Non-Fatal Casualties from Fires by Age</t>
  </si>
  <si>
    <t>Fatal Casualties from Fires by Age and Cause of Death</t>
  </si>
  <si>
    <t>Non-Fatal Casualties from Fires by Age and Nature of Injury</t>
  </si>
  <si>
    <t>Non-Fatal Casualties from Fires by Age and Nature of Treatment</t>
  </si>
  <si>
    <t>Rate of Fatal Casualties from Fires by Age, per million population</t>
  </si>
  <si>
    <t>Rate of Non-Fatal Casualties from Fires by Age, per million population</t>
  </si>
  <si>
    <t>Rate of Fatal Casualties from Fires by Age and Cause of Death, per million population</t>
  </si>
  <si>
    <t>Rate of Non-Fatal Casualties from Fires by Age and Nature of Treatment, per million population</t>
  </si>
  <si>
    <t>Rate of Non-Fatal Casualties from Fires by Age and Nature of Injury, per million population</t>
  </si>
  <si>
    <t>Number of Fire Rescues</t>
  </si>
  <si>
    <t>Age Range of Persons Rescued from Fires</t>
  </si>
  <si>
    <t>Rate of Person Rescues from Fires by Age</t>
  </si>
  <si>
    <t>Dwelling Fires and Casualties by Presence and Operation of Smoke Alarms</t>
  </si>
  <si>
    <t>Dwelling Fires and Casualties by Presence and Operation of Smoke Alarms, Local Authority</t>
  </si>
  <si>
    <t>Number of Smoke Alarms in Dwelling Fires which did not operate, by reason</t>
  </si>
  <si>
    <t>Accidental Dwelling Fires by Source of Ignition</t>
  </si>
  <si>
    <t>Accidental Dwelling fires - Alcohol/Drugs use suspected</t>
  </si>
  <si>
    <t>Accidental Dwelling fires - Alcohol/Drugs suspected, Local Authority</t>
  </si>
  <si>
    <t>Casualties from Accidental Dwelling fires - Alcohol/Drugs use suspected</t>
  </si>
  <si>
    <t>Rate of Casualties from Accidental Dwelling fires - Alcohol/Drugs use suspected, per 1,000 accidental dwelling fires</t>
  </si>
  <si>
    <t>Fires in Dwellings and Other Buildings by Spread of Fire</t>
  </si>
  <si>
    <t>Number and Percentage of Fires by Number of Appliances in Attendance</t>
  </si>
  <si>
    <t>Number and Percentage of Fires by Number of Appliances in Attendance, Local Authority</t>
  </si>
  <si>
    <t>Primary Fires by Location and Time of Call</t>
  </si>
  <si>
    <t>Rate of Casualties in Dwelling Fires by Time of Call</t>
  </si>
  <si>
    <t>Long-Term</t>
  </si>
  <si>
    <t>Long-term Trend Data for Fires, Casualties, Non-Fire Incidents and False Alarms</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</si>
  <si>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</si>
  <si>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</si>
  <si>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</si>
  <si>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</si>
  <si>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</si>
  <si>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</si>
  <si>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</si>
  <si>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</si>
  <si>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</si>
  <si>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</si>
  <si>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</si>
  <si>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</si>
  <si>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</si>
  <si>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</si>
  <si>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</si>
  <si>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</si>
  <si>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</si>
  <si>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All Incidents by Type</t>
  </si>
  <si>
    <t>Percentage of All Incidents by Type</t>
  </si>
  <si>
    <t>Percentage of Primary Fires by Type</t>
  </si>
  <si>
    <t>Primary Fires by Motive</t>
  </si>
  <si>
    <t>Accidental Primary Fires by Type</t>
  </si>
  <si>
    <t>Deliberate Primary Fires by Type</t>
  </si>
  <si>
    <t>Long-Term Trend of Fire Fatalities</t>
  </si>
  <si>
    <t>Rate of Fire Fatalities per million population, Great Britain</t>
  </si>
  <si>
    <t>Rate of Non-Fatal Fire Casualties per million population, Great Britain</t>
  </si>
  <si>
    <t>Fire False Alarms by Category</t>
  </si>
  <si>
    <t>Population and Dwelling Rates:</t>
  </si>
  <si>
    <t xml:space="preserve">Several of the tables use population and dwellings estimates to derive incident rates.  The population and dwellings estimates are shown at the first time of use and are also contained in the 'Population' and 'Dwellings' tab of the workbook. They have not been repeated throughout the tables to avoid unneccessary repetition.  </t>
  </si>
  <si>
    <t>Red tabs are figures and charts</t>
  </si>
  <si>
    <t>Blue tabs show incident data tables</t>
  </si>
  <si>
    <t>Key to workbook tab colours:</t>
  </si>
  <si>
    <t>Primary</t>
  </si>
  <si>
    <t>Secondary</t>
  </si>
  <si>
    <t>Chimney</t>
  </si>
  <si>
    <t>Rate of Fires by Location per 100,000 Population</t>
  </si>
  <si>
    <t>Rate of Dwelling Fires by Motive per 100,000 dwellings</t>
  </si>
  <si>
    <t>Choropleth Map and Cartogram of All Fire Rates per 100,000 Population by Local Authority</t>
  </si>
  <si>
    <t>Percentage of All Fires by Type</t>
  </si>
  <si>
    <t>Reference</t>
  </si>
  <si>
    <t>Mid-Year Population Estimates</t>
  </si>
  <si>
    <t>Mid-Year Dwellings Estimates</t>
  </si>
  <si>
    <t>2017-18</t>
  </si>
  <si>
    <t>Total Incidents</t>
  </si>
  <si>
    <t>1994-95</t>
  </si>
  <si>
    <t>2002-03</t>
  </si>
  <si>
    <t>Table 1: Fires by location, 2007-08 to 2017-18</t>
  </si>
  <si>
    <t>Table 3: Casualties from Accidental Dwelling Fires, 2007-08 to 2017-18</t>
  </si>
  <si>
    <t>Table 4c: Malicious fire false alarms by location, 2010-11 to 2017-18</t>
  </si>
  <si>
    <t>Table 4d: Fire false alarms due to apparatus by location, 2010-11 to 2017-18</t>
  </si>
  <si>
    <t>Table 4e: Fire false alarms due to good intent by location, 2010-11 to 2017-18</t>
  </si>
  <si>
    <t>Table 5: Non-fire incident false alarms, 2010-11 to 2017-18</t>
  </si>
  <si>
    <t>Table 6: Non-fire incidents by type, 2010-11 to 2017-18</t>
  </si>
  <si>
    <t>Table 6c: Non-fire incident Road Traffic Collision incidents by action required, 2010-11 to 2017-18</t>
  </si>
  <si>
    <t>Table 6d: Non-fire incident Flooding Incidents by action required, 2010-11 to 2017-18</t>
  </si>
  <si>
    <t>Make Safe</t>
  </si>
  <si>
    <t>Make Scene Safe</t>
  </si>
  <si>
    <t>Medical Assistance Only</t>
  </si>
  <si>
    <t>Table 7: Casualties from non-fire incidents, 2010-11 to 2017-18</t>
  </si>
  <si>
    <t>Table 8: Primary fires by location of buildings, 2007-08 to 2017-18</t>
  </si>
  <si>
    <t>Table 9: Outdoor fires by location, 2007-08 to 2017-18</t>
  </si>
  <si>
    <t>Table 10: Rate of fatal casualties from fires per million population, 2007-08 to 2017-18, Great Britain</t>
  </si>
  <si>
    <r>
      <t>Table 10a: Rate of non-fatal casualties from fires per million population, 2007-08 to 2017-18</t>
    </r>
    <r>
      <rPr>
        <b/>
        <sz val="12"/>
        <rFont val="Arial"/>
        <family val="2"/>
      </rPr>
      <t>, Great Britain</t>
    </r>
  </si>
  <si>
    <t>Table 10b: Rate of fires per million population, 2007-08 to 2017-18, Great Britain</t>
  </si>
  <si>
    <t>Table 10c: Rate of primary fires per million population, 2007-08 to 2017-18, Great Britain</t>
  </si>
  <si>
    <t>Table 11: Primary fires by location and motive of fire, 2007-08 to 2017-18</t>
  </si>
  <si>
    <t>Table 11b: Non-fatal casualties in dwelling fires by motive of fire, 2007-08 to 2017-18</t>
  </si>
  <si>
    <t>Table 13: Secondary fires by property type and motive of fire, 2010-11 to 2017-18</t>
  </si>
  <si>
    <t>Table 14: Fatal casualties from fires by gender, 2007-08 to 2017-18</t>
  </si>
  <si>
    <t>Non-Fatal casualties Total</t>
  </si>
  <si>
    <t>Table 14e: Non-fatal casualties from fires by nature of treatment, 2010-11 to 2017-18</t>
  </si>
  <si>
    <t>Table 14f: Non-fatal casualties from dwelling fires by nature of treatment, 2010-11 to 2017-18</t>
  </si>
  <si>
    <t>Table 14g: Rate of Non-fatal casualties per 1,000 dwelling fires by nature of treatment, 2010-11 to 2017-18</t>
  </si>
  <si>
    <t>Table 16: Fatal casualties from fires by age, 2007-08 to 2017-18</t>
  </si>
  <si>
    <t>Table 16a: Non-fatal casualties from fires by age, 2007-08 to 2017-18</t>
  </si>
  <si>
    <t>Table 18: Number of fire rescues, 2010-11 to 2017-18</t>
  </si>
  <si>
    <t>Table 18a: Age range of persons rescued from fires, 2010-11 to 2017-18</t>
  </si>
  <si>
    <t>Don't know if smoke alarm was present</t>
  </si>
  <si>
    <t>Table 20: Accidental dwelling fires by source of ignition, 2010-11 to 2017-18</t>
  </si>
  <si>
    <t>Table 21: Accidental dwelling fires where impairment due to suspected alcohol/drugs use was a contributory factor, 2010-11 to 2017-18</t>
  </si>
  <si>
    <t>Suspected alcohol/drugs</t>
  </si>
  <si>
    <t>Table 21b: Casualties from accidental dwelling fires where suspected alcohol/drug use was a contributory factor to the fire, 2010-11 to 2017-18</t>
  </si>
  <si>
    <t>Table 21c: Casualty rate per 1,000 accidental dwelling fires where suspected alcohol/drug use was a contributory factor to the fire, 2010-11 to 2017-18</t>
  </si>
  <si>
    <t>Smoke and/or heat damage only 
(no fire)</t>
  </si>
  <si>
    <t>Table 22: Primary fires in dwellings and other buildings by spread of fire, 2007-08 to 2017-18</t>
  </si>
  <si>
    <t>Table 23: Number and percentage of primary and secondary fires by number of appliances in attendance, 2010-11 to 2017-18</t>
  </si>
  <si>
    <t>Primary fires</t>
  </si>
  <si>
    <t>Table 24: Primary fires by location and time of call, 2007-08 to 2017-18</t>
  </si>
  <si>
    <t>Table 25: Rates of Casualties in Dwelling fires by time of call, 2007-08 to 2017-18</t>
  </si>
  <si>
    <t>Rate of Fatal Casualties per 1,000 Dwelling Fires</t>
  </si>
  <si>
    <t>Number of Non-Fatal Casualties in Primary Dwelling Fires</t>
  </si>
  <si>
    <t>Rate of Non-fatal Casualties per 1,000 Primary Dwelling Fires</t>
  </si>
  <si>
    <t>Total Fatal Casualties (per 1,000)</t>
  </si>
  <si>
    <t xml:space="preserve"> Total Non-Fatal Casualties (per 1,000)</t>
  </si>
  <si>
    <t>Table 2: Casualties by location, 2007-08 to 2017-18</t>
  </si>
  <si>
    <t>Table 2a: Casualties per 1,000 fires by location, 2007-08 to 2017-18</t>
  </si>
  <si>
    <t xml:space="preserve">Table 1a: Fires by location, Local Authority, </t>
  </si>
  <si>
    <t>Row Labels</t>
  </si>
  <si>
    <t>Sum of Primary_Total</t>
  </si>
  <si>
    <t>Sum of 1:Dwelling</t>
  </si>
  <si>
    <t>Sum of 2:Other Buildings</t>
  </si>
  <si>
    <t>Sum of 3:Road Vehicle</t>
  </si>
  <si>
    <t>Sum of 4:Others</t>
  </si>
  <si>
    <t>Sum of Secondary_Total</t>
  </si>
  <si>
    <t>Edinburgh, City of</t>
  </si>
  <si>
    <t>Grand Total</t>
  </si>
  <si>
    <t>Sum of Chimney_Total</t>
  </si>
  <si>
    <t xml:space="preserve">Table 1b: Fires by location per 100,000 population, Local Authority, </t>
  </si>
  <si>
    <t>Sum of pop</t>
  </si>
  <si>
    <t>Column Labels</t>
  </si>
  <si>
    <t>Total Sum of 1:Dwelling</t>
  </si>
  <si>
    <t>Total Sum of 2:Other Buildings</t>
  </si>
  <si>
    <t>Total Sum of 3:Road Vehicle</t>
  </si>
  <si>
    <t>Total Sum of 4:Others</t>
  </si>
  <si>
    <t>https://www.nrscotland.gov.uk/statistics-and-data/statistics/statistics-by-theme/population/population-estimates/mid-year-population-estimates/mid-2017</t>
  </si>
  <si>
    <t>Primary fire figures from before 2009-10 are based on sample data weighted to (former) Fire and Rescue Service totals.</t>
  </si>
  <si>
    <t xml:space="preserve">Table 2b: Casualties by location, Local Authority, </t>
  </si>
  <si>
    <t>Exprecautionary</t>
  </si>
  <si>
    <t>Fatality</t>
  </si>
  <si>
    <t>Injured (incl. rescue with injury)</t>
  </si>
  <si>
    <t>Sum of Total</t>
  </si>
  <si>
    <t xml:space="preserve">Table 3a: Casualties from Accidental Dwelling Fires, Local Authority, </t>
  </si>
  <si>
    <t>Sum of Total_ADF</t>
  </si>
  <si>
    <t>Sum of Total_nonfatal_ADF</t>
  </si>
  <si>
    <t>Sum of Total_fatal_ADF</t>
  </si>
  <si>
    <t>Sum of Dwellings</t>
  </si>
  <si>
    <t xml:space="preserve">Table 3b: Rate of dwelling fires by motive per 100,000 dwellings, Local Authority, </t>
  </si>
  <si>
    <t>Sum of DDF</t>
  </si>
  <si>
    <t>https://www.nrscotland.gov.uk/statistics-and-data/statistics/statistics-by-theme/households/household-estimates/2017</t>
  </si>
  <si>
    <t>Sum of 3Good Intent false alarm</t>
  </si>
  <si>
    <t>Sum of 1Malicious False Alarm</t>
  </si>
  <si>
    <t>Sum of 2Fire alarm due to Apparatus</t>
  </si>
  <si>
    <t xml:space="preserve">Table 5a: Non-fire incident false alarms, Local Authority, </t>
  </si>
  <si>
    <t xml:space="preserve">Table 6a: Non-fire incidents by type, Local Authority, </t>
  </si>
  <si>
    <t>Sum of 01:RTC</t>
  </si>
  <si>
    <t>Sum of 02:Other Transport incident</t>
  </si>
  <si>
    <t>Sum of 03:Flooding</t>
  </si>
  <si>
    <t>Sum of 04:Rescue or evacuation from water</t>
  </si>
  <si>
    <t>Sum of 05:Other rescue/release of persons</t>
  </si>
  <si>
    <t>Sum of 06:Evacuation (no fire)</t>
  </si>
  <si>
    <t>Sum of 07:Lift Release</t>
  </si>
  <si>
    <t>Sum of 08:Medical Incident - First responder/Co-responder</t>
  </si>
  <si>
    <t>Sum of 09:Suicide/attempts</t>
  </si>
  <si>
    <t>Sum of 10:Hazardous Materials incident</t>
  </si>
  <si>
    <t>Sum of 11:Spills and Leaks (not RTC)</t>
  </si>
  <si>
    <t>Sum of 12:Removal of objects</t>
  </si>
  <si>
    <t>Sum of 13:Animal assistance incidents</t>
  </si>
  <si>
    <t>Sum of 14:Effecting entry/exit</t>
  </si>
  <si>
    <t>Sum of 15:Making Safe (not RTC)</t>
  </si>
  <si>
    <t>Sum of 16:No action (not false alarm)</t>
  </si>
  <si>
    <t>Sum of 17:Water provision</t>
  </si>
  <si>
    <t>Sum of 18:Stand By</t>
  </si>
  <si>
    <t>Sum of 19:Assist other agencies</t>
  </si>
  <si>
    <t>Sum of 20:Advice Only</t>
  </si>
  <si>
    <t xml:space="preserve">Table 6b: Rate of Non-fire incidents by type (main categories) per 100,000 population, Local Authority, </t>
  </si>
  <si>
    <t xml:space="preserve">Table 8a: Primary fires by location of buildings, Local Authority, </t>
  </si>
  <si>
    <t>(All)</t>
  </si>
  <si>
    <t>Sum of 01:Other Residential</t>
  </si>
  <si>
    <t>Sum of 02:Private garages, sheds, etc</t>
  </si>
  <si>
    <t>Sum of 03:Permanent Agricultural</t>
  </si>
  <si>
    <t>Sum of 04:Industrial</t>
  </si>
  <si>
    <t>Sum of 05:Warehouses and bulk storage</t>
  </si>
  <si>
    <t>Sum of 06:Offices and call centres</t>
  </si>
  <si>
    <t>Sum of 07:Public admin, security and safety</t>
  </si>
  <si>
    <t>Sum of 08:Entertainment, Sport and Culture</t>
  </si>
  <si>
    <t>Sum of 09:Food and Drink</t>
  </si>
  <si>
    <t>Sum of 10:Retail</t>
  </si>
  <si>
    <t>Sum of 11:Education</t>
  </si>
  <si>
    <t>Sum of 12:Hospitals and medical care</t>
  </si>
  <si>
    <t>Sum of 13:Others</t>
  </si>
  <si>
    <t>Sum of Dwelling</t>
  </si>
  <si>
    <t>Sum of Buildings_Total</t>
  </si>
  <si>
    <t xml:space="preserve">Table 9a: Primary outdoor fires by location, Local Authority, </t>
  </si>
  <si>
    <t>Sum of 01:Outdoor structures</t>
  </si>
  <si>
    <t>Sum of 02:Outdoor equipment and machinery</t>
  </si>
  <si>
    <t>Sum of 03:Grassland and crops</t>
  </si>
  <si>
    <t>Sum of 04:Woodland</t>
  </si>
  <si>
    <t>Sum of 05:Other Transport Vehicle</t>
  </si>
  <si>
    <t>Sum of 06:Other outdoors (including land)</t>
  </si>
  <si>
    <t>Sum of 07:Car</t>
  </si>
  <si>
    <t>Sum of 08:Abandoned Car</t>
  </si>
  <si>
    <t>Sum of 09:Other Road Vehicle</t>
  </si>
  <si>
    <t>Sum of 10:Abandoned Other Road Vehicle</t>
  </si>
  <si>
    <t>Sum of Total_Primary_Outdoor_Fires</t>
  </si>
  <si>
    <t xml:space="preserve">Table 9b: Secondary outdoor fires by location, Local Authority, </t>
  </si>
  <si>
    <t>Sum of 01:Derelict Building</t>
  </si>
  <si>
    <t>Sum of 02:Grassland</t>
  </si>
  <si>
    <t>Sum of 03:Intentional straw or stubble</t>
  </si>
  <si>
    <t>Sum of 04:Outdoor structures</t>
  </si>
  <si>
    <t>Sum of 05:Derelict Vehicle</t>
  </si>
  <si>
    <t>Sum of 07:Refuse - small/rubbish container</t>
  </si>
  <si>
    <t>Sum of 08:Refuse - large/rubbish container</t>
  </si>
  <si>
    <t>Sum of 09:Refuse - loose/rubbish tip</t>
  </si>
  <si>
    <t>Sum of Total_Secondary_Outdoor_Fires</t>
  </si>
  <si>
    <t>Sum of Accidental</t>
  </si>
  <si>
    <t>Sum of Deliberate</t>
  </si>
  <si>
    <t xml:space="preserve">Table 11a: Primary fires by motive, Local Authority, </t>
  </si>
  <si>
    <t>Rate (per 100,000) Population</t>
  </si>
  <si>
    <t xml:space="preserve">Table 12: Primary fires and casualties by motive, Local Authority, </t>
  </si>
  <si>
    <t xml:space="preserve">Table 12a: Rate per 1,000 of non-fatal casualties in primary fires by motive, Local Authority, </t>
  </si>
  <si>
    <t>Sum of 1:fires</t>
  </si>
  <si>
    <t>Sum of 2:fatal</t>
  </si>
  <si>
    <t>Sum of 3:nonfatal</t>
  </si>
  <si>
    <t>Total Sum of 1:fires</t>
  </si>
  <si>
    <t>Total Sum of 2:fatal</t>
  </si>
  <si>
    <t>Total Sum of 3:nonfatal</t>
  </si>
  <si>
    <t xml:space="preserve">Table 13a: Secondary fires by property type and motive of fire, Local Authority, </t>
  </si>
  <si>
    <t>Total Sum of 01:Derelict Building</t>
  </si>
  <si>
    <t>Total Sum of 02:Grassland</t>
  </si>
  <si>
    <t>Total Sum of 03:Intentional straw or stubble</t>
  </si>
  <si>
    <t>Total Sum of 04:Outdoor structures</t>
  </si>
  <si>
    <t>Total Sum of 05:Derelict Vehicle</t>
  </si>
  <si>
    <t>Total Sum of 06:Other outdoors (including land)</t>
  </si>
  <si>
    <t>Total Sum of 07:Refuse - small/rubbish container</t>
  </si>
  <si>
    <t>Total Sum of 08:Refuse - large/rubbish container</t>
  </si>
  <si>
    <t>Total Sum of 09:Refuse - loose/rubbish tip</t>
  </si>
  <si>
    <t xml:space="preserve">Table 13b: Secondary fires by motive, 2017-18, Local Authority, </t>
  </si>
  <si>
    <t>Rate per 100,000 Population</t>
  </si>
  <si>
    <t>Total Sum of pop</t>
  </si>
  <si>
    <t>Total Sum of Total</t>
  </si>
  <si>
    <t>Table 14a: Non-fatal casualties from fires by gender, 2007-08 to 2017-18</t>
  </si>
  <si>
    <t xml:space="preserve">Table 14b: Fatal casualties from fires by gender and cause of death, </t>
  </si>
  <si>
    <t xml:space="preserve">Table 14c: Non-fatal casualties from fires by gender and nature of injury, </t>
  </si>
  <si>
    <t xml:space="preserve">Table 14d: Non-fatal casualties from fires by gender and nature of treatments, </t>
  </si>
  <si>
    <t>Non FRS personnel</t>
  </si>
  <si>
    <t>Sum of Female</t>
  </si>
  <si>
    <t>Sum of Male</t>
  </si>
  <si>
    <t>Combination of burns and overcome by gas/smoke</t>
  </si>
  <si>
    <t>Overcome by gas, smoke or toxic fumes</t>
  </si>
  <si>
    <t>Sum of Total_Fatal</t>
  </si>
  <si>
    <t>Sum of Not known</t>
  </si>
  <si>
    <t>FRS personnel</t>
  </si>
  <si>
    <t>Sum of Not specified</t>
  </si>
  <si>
    <t>Sum of Total_Nonfatal</t>
  </si>
  <si>
    <t>1Burns</t>
  </si>
  <si>
    <t>2Combination of burns and overcome by gas/smoke</t>
  </si>
  <si>
    <t>3Overcome by gas, smoke or toxic fumes</t>
  </si>
  <si>
    <t>4Physical injuries</t>
  </si>
  <si>
    <t>5Shock</t>
  </si>
  <si>
    <t>6Other specified</t>
  </si>
  <si>
    <t>8Other/Not known</t>
  </si>
  <si>
    <t>Tables show main injuries only, priority is given to 'burns' and 'overcome by gas or smoke'. However, if both these injuries occur, these are categorised as "Burns and overcome by gas or smoke".</t>
  </si>
  <si>
    <t>1Precautionary check recommended</t>
  </si>
  <si>
    <t>2First aid given at scene</t>
  </si>
  <si>
    <t>3Victim went to hospital, injuries appear to be Slight</t>
  </si>
  <si>
    <t>4Victim went to hospital, injuries appear to be Serious</t>
  </si>
  <si>
    <t>Sum of FRS personnelFemale</t>
  </si>
  <si>
    <t>Sum of FRS personnelMale</t>
  </si>
  <si>
    <t>Sum of FRS personnelNot known</t>
  </si>
  <si>
    <t>Sum of FRS personnelNot specified</t>
  </si>
  <si>
    <t>Sum of Non FRS personnelFemale</t>
  </si>
  <si>
    <t>Sum of Non FRS personnelMale</t>
  </si>
  <si>
    <t>Sum of Non FRS personnelNot known</t>
  </si>
  <si>
    <t>Sum of Non FRS personnelNot specified</t>
  </si>
  <si>
    <t>Who</t>
  </si>
  <si>
    <t xml:space="preserve">Table 16b: Fatal casualties from fires by age and cause of death, </t>
  </si>
  <si>
    <t xml:space="preserve">Table 16d: Non-fatal casualties from primary fires by age and nature of treatment, </t>
  </si>
  <si>
    <t xml:space="preserve">Table 16c: Non-fatal casualties from fires by age and nature of injury, </t>
  </si>
  <si>
    <t>Sum of 17-29</t>
  </si>
  <si>
    <t>Total Sum of 17-29</t>
  </si>
  <si>
    <t>Total Sum of 30-59</t>
  </si>
  <si>
    <t>Sum of 30-59</t>
  </si>
  <si>
    <t>Total Sum of 60+</t>
  </si>
  <si>
    <t>Sum of 60+</t>
  </si>
  <si>
    <t>Total Sum of Unknown</t>
  </si>
  <si>
    <t>Sum of Unknown</t>
  </si>
  <si>
    <t>Sum of 0-16</t>
  </si>
  <si>
    <t>Sum of Non FRS personnel0-16</t>
  </si>
  <si>
    <t>Sum of Non FRS personnel17-29</t>
  </si>
  <si>
    <t>Sum of Non FRS personnel30-59</t>
  </si>
  <si>
    <t>Sum of Non FRS personnel60+</t>
  </si>
  <si>
    <t>Sum of Non FRS personnelUnknown</t>
  </si>
  <si>
    <t>Sum of FRS personnel17-29</t>
  </si>
  <si>
    <t>Sum of FRS personnel30-59</t>
  </si>
  <si>
    <t>Sum of FRS personnel60+</t>
  </si>
  <si>
    <t>Sum of FRS personnelUnknown</t>
  </si>
  <si>
    <t>Figures before 2009-10 for primary fires are based on sample data weighted to (former) Fire and Rescue Service totals</t>
  </si>
  <si>
    <t xml:space="preserve">Table 19a: Dwelling fires and casualties by presence and operation of smoke alarms, Local Authority, </t>
  </si>
  <si>
    <t>a.Year</t>
  </si>
  <si>
    <t>Sum of a.1Present, operated and raised the alarm</t>
  </si>
  <si>
    <t>Sum of a.2Present, operated but did not raise the alarm</t>
  </si>
  <si>
    <t>Sum of a.3Present but did not operate</t>
  </si>
  <si>
    <t>Sum of a.4Smoke alarm absent</t>
  </si>
  <si>
    <t>Sum of a.5Don't know if smoke alarm was present</t>
  </si>
  <si>
    <t>Sum of f.1Present, operated and raised the alarm</t>
  </si>
  <si>
    <t>Sum of f.2Present, operated but did not raise the alarm</t>
  </si>
  <si>
    <t>Sum of f.3Present but did not operate</t>
  </si>
  <si>
    <t>Sum of f.4Smoke alarm absent</t>
  </si>
  <si>
    <t>Sum of f.5Don't know if smoke alarm was present</t>
  </si>
  <si>
    <t>Sum of n.1Present, operated and raised the alarm</t>
  </si>
  <si>
    <t>Sum of n.2Present, operated but did not raise the alarm</t>
  </si>
  <si>
    <t>Sum of n.3Present but did not operate</t>
  </si>
  <si>
    <t>Sum of n.4Smoke alarm absent</t>
  </si>
  <si>
    <t>Sum of n.5Don't know if smoke alarm was present</t>
  </si>
  <si>
    <t xml:space="preserve">Table 21a: Accidental dwelling fires where impairment due to suspected alcohol/drugs use was a contributory factor, Local Authority, </t>
  </si>
  <si>
    <t>Sum of 1:Yes</t>
  </si>
  <si>
    <t>Sum of 2:No</t>
  </si>
  <si>
    <t>Sum of 3:Not Known</t>
  </si>
  <si>
    <t xml:space="preserve">Table 23a: Number and percentage of primary and secondary fires by number of appliances in attendance, Local Authority, </t>
  </si>
  <si>
    <t>Sum of 01</t>
  </si>
  <si>
    <t>Sum of 02</t>
  </si>
  <si>
    <t>Sum of 03-05</t>
  </si>
  <si>
    <t>Sum of 06-10</t>
  </si>
  <si>
    <t>Sum of 11-15</t>
  </si>
  <si>
    <t>Sum of 16+</t>
  </si>
  <si>
    <t>Total Sum of 01</t>
  </si>
  <si>
    <t>Total Sum of 02</t>
  </si>
  <si>
    <t>Total Sum of 03-05</t>
  </si>
  <si>
    <t>Total Sum of 06-10</t>
  </si>
  <si>
    <t>Total Sum of 11-15</t>
  </si>
  <si>
    <t>Total Sum of 16+</t>
  </si>
  <si>
    <t>no</t>
  </si>
  <si>
    <t>yes</t>
  </si>
  <si>
    <t xml:space="preserve">Number of Dwellings by Local Authority, </t>
  </si>
  <si>
    <t>Average of pop</t>
  </si>
  <si>
    <t>Long-Term Trend</t>
  </si>
  <si>
    <t>Figure Long-Term Trend</t>
  </si>
  <si>
    <t>Total incidents is the sum of all fires, false alarms and non-fire incidents</t>
  </si>
  <si>
    <t>Local Authority population estimates were produced by National Records Scotland and published at:</t>
  </si>
  <si>
    <t>Non-SFRS Personnel</t>
  </si>
  <si>
    <t>Table 15: Rate of fatal casualties from fires by gender per million population, 2007-08 to 2017-18</t>
  </si>
  <si>
    <t>Table 15a: Rate of non-fatal casualties from primary fires by gender per million population, 2007-08 to 2017-18</t>
  </si>
  <si>
    <t xml:space="preserve">Table 15b: Rate of fatal casualties from fires by gender by cause of death per million population, </t>
  </si>
  <si>
    <t>Non-SFRS Personnel Fatal Casualties</t>
  </si>
  <si>
    <t xml:space="preserve">Table 15c: Rate of non-fatal casualties from primary fires by gender by nature of injury per million population, </t>
  </si>
  <si>
    <t>Non-SFRS Personnel Non-fatal Casualties</t>
  </si>
  <si>
    <t xml:space="preserve">Table 15d: Rate of non-fatal casualties from primary fires by gender by nature of treatment per million population, </t>
  </si>
  <si>
    <t>Table 17: Rate of Non-SFRS fatal casualties from fires by age per million population, 2007-08 to 2017-18</t>
  </si>
  <si>
    <t>Table 17a: Rate of Non SFRS non-fatal casualties from fires by age per million population, 2007-08 to 2017-18</t>
  </si>
  <si>
    <t xml:space="preserve">Table 17c: Rate of Non-SFRS non-fatal casualties from fires by age by nature of injury per million population, </t>
  </si>
  <si>
    <t>Non-SFRS Personnel Non-Fatal Casualties</t>
  </si>
  <si>
    <t xml:space="preserve">Table 17b: Rate of Non-SFRS fatal casualties from fires by age by cause of death per million population, </t>
  </si>
  <si>
    <t xml:space="preserve">Table 17d: Rate of Non-SFRS non-fatal casualties from primary fires by age by nature of treatment per million population, </t>
  </si>
  <si>
    <t>Table 18b: Rate of persons rescues from fires by age per million population, 2010-11 to 2017-18</t>
  </si>
  <si>
    <t>Were alcohol/drugs a contributory factor to the fire?</t>
  </si>
  <si>
    <t>Non-fire Incidents Grouped Totals, 2010-11 to 2017-18</t>
  </si>
  <si>
    <t>Nonrefuse</t>
  </si>
  <si>
    <t>Accidental Refuse</t>
  </si>
  <si>
    <t>Deliberate Refuse</t>
  </si>
  <si>
    <t>Accidendal Non-refuse secondary fires</t>
  </si>
  <si>
    <t>deliberate non-refuse secondary fires</t>
  </si>
  <si>
    <t>Hospital Visits Dwelling Fires</t>
  </si>
  <si>
    <t>Hospital Visits All Fires</t>
  </si>
  <si>
    <t>fatal casualties in 11 years</t>
  </si>
  <si>
    <t>Figure 18</t>
  </si>
  <si>
    <t>Figure 19</t>
  </si>
  <si>
    <t>Figure 20</t>
  </si>
  <si>
    <t>Figure 21</t>
  </si>
  <si>
    <t>Figure 22</t>
  </si>
  <si>
    <t>Figure 23</t>
  </si>
  <si>
    <t>Non-fire Incidents Grouped Totals</t>
  </si>
  <si>
    <t>Fire False Alarms By Category and Property Type</t>
  </si>
  <si>
    <t>Refuse Fires</t>
  </si>
  <si>
    <t>Hospital Visit Rates From Fires</t>
  </si>
  <si>
    <t>Primary Fires by Time of Call</t>
  </si>
  <si>
    <t>Cooking Appliance</t>
  </si>
  <si>
    <t>Smoking Related</t>
  </si>
  <si>
    <t>Electrical Supply</t>
  </si>
  <si>
    <t>Heating Equipment</t>
  </si>
  <si>
    <t>Other Domestic Appliance</t>
  </si>
  <si>
    <t>5Year</t>
  </si>
  <si>
    <t>Proportion</t>
  </si>
  <si>
    <t>Ignition Source in Accidental Dwelling Fires</t>
  </si>
  <si>
    <t>Rate per 1,000 dwelling fires</t>
  </si>
  <si>
    <t>Rate per 1,000 fires</t>
  </si>
  <si>
    <t>Rate per 1,000 primary fires</t>
  </si>
  <si>
    <t>Long-Term Trend of Non-fatal Fire Casualties in Scotland, 1994-95 onwards</t>
  </si>
  <si>
    <t>Table 10d: Rate of secondary fires per million population, 2007-08 to 2017-18, Great Britain</t>
  </si>
  <si>
    <t>Rate of Secondary Fires per million population, Great Britain</t>
  </si>
  <si>
    <t>Average of Dwellings</t>
  </si>
  <si>
    <t>Mid 2016</t>
  </si>
  <si>
    <t>Mid-2017</t>
  </si>
  <si>
    <t>Table 19b: Number of dwelling fires with smoke alarms present, which did not operate by reason, 2010-11 to 2017-18</t>
  </si>
  <si>
    <t xml:space="preserve">Table 4a: Fire false alarms, Local Authority, </t>
  </si>
  <si>
    <t>Table 4: Fire false alarms, 2007-08 to 2017-18</t>
  </si>
  <si>
    <t xml:space="preserve">Table 4b: Fire false alarms per 100,000 population, Local Authority, </t>
  </si>
  <si>
    <t>Fire False Alarms, Local Authority</t>
  </si>
  <si>
    <t>Rate of Fire False Alarms per 100,000 Population</t>
  </si>
  <si>
    <t>Sum of SpecialServiceFalseAlarms</t>
  </si>
  <si>
    <t>Fire and Rescue Incident Statistics, Scotland, 2017-18</t>
  </si>
  <si>
    <t>Released 31 October 2018</t>
  </si>
  <si>
    <t>(formerly Fire Statistics, Scotland)</t>
  </si>
  <si>
    <t>Fire and Rescue Incident Statistics, Scotland</t>
  </si>
  <si>
    <t>Symbols and shading used in the tables are:</t>
  </si>
  <si>
    <t xml:space="preserve">  -   </t>
  </si>
  <si>
    <t>Nil or less than half the final digit shown</t>
  </si>
  <si>
    <t xml:space="preserve">           </t>
  </si>
  <si>
    <t>Not available or not applicable</t>
  </si>
  <si>
    <t xml:space="preserve">For enquiries or feedback please contact - </t>
  </si>
  <si>
    <t>National.Statistics@firescotland.gov.uk</t>
  </si>
  <si>
    <t>This publication is accompanied by the following documents:</t>
  </si>
  <si>
    <t xml:space="preserve"> - Technical Notes on Statistics 2017-18</t>
  </si>
  <si>
    <t xml:space="preserve"> - Statistical News 2017-18</t>
  </si>
  <si>
    <t>This publication provides statistics on incidents and casualties attended by the Scottish Fire and Rescue Service.</t>
  </si>
  <si>
    <t xml:space="preserve"> - Fire and Rescue Incident Statistics (Scotland) 2017-18</t>
  </si>
  <si>
    <t>Please see the Fire and Rescue Incident Statistics (Scotland) 2017-18 publication for commentary on the statistics included in this workbook.</t>
  </si>
  <si>
    <t>Please see the Technical Notes on Statistics 2017-18 publication for further details on these statistics and advice on comparability.</t>
  </si>
  <si>
    <t>Table 10d (new)</t>
  </si>
  <si>
    <t>The FDR1(94) paper recording system was introduced January 1994</t>
  </si>
  <si>
    <t>Incidents that occurred during national industrial action in November 2002 and February 2003 are not included</t>
  </si>
  <si>
    <t>The introduction of the 'Incident Recording System' resulted in discontinuities including in the non-fatal casualties timeseries. Please see Technical Notes on Statistics for further details.</t>
  </si>
  <si>
    <t>This series was formerly published by the Scottish Government, please see their website for publications prior to 2014-15.</t>
  </si>
  <si>
    <t>Figures for 2016-17 and 2017-18 are provisional.</t>
  </si>
  <si>
    <t>Non-fatal casualty data from 2009-10 onwards should not be compared to previous years. This is due to a change in the recording of non-fatal casualties. Please see Technical Notes on Statistics for more details.</t>
  </si>
  <si>
    <t>Due to the importance of the Fatal Casualties timeseries we have chosen to extend the usual application of our revisions policy and revise the figure for 2014-15 down by 1.  The cause of death in this case was found to be not fire related.</t>
  </si>
  <si>
    <t>Due to the importance of the Fatal Casualties timeseries we have chosen to extend the usual application of our revisions policy and revise the figure for 2014-15 down by 1. The cause of death in this case was found to be not fire related.</t>
  </si>
  <si>
    <r>
      <rPr>
        <b/>
        <sz val="10"/>
        <rFont val="Arial"/>
        <family val="2"/>
      </rPr>
      <t>p</t>
    </r>
    <r>
      <rPr>
        <sz val="10"/>
        <rFont val="Arial"/>
        <family val="2"/>
      </rPr>
      <t xml:space="preserve"> - provisional</t>
    </r>
  </si>
  <si>
    <r>
      <rPr>
        <b/>
        <sz val="10"/>
        <rFont val="Arial"/>
        <family val="2"/>
      </rPr>
      <t xml:space="preserve">r </t>
    </r>
    <r>
      <rPr>
        <sz val="10"/>
        <rFont val="Arial"/>
        <family val="2"/>
      </rPr>
      <t>- revised</t>
    </r>
  </si>
  <si>
    <r>
      <rPr>
        <b/>
        <sz val="10"/>
        <color theme="1"/>
        <rFont val="Arial"/>
        <family val="2"/>
      </rPr>
      <t>p</t>
    </r>
    <r>
      <rPr>
        <sz val="10"/>
        <color theme="1"/>
        <rFont val="Arial"/>
        <family val="2"/>
      </rPr>
      <t xml:space="preserve"> - provisional</t>
    </r>
  </si>
  <si>
    <r>
      <rPr>
        <b/>
        <sz val="10"/>
        <color theme="1"/>
        <rFont val="Arial"/>
        <family val="2"/>
      </rPr>
      <t>r</t>
    </r>
    <r>
      <rPr>
        <sz val="10"/>
        <color theme="1"/>
        <rFont val="Arial"/>
        <family val="2"/>
      </rPr>
      <t xml:space="preserve"> - revised</t>
    </r>
  </si>
  <si>
    <r>
      <rPr>
        <b/>
        <sz val="10"/>
        <rFont val="Arial"/>
        <family val="2"/>
      </rPr>
      <t>r</t>
    </r>
    <r>
      <rPr>
        <sz val="10"/>
        <rFont val="Arial"/>
        <family val="2"/>
      </rPr>
      <t xml:space="preserve"> - revised</t>
    </r>
  </si>
  <si>
    <t>Non-fatal casualty data from 2009-10 onwards should not be compared with previous years. This is due to a change in the recording of non-fatal casualties. Please see Technical Notes on Statistics for more details.</t>
  </si>
  <si>
    <t>Figures for primary fires prior to 2009-10 are based on sample data weighted to (former) Fire and Rescue Service totals, this is due to a change in the recording of non-fatal casualties. Please see Technical Notes on Statistics for details.</t>
  </si>
  <si>
    <t>Dwellings data was sourced from:</t>
  </si>
  <si>
    <r>
      <rPr>
        <b/>
        <sz val="10"/>
        <rFont val="Arial"/>
        <family val="2"/>
      </rPr>
      <t xml:space="preserve">p </t>
    </r>
    <r>
      <rPr>
        <sz val="10"/>
        <rFont val="Arial"/>
        <family val="2"/>
      </rPr>
      <t>- provisional</t>
    </r>
  </si>
  <si>
    <t>Extrication of Person(s)</t>
  </si>
  <si>
    <t>Release of Person(s)</t>
  </si>
  <si>
    <t>We no longer provide a count of the number of incidents where a water supply was isolated as we are not presently confident in the method used to determine this. We have included the figures for previous years in the 'Other' category.</t>
  </si>
  <si>
    <t xml:space="preserve">Effecting Entry or Exit </t>
  </si>
  <si>
    <t>Other Special Service</t>
  </si>
  <si>
    <t>Other Transport Incident</t>
  </si>
  <si>
    <t>Rescue or Evacuation from Water</t>
  </si>
  <si>
    <t>Other Rescue or Release of Persons</t>
  </si>
  <si>
    <t>Medical Incident: Co-responder or First responder</t>
  </si>
  <si>
    <t>Suicide and Suicide Attempts</t>
  </si>
  <si>
    <t>Hazardous Materials Incident</t>
  </si>
  <si>
    <t>Removal of Objects</t>
  </si>
  <si>
    <t>Animal Assistance Incidents</t>
  </si>
  <si>
    <t>No Action (not false alarm)</t>
  </si>
  <si>
    <t>Water Provision</t>
  </si>
  <si>
    <t>Assist Other Agencies</t>
  </si>
  <si>
    <t>Medical Incident - Co-responder or First responder</t>
  </si>
  <si>
    <t>Removal of Objects from People</t>
  </si>
  <si>
    <t>Warehouses and Bulk Storage</t>
  </si>
  <si>
    <t>Offices and Call Centres</t>
  </si>
  <si>
    <t>Public Admin, Security and Safety</t>
  </si>
  <si>
    <t>Hospitals and Medical Care</t>
  </si>
  <si>
    <t>Figures for primary fires prior to 2009-10 are based on sample data weighted to (former) Fire and Rescue Service totals.</t>
  </si>
  <si>
    <t>Outdoor Structures</t>
  </si>
  <si>
    <t>Outdoor Equipment and Machinery</t>
  </si>
  <si>
    <t>Grassland and Crops</t>
  </si>
  <si>
    <t>Other Transport Vehicle</t>
  </si>
  <si>
    <t>Derelict Buildings</t>
  </si>
  <si>
    <t>Intentional Straw or Stubble</t>
  </si>
  <si>
    <t>Small Rubbish Container 
(eg wheelie bin)</t>
  </si>
  <si>
    <t>Large Rubbish container
 (eg skip)</t>
  </si>
  <si>
    <t>Loose Rubbish Tip</t>
  </si>
  <si>
    <r>
      <rPr>
        <b/>
        <sz val="10"/>
        <rFont val="Arial"/>
        <family val="2"/>
      </rPr>
      <t xml:space="preserve">p </t>
    </r>
    <r>
      <rPr>
        <sz val="10"/>
        <rFont val="Arial"/>
        <family val="2"/>
      </rPr>
      <t>-provisional</t>
    </r>
  </si>
  <si>
    <t>The introduction of the IRS caused a change in these categories. The sub-categories for 2007-08 to 2008-09 do not add up to the total shown here, but are taken from previous tables. To see the old tables and breakdown of sub-categories up to and including 2008-09 please see http://www.gov.scot/Topics/Statistics/Browse/Crime-Justice/PubFires.</t>
  </si>
  <si>
    <t>Welsh Fire Statistics was taken from:
https://gov.wales/statistics-and-research/fire-statistics/?lang=en
Welsh Population Statistics was taken from:
https://www.ons.gov.uk/peoplepopulationandcommunity/populationandmigration/populationestimates
English Fire Statistics was taken from:
https://www.gov.uk/government/statistical-data-sets/fire-statistics-data-tables#history
Scottish Population Statistics were taken from:
https://www.nrscotland.gov.uk/statistics-and-data/statistics/statistics-by-theme/population/population-estimates/mid-year-population-estimates/population-estimates-time-series-data</t>
  </si>
  <si>
    <t>Due to the importance of the Scottish Fatal Casualties timeseries we have chosen to extend the usual application of our revisions policy and revise the figure for 2014-15 down by 1. The cause of death in this case was found to be not fire related. We have also updated the England statistics from provisional figures to the most recent figures.</t>
  </si>
  <si>
    <t>We have updated the England statistics from provisional figures to the most recent figures.</t>
  </si>
  <si>
    <t>This table has been introduced this year.</t>
  </si>
  <si>
    <t>We have updated the England and Wales statistics from provisional figures to the most recent figures.</t>
  </si>
  <si>
    <t>Refuse - Small Rubbish Container (eg wheelie bin)</t>
  </si>
  <si>
    <t>Refuse - Large Rubbish Container (eg skip)</t>
  </si>
  <si>
    <t>Refuse - Loose Rubbish Tip</t>
  </si>
  <si>
    <t>Local Authority population estimates were produced by National Records Scotland and have been taken from:</t>
  </si>
  <si>
    <t>Burns and Overcome by Gas or Smoke</t>
  </si>
  <si>
    <t>Overcome by Gas, Smoke or Fumes</t>
  </si>
  <si>
    <t>Physical Injuries</t>
  </si>
  <si>
    <t>Other Specified</t>
  </si>
  <si>
    <t>Other/Not Known</t>
  </si>
  <si>
    <t>Shock Only</t>
  </si>
  <si>
    <t>"Other Specified" is an aggregate category including impalement, drowning, hypothermia, heat exhaustion, chest pain or heart condition or cardiac arrest, and other medical conditions.</t>
  </si>
  <si>
    <t>Precautionary Check Recommended</t>
  </si>
  <si>
    <t>First Aid Given at Scene</t>
  </si>
  <si>
    <t>Hospital Visit, Slight Injuries</t>
  </si>
  <si>
    <t>Hospital Visit, Serious Injuries</t>
  </si>
  <si>
    <r>
      <rPr>
        <b/>
        <sz val="10"/>
        <color theme="1"/>
        <rFont val="Arial"/>
        <family val="2"/>
      </rPr>
      <t xml:space="preserve">p </t>
    </r>
    <r>
      <rPr>
        <sz val="10"/>
        <color theme="1"/>
        <rFont val="Arial"/>
        <family val="2"/>
      </rPr>
      <t>- provisional</t>
    </r>
  </si>
  <si>
    <r>
      <rPr>
        <b/>
        <sz val="10"/>
        <color theme="1"/>
        <rFont val="Arial"/>
        <family val="2"/>
      </rPr>
      <t xml:space="preserve">r </t>
    </r>
    <r>
      <rPr>
        <sz val="10"/>
        <color theme="1"/>
        <rFont val="Arial"/>
        <family val="2"/>
      </rPr>
      <t>- revised</t>
    </r>
  </si>
  <si>
    <t>Population estimates were taken from https://www.nrscotland.gov.uk/statistics-and-data/statistics/statistics-by-theme/population/population-estimates/mid-year-population-estimates/mid-2017</t>
  </si>
  <si>
    <t>In previous publications the provisional population figures published by NRS had not been updated, we have revised these to the most recent figures, this has resulted in very small proportional changes. There had also been a errors in cell referencing which have now been resolved</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</si>
  <si>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</si>
  <si>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Statistics are revised annually in the most recently published workbook. Users are strongly advised to source statistics from the most recent publication.</t>
  </si>
  <si>
    <t>Population estimates were taken from https://www.nrscotland.gov.uk/statistics-and-data/statistics/statistics-by-theme/population/population-estimates/mid-year-population-estimates/population-estimates-time-series-data</t>
  </si>
  <si>
    <t>We have revised the age breakdown figures to match the timeseries published by NRS and have corrected cell referencing errors where the wrong population figure had been used, these have resulted in small proportional changes.</t>
  </si>
  <si>
    <t>We have revised the age breakdown figures to match the timeseries published by NRS, this has resulted in small proportional changes.</t>
  </si>
  <si>
    <t>Mid Year Estimates: Population Estimates</t>
  </si>
  <si>
    <t>Total Population</t>
  </si>
  <si>
    <t>Sum of Females</t>
  </si>
  <si>
    <t>Sum of Males</t>
  </si>
  <si>
    <t>who</t>
  </si>
  <si>
    <t>We have revised the age breakdown figures to match the timeseries published by NRS and amended the series so that the total figures include cases of unknown/unspecified age, these have resulted in small proportional changes.</t>
  </si>
  <si>
    <t>There was a change in the recording of smoke alarms data in 2009-10 causing a discontinuity, please see Technical Notes on Statistics for details.</t>
  </si>
  <si>
    <t>Figures before 2009-10 for primary fires are based on sample data weighted to (former) Fire and Rescue Service totals.</t>
  </si>
  <si>
    <r>
      <rPr>
        <b/>
        <sz val="10"/>
        <color theme="1"/>
        <rFont val="Arial"/>
        <family val="2"/>
      </rPr>
      <t xml:space="preserve">r - </t>
    </r>
    <r>
      <rPr>
        <sz val="10"/>
        <color theme="1"/>
        <rFont val="Arial"/>
        <family val="2"/>
      </rPr>
      <t>revised</t>
    </r>
  </si>
  <si>
    <t>Figures for this table have been revised back to 2013-14 in order to correct a historic methodology problem. It has not been possible to backdate corrections further in time for this publication. The figures now correctly aggregate correctly to the figure presented in Table 19. Please see Statistical News 2017-18 for more.</t>
  </si>
  <si>
    <r>
      <rPr>
        <b/>
        <sz val="10"/>
        <color theme="1"/>
        <rFont val="Arial"/>
        <family val="2"/>
      </rPr>
      <t xml:space="preserve">r </t>
    </r>
    <r>
      <rPr>
        <sz val="10"/>
        <color theme="1"/>
        <rFont val="Arial"/>
        <family val="2"/>
      </rPr>
      <t>- revised</t>
    </r>
  </si>
  <si>
    <r>
      <rPr>
        <b/>
        <sz val="10"/>
        <color theme="1"/>
        <rFont val="Arial"/>
        <family val="2"/>
      </rPr>
      <t>p</t>
    </r>
    <r>
      <rPr>
        <sz val="10"/>
        <color theme="1"/>
        <rFont val="Arial"/>
        <family val="2"/>
      </rPr>
      <t xml:space="preserve"> - provisional</t>
    </r>
  </si>
  <si>
    <t>The time of call presented here refers to the hour in which SFRS were first alerted to the incident determined by truncation i.e. a call received at 1:53am would be reported as 1am.</t>
  </si>
  <si>
    <t>Figures for secondary fires with six or more appliances have been revised into 'Unknown' pending further quality assurance. While it is possible six or more appliances could attend an incident without qualifying as primary fires (by having five or more attending simultaneously), this is sufficiently unlikely to require further inquiry.</t>
  </si>
  <si>
    <t>The number of appliances presented here is the total number of appliances that attended an incident at any time and counts both Pumping Appliances and Arial Rescue Platforms.</t>
  </si>
  <si>
    <t>Late call incidents are excluded from these figures.</t>
  </si>
  <si>
    <t>Choropleth Map and Cartogram of Primary Fire Rates per 100,000 Population by Local Authority</t>
  </si>
  <si>
    <t>Choropleth Map and Cartogram of Secondary Fire Rates per 100,000 Population by Local Authority</t>
  </si>
  <si>
    <t>Figure Fatal Casualties</t>
  </si>
  <si>
    <t>Long-Term Trend of Non-fatal Casualties</t>
  </si>
  <si>
    <t>Choropleth Map and Cartogram of Accidental Dwelling Fire Rates per 100,000 Population by Local Authority</t>
  </si>
  <si>
    <t>Figure Non-fatal Casualties</t>
  </si>
  <si>
    <t>Choropleth Map and Cartogram of Non-fire Incident Rates per 100,000 Population by Local Authority</t>
  </si>
  <si>
    <t>Fatalities in Non-fire Incidents by Type of Incident</t>
  </si>
  <si>
    <t>Non-Fire Incidents by Type of Incident</t>
  </si>
  <si>
    <t>Non-fatal Casualties in Non-fire Incidents by Type of Incident</t>
  </si>
  <si>
    <t>Introduction</t>
  </si>
  <si>
    <t>Introduction Page</t>
  </si>
  <si>
    <t>Figure 24</t>
  </si>
  <si>
    <t>Figure 25</t>
  </si>
  <si>
    <t>Figure 26</t>
  </si>
  <si>
    <t>Casualties by Time of Call, Long-Term Average</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</si>
  <si>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</si>
  <si>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Table 19: Dwelling fires and casualties by presence and operation of smoke alarms,     2007-08 to 2017-18</t>
  </si>
  <si>
    <t>Primary_Total</t>
  </si>
  <si>
    <t>Primary:1:Dwelling</t>
  </si>
  <si>
    <t>Primary:2:Other Buildings</t>
  </si>
  <si>
    <t>Primary:3:Road Vehicle</t>
  </si>
  <si>
    <t>Primary:4:Others</t>
  </si>
  <si>
    <t>Secondary_Total</t>
  </si>
  <si>
    <t>Chimney_Total</t>
  </si>
  <si>
    <t>TOTAL</t>
  </si>
  <si>
    <t>PubLANAME</t>
  </si>
  <si>
    <t>1:Dwelling</t>
  </si>
  <si>
    <t>2:Other Buildings</t>
  </si>
  <si>
    <t>3:Road Vehicle</t>
  </si>
  <si>
    <t>4:Others</t>
  </si>
  <si>
    <t>pop</t>
  </si>
  <si>
    <t>VICTIM_TYPE_DESCRIPTION</t>
  </si>
  <si>
    <t>Casualties</t>
  </si>
  <si>
    <t>Total_ADF</t>
  </si>
  <si>
    <t>a.Accidental</t>
  </si>
  <si>
    <t>a.Not known</t>
  </si>
  <si>
    <t>b.Year</t>
  </si>
  <si>
    <t>Total_fatal_ADF</t>
  </si>
  <si>
    <t>b.Accidental</t>
  </si>
  <si>
    <t>b.Not known</t>
  </si>
  <si>
    <t>c.Year</t>
  </si>
  <si>
    <t>Total_nonfatal_ADF</t>
  </si>
  <si>
    <t>c.Accidental</t>
  </si>
  <si>
    <t>c.Not known</t>
  </si>
  <si>
    <t>Fire alarm due to Apparatus</t>
  </si>
  <si>
    <t>Good Intent false alarm</t>
  </si>
  <si>
    <t>Malicious False Alarm</t>
  </si>
  <si>
    <t>ZNo Location</t>
  </si>
  <si>
    <t>1Malicious False Alarm</t>
  </si>
  <si>
    <t>2Fire alarm due to Apparatus</t>
  </si>
  <si>
    <t>3Good Intent false alarm</t>
  </si>
  <si>
    <t>Pub_falsealarm</t>
  </si>
  <si>
    <t>False Alarm - Property not found</t>
  </si>
  <si>
    <t>Special Services False Alarms</t>
  </si>
  <si>
    <t>SpecialServiceFalseAlarms</t>
  </si>
  <si>
    <t>01:RTC</t>
  </si>
  <si>
    <t>02:Other Transport incident</t>
  </si>
  <si>
    <t>03:Flooding</t>
  </si>
  <si>
    <t>04:Rescue or evacuation from water</t>
  </si>
  <si>
    <t>05:Other rescue/release of persons</t>
  </si>
  <si>
    <t>06:Evacuation (no fire)</t>
  </si>
  <si>
    <t>07:Lift Release</t>
  </si>
  <si>
    <t>08:Medical Incident - First responder/Co-responder</t>
  </si>
  <si>
    <t>09:Suicide/attempts</t>
  </si>
  <si>
    <t>10:Hazardous Materials incident</t>
  </si>
  <si>
    <t>11:Spills and Leaks (not RTC)</t>
  </si>
  <si>
    <t>12:Removal of objects</t>
  </si>
  <si>
    <t>13:Animal assistance incidents</t>
  </si>
  <si>
    <t>14:Effecting entry/exit</t>
  </si>
  <si>
    <t>15:Making Safe (not RTC)</t>
  </si>
  <si>
    <t>16:No action (not false alarm)</t>
  </si>
  <si>
    <t>17:Water provision</t>
  </si>
  <si>
    <t>18:Stand By</t>
  </si>
  <si>
    <t>19:Assist other agencies</t>
  </si>
  <si>
    <t>20:Advice Only</t>
  </si>
  <si>
    <t>SpecialServices_LEVEL 1</t>
  </si>
  <si>
    <t>Total_RTC</t>
  </si>
  <si>
    <t>1Extrication of person/s</t>
  </si>
  <si>
    <t>2Release of person/s</t>
  </si>
  <si>
    <t>3Make vehicle safe</t>
  </si>
  <si>
    <t>4Make scene safe</t>
  </si>
  <si>
    <t>5Medical assistance only</t>
  </si>
  <si>
    <t>6Stand by - no action</t>
  </si>
  <si>
    <t>7Wash down road</t>
  </si>
  <si>
    <t>8Advice only</t>
  </si>
  <si>
    <t>9Other</t>
  </si>
  <si>
    <t>Total_Flooding</t>
  </si>
  <si>
    <t>1Evacuation</t>
  </si>
  <si>
    <t>2Pumping out</t>
  </si>
  <si>
    <t>3Stand by - no action</t>
  </si>
  <si>
    <t>4Advice only</t>
  </si>
  <si>
    <t>5Make safe</t>
  </si>
  <si>
    <t>7Other</t>
  </si>
  <si>
    <t>fatal</t>
  </si>
  <si>
    <t>nonfatal</t>
  </si>
  <si>
    <t>Other Transport incident</t>
  </si>
  <si>
    <t>Rescue or evacuation from water</t>
  </si>
  <si>
    <t>Other rescue/release of persons</t>
  </si>
  <si>
    <t>Medical Incident - First responder/Co-responder</t>
  </si>
  <si>
    <t>Suicide/attempts</t>
  </si>
  <si>
    <t>Hazardous Materials incident</t>
  </si>
  <si>
    <t>Removal of objects</t>
  </si>
  <si>
    <t>Animal assistance incidents</t>
  </si>
  <si>
    <t xml:space="preserve">Effecting entry/exit </t>
  </si>
  <si>
    <t>Effecting entry/exit</t>
  </si>
  <si>
    <t>No action (not false alarm)</t>
  </si>
  <si>
    <t>Water provision</t>
  </si>
  <si>
    <t>Assist other agencies</t>
  </si>
  <si>
    <t>a.Pub_specialservice</t>
  </si>
  <si>
    <t>b.Expr1002</t>
  </si>
  <si>
    <t>b.Pub_specialservice</t>
  </si>
  <si>
    <t>b.2015-16</t>
  </si>
  <si>
    <t>b.2016-17</t>
  </si>
  <si>
    <t>b.2017-18</t>
  </si>
  <si>
    <t>c.Expr1002</t>
  </si>
  <si>
    <t>c.Pub_specialservice</t>
  </si>
  <si>
    <t>c.2015-16</t>
  </si>
  <si>
    <t>c.2016-17</t>
  </si>
  <si>
    <t>c.2017-18</t>
  </si>
  <si>
    <t>Buildings_Total</t>
  </si>
  <si>
    <t>01:Other Residential</t>
  </si>
  <si>
    <t>02:Private garages, sheds, etc</t>
  </si>
  <si>
    <t>03:Permanent Agricultural</t>
  </si>
  <si>
    <t>04:Industrial</t>
  </si>
  <si>
    <t>05:Warehouses and bulk storage</t>
  </si>
  <si>
    <t>06:Offices and call centres</t>
  </si>
  <si>
    <t>07:Public admin, security and safety</t>
  </si>
  <si>
    <t>08:Entertainment, Sport and Culture</t>
  </si>
  <si>
    <t>09:Food and Drink</t>
  </si>
  <si>
    <t>10:Retail</t>
  </si>
  <si>
    <t>11:Education</t>
  </si>
  <si>
    <t>12:Hospitals and medical care</t>
  </si>
  <si>
    <t>13:Others</t>
  </si>
  <si>
    <t>Dwelling</t>
  </si>
  <si>
    <t>IS_PRIMARY_FIRE</t>
  </si>
  <si>
    <t>Total_Primary_Outdoor_Fires</t>
  </si>
  <si>
    <t>01:Outdoor structures</t>
  </si>
  <si>
    <t>02:Outdoor equipment and machinery</t>
  </si>
  <si>
    <t>03:Grassland and crops</t>
  </si>
  <si>
    <t>04:Woodland</t>
  </si>
  <si>
    <t>05:Other Transport Vehicle</t>
  </si>
  <si>
    <t>06:Other outdoors (including land)</t>
  </si>
  <si>
    <t>07:Car</t>
  </si>
  <si>
    <t>08:Abandoned Car</t>
  </si>
  <si>
    <t>09:Other Road Vehicle</t>
  </si>
  <si>
    <t>10:Abandoned Other Road Vehicle</t>
  </si>
  <si>
    <t>Total_Secondary_Outdoor_Fires</t>
  </si>
  <si>
    <t>01:Derelict Building</t>
  </si>
  <si>
    <t>02:Grassland</t>
  </si>
  <si>
    <t>03:Intentional straw or stubble</t>
  </si>
  <si>
    <t>04:Outdoor structures</t>
  </si>
  <si>
    <t>05:Derelict Vehicle</t>
  </si>
  <si>
    <t>07:Refuse - small/rubbish container</t>
  </si>
  <si>
    <t>08:Refuse - large/rubbish container</t>
  </si>
  <si>
    <t>09:Refuse - loose/rubbish tip</t>
  </si>
  <si>
    <t>Pub_cause_txt</t>
  </si>
  <si>
    <t>Total_Primary_Fires</t>
  </si>
  <si>
    <t>Total_Fatal_Casulaties</t>
  </si>
  <si>
    <t>Non_fatal Casualties Total</t>
  </si>
  <si>
    <t>1:fires</t>
  </si>
  <si>
    <t>2:fatal</t>
  </si>
  <si>
    <t>3:nonfatal</t>
  </si>
  <si>
    <t>Total_Secondary_Fires</t>
  </si>
  <si>
    <t>Total_Fatal</t>
  </si>
  <si>
    <t>Total_Nonfatal</t>
  </si>
  <si>
    <t>Not specified</t>
  </si>
  <si>
    <t>Other specified</t>
  </si>
  <si>
    <t>Pub_fatalCode</t>
  </si>
  <si>
    <t>Pub_fataldescription</t>
  </si>
  <si>
    <t>Females</t>
  </si>
  <si>
    <t>Males</t>
  </si>
  <si>
    <t>Pub_injury_withchecks</t>
  </si>
  <si>
    <t>Treatment</t>
  </si>
  <si>
    <t>FRS personnelFemale</t>
  </si>
  <si>
    <t>FRS personnelMale</t>
  </si>
  <si>
    <t>FRS personnelNot known</t>
  </si>
  <si>
    <t>FRS personnelNot specified</t>
  </si>
  <si>
    <t>Non FRS personnelFemale</t>
  </si>
  <si>
    <t>Non FRS personnelMale</t>
  </si>
  <si>
    <t>Non FRS personnelNot known</t>
  </si>
  <si>
    <t>Non FRS personnelNot specified</t>
  </si>
  <si>
    <t>FRS personnel17-29</t>
  </si>
  <si>
    <t>FRS personnel30-59</t>
  </si>
  <si>
    <t>FRS personnel60+</t>
  </si>
  <si>
    <t>FRS personnelUnknown</t>
  </si>
  <si>
    <t>Non FRS personnel0-16</t>
  </si>
  <si>
    <t>Non FRS personnel17-29</t>
  </si>
  <si>
    <t>Non FRS personnel30-59</t>
  </si>
  <si>
    <t>Non FRS personnel60+</t>
  </si>
  <si>
    <t>Non FRS personnelUnknown</t>
  </si>
  <si>
    <t>1</t>
  </si>
  <si>
    <t>2</t>
  </si>
  <si>
    <t>3</t>
  </si>
  <si>
    <t>Rescued (rescue without injury)</t>
  </si>
  <si>
    <t>VICTIM_TYPE_CODE</t>
  </si>
  <si>
    <t>Dwelling: Fatal</t>
  </si>
  <si>
    <t>Dwelling: Nonfatal</t>
  </si>
  <si>
    <t>Dwelling: Primary fires</t>
  </si>
  <si>
    <t>Type</t>
  </si>
  <si>
    <t>1Present, operated and raised the alarm</t>
  </si>
  <si>
    <t>2Present, operated but did not raise the alarm</t>
  </si>
  <si>
    <t>3Present but did not operate</t>
  </si>
  <si>
    <t>4Smoke alarm absent</t>
  </si>
  <si>
    <t>5Don't know if smoke alarm was present</t>
  </si>
  <si>
    <t>a.Type</t>
  </si>
  <si>
    <t>a.PubLANAME</t>
  </si>
  <si>
    <t>a.Total</t>
  </si>
  <si>
    <t>a.1Present, operated and raised the alarm</t>
  </si>
  <si>
    <t>a.2Present, operated but did not raise the alarm</t>
  </si>
  <si>
    <t>a.3Present but did not operate</t>
  </si>
  <si>
    <t>a.4Smoke alarm absent</t>
  </si>
  <si>
    <t>a.5Don't know if smoke alarm was present</t>
  </si>
  <si>
    <t>f.Year</t>
  </si>
  <si>
    <t>f.PubLANAME</t>
  </si>
  <si>
    <t>f.Type</t>
  </si>
  <si>
    <t>f.Total</t>
  </si>
  <si>
    <t>f.1Present, operated and raised the alarm</t>
  </si>
  <si>
    <t>f.2Present, operated but did not raise the alarm</t>
  </si>
  <si>
    <t>f.3Present but did not operate</t>
  </si>
  <si>
    <t>f.4Smoke alarm absent</t>
  </si>
  <si>
    <t>f.5Don't know if smoke alarm was present</t>
  </si>
  <si>
    <t>n.Year</t>
  </si>
  <si>
    <t>n.PubLANAME</t>
  </si>
  <si>
    <t>n.Type</t>
  </si>
  <si>
    <t>n.Total</t>
  </si>
  <si>
    <t>n.1Present, operated and raised the alarm</t>
  </si>
  <si>
    <t>n.2Present, operated but did not raise the alarm</t>
  </si>
  <si>
    <t>n.3Present but did not operate</t>
  </si>
  <si>
    <t>n.4Smoke alarm absent</t>
  </si>
  <si>
    <t>n.5Don't know if smoke alarm was present</t>
  </si>
  <si>
    <t>01:Fire not close enough to detector</t>
  </si>
  <si>
    <t>02:Fire in area not covered by system</t>
  </si>
  <si>
    <t>03:Alarm battery defective</t>
  </si>
  <si>
    <t>04:Alerted by other means</t>
  </si>
  <si>
    <t>05:Alarm battery missing</t>
  </si>
  <si>
    <t>06:Fault in system</t>
  </si>
  <si>
    <t>07:Other</t>
  </si>
  <si>
    <t>08:Detector removed</t>
  </si>
  <si>
    <t>09:Not Known</t>
  </si>
  <si>
    <t>10:System damaged by fire</t>
  </si>
  <si>
    <t>11:System not set up correctly</t>
  </si>
  <si>
    <t>12:System turned off</t>
  </si>
  <si>
    <t>PublishAs</t>
  </si>
  <si>
    <t>Not know/other</t>
  </si>
  <si>
    <t>publication_code</t>
  </si>
  <si>
    <t>Publication_text</t>
  </si>
  <si>
    <t>Pub_level_type_o</t>
  </si>
  <si>
    <t>1:Yes</t>
  </si>
  <si>
    <t>2:No</t>
  </si>
  <si>
    <t>3:Not Known</t>
  </si>
  <si>
    <t>Non-fatal</t>
  </si>
  <si>
    <t>Expr1000</t>
  </si>
  <si>
    <t>Pub_level_type</t>
  </si>
  <si>
    <t>1Confined to the item</t>
  </si>
  <si>
    <t>2Beyond item but limited to room</t>
  </si>
  <si>
    <t>3Elsewhere in building</t>
  </si>
  <si>
    <t>4Fire Beyond building</t>
  </si>
  <si>
    <t>5Not applicable</t>
  </si>
  <si>
    <t>6Smoke and/or Heat damage only</t>
  </si>
  <si>
    <t>01</t>
  </si>
  <si>
    <t>02</t>
  </si>
  <si>
    <t>03-05</t>
  </si>
  <si>
    <t>06-10</t>
  </si>
  <si>
    <t>11-15</t>
  </si>
  <si>
    <t>16+</t>
  </si>
  <si>
    <t>Outdoor</t>
  </si>
  <si>
    <t>Casualty</t>
  </si>
  <si>
    <t>DDF</t>
  </si>
  <si>
    <t>Country</t>
  </si>
  <si>
    <t>Fatalpm</t>
  </si>
  <si>
    <t>Nonfatal</t>
  </si>
  <si>
    <t>Nonfatalpm</t>
  </si>
  <si>
    <t>Totalfires</t>
  </si>
  <si>
    <t>Totalfirespm</t>
  </si>
  <si>
    <t>PrimaryFires</t>
  </si>
  <si>
    <t>PrimaryFirespm</t>
  </si>
  <si>
    <t>SecondaryFires</t>
  </si>
  <si>
    <t>SecondaryFirespm</t>
  </si>
  <si>
    <t>Persons</t>
  </si>
  <si>
    <t>Council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</si>
</sst>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_(* #,##0_);_(* \(#,##0\);_(* &quot;-&quot;_);_(@_)"/>
    <numFmt numFmtId="165" formatCode="_(* #,##0.00_);_(* \(#,##0.00\);_(* &quot;-&quot;??_);_(@_)"/>
    <numFmt numFmtId="166" formatCode="#,##0.0"/>
    <numFmt numFmtId="167" formatCode="0.0"/>
    <numFmt numFmtId="168" formatCode="_-* #,##0.0_-;\-* #,##0.0_-;_-* &quot;-&quot;??_-;_-@_-"/>
    <numFmt numFmtId="169" formatCode="_-* #,##0_-;\-* #,##0_-;_-* &quot;-&quot;??_-;_-@_-"/>
    <numFmt numFmtId="170" formatCode="General_)"/>
    <numFmt numFmtId="171" formatCode="_-* #,##0.0_-;\-* #,##0.0_-;_-* &quot;-&quot;_-;_-@_-"/>
    <numFmt numFmtId="172" formatCode="#,##0;\ \-0;\ &quot;-&quot;"/>
    <numFmt numFmtId="173" formatCode="#,##0.0_ ;\-#,##0.0\ "/>
  </numFmts>
  <fonts count="12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rgb="FFFF0000"/>
      <name val="Arial"/>
      <family val="2"/>
    </font>
    <font>
      <b/>
      <sz val="10"/>
      <color theme="1"/>
      <name val="Arial"/>
      <family val="2"/>
    </font>
    <font>
      <b/>
      <sz val="10"/>
      <name val="Arial"/>
      <family val="2"/>
    </font>
    <font>
      <b/>
      <vertAlign val="superscript"/>
      <sz val="10"/>
      <name val="Arial"/>
      <family val="2"/>
    </font>
    <font>
      <sz val="10"/>
      <color indexed="8"/>
      <name val="Arial"/>
      <family val="2"/>
    </font>
    <font>
      <sz val="11"/>
      <color indexed="8"/>
      <name val="Calibri"/>
      <family val="2"/>
    </font>
    <font>
      <sz val="10"/>
      <name val="Arial"/>
      <family val="2"/>
    </font>
    <font>
      <i/>
      <sz val="10"/>
      <color theme="1"/>
      <name val="Arial"/>
      <family val="2"/>
    </font>
    <font>
      <b/>
      <i/>
      <sz val="10"/>
      <name val="Arial"/>
      <family val="2"/>
    </font>
    <font>
      <i/>
      <sz val="10"/>
      <name val="Arial"/>
      <family val="2"/>
    </font>
    <font>
      <b/>
      <sz val="10"/>
      <color rgb="FFFF0000"/>
      <name val="Arial"/>
      <family val="2"/>
    </font>
    <font>
      <b/>
      <sz val="10"/>
      <color indexed="8"/>
      <name val="Arial"/>
      <family val="2"/>
    </font>
    <font>
      <sz val="10"/>
      <color indexed="10"/>
      <name val="Arial"/>
      <family val="2"/>
    </font>
    <font>
      <u/>
      <sz val="10"/>
      <color indexed="12"/>
      <name val="Arial"/>
      <family val="2"/>
    </font>
    <font>
      <sz val="10"/>
      <color indexed="8"/>
      <name val="Calibri"/>
      <family val="2"/>
    </font>
    <font>
      <sz val="10"/>
      <color indexed="57"/>
      <name val="Arial"/>
      <family val="2"/>
    </font>
    <font>
      <i/>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1"/>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12"/>
      <color theme="1"/>
      <name val="Arial"/>
      <family val="2"/>
    </font>
    <font>
      <b/>
      <sz val="12"/>
      <color theme="1"/>
      <name val="Arial"/>
      <family val="2"/>
    </font>
    <font>
      <b/>
      <sz val="11"/>
      <color theme="1"/>
      <name val="Arial"/>
      <family val="2"/>
    </font>
    <font>
      <sz val="11"/>
      <color theme="1"/>
      <name val="Arial"/>
      <family val="2"/>
    </font>
    <font>
      <u/>
      <sz val="11"/>
      <color indexed="12"/>
      <name val="Arial"/>
      <family val="2"/>
    </font>
    <font>
      <sz val="11"/>
      <name val="Arial"/>
      <family val="2"/>
    </font>
    <font>
      <b/>
      <sz val="9.5"/>
      <name val="Arial"/>
      <family val="2"/>
    </font>
    <font>
      <b/>
      <i/>
      <sz val="10"/>
      <color theme="1"/>
      <name val="Arial"/>
      <family val="2"/>
    </font>
    <font>
      <sz val="11"/>
      <name val="Times New Roman"/>
      <family val="1"/>
    </font>
    <font>
      <b/>
      <sz val="12"/>
      <name val="Arial"/>
      <family val="2"/>
    </font>
    <font>
      <b/>
      <sz val="11"/>
      <name val="Arial"/>
      <family val="2"/>
    </font>
    <font>
      <sz val="10"/>
      <name val="MS Sans Serif"/>
      <family val="2"/>
    </font>
    <font>
      <sz val="14"/>
      <name val="Arial"/>
      <family val="2"/>
    </font>
    <font>
      <b/>
      <i/>
      <sz val="11"/>
      <name val="Arial"/>
      <family val="2"/>
    </font>
    <font>
      <b/>
      <i/>
      <sz val="11"/>
      <color theme="1"/>
      <name val="Arial"/>
      <family val="2"/>
    </font>
    <font>
      <sz val="10"/>
      <name val="Arial"/>
      <family val="2"/>
    </font>
    <font>
      <sz val="8"/>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MS Sans Serif"/>
      <family val="2"/>
    </font>
    <font>
      <b/>
      <sz val="9"/>
      <name val="Arial"/>
      <family val="2"/>
    </font>
    <font>
      <b/>
      <sz val="9"/>
      <color theme="1"/>
      <name val="Arial"/>
      <family val="2"/>
    </font>
    <font>
      <sz val="9"/>
      <color theme="1"/>
      <name val="Arial"/>
      <family val="2"/>
    </font>
    <font>
      <u/>
      <sz val="9"/>
      <color indexed="12"/>
      <name val="Arial"/>
      <family val="2"/>
    </font>
    <font>
      <sz val="9"/>
      <name val="Arial"/>
      <family val="2"/>
    </font>
    <font>
      <u/>
      <sz val="11"/>
      <color rgb="FF0563C1"/>
      <name val="Arial"/>
      <family val="2"/>
    </font>
    <font>
      <b/>
      <sz val="11"/>
      <color rgb="FF000000"/>
      <name val="Arial"/>
      <family val="2"/>
    </font>
    <font>
      <b/>
      <sz val="16"/>
      <color theme="1"/>
      <name val="Arial"/>
      <family val="2"/>
    </font>
    <font>
      <sz val="11"/>
      <color indexed="8"/>
      <name val="Calibri"/>
      <family val="2"/>
    </font>
    <font>
      <sz val="10"/>
      <color indexed="8"/>
      <name val="Arial"/>
      <family val="2"/>
    </font>
    <font>
      <sz val="9"/>
      <color rgb="FFFF0000"/>
      <name val="Arial"/>
      <family val="2"/>
    </font>
    <font>
      <sz val="10"/>
      <color theme="6" tint="-0.499984740745262"/>
      <name val="Arial"/>
      <family val="2"/>
    </font>
    <font>
      <sz val="10"/>
      <color indexed="17"/>
      <name val="Arial"/>
      <family val="2"/>
    </font>
    <font>
      <b/>
      <sz val="10"/>
      <color indexed="17"/>
      <name val="Arial"/>
      <family val="2"/>
    </font>
    <font>
      <sz val="10"/>
      <name val="Arial"/>
      <family val="2"/>
    </font>
    <font>
      <b/>
      <i/>
      <sz val="10"/>
      <color indexed="8"/>
      <name val="Arial"/>
      <family val="2"/>
    </font>
    <font>
      <b/>
      <sz val="10"/>
      <color theme="0" tint="-0.499984740745262"/>
      <name val="Arial"/>
      <family val="2"/>
    </font>
    <font>
      <sz val="10"/>
      <color rgb="FF0070C0"/>
      <name val="Arial"/>
      <family val="2"/>
    </font>
    <font>
      <b/>
      <sz val="8"/>
      <name val="Arial"/>
      <family val="2"/>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8"/>
      <color indexed="8"/>
      <name val="Arial"/>
      <family val="2"/>
    </font>
    <font>
      <sz val="10"/>
      <color rgb="FF7F7F7F"/>
      <name val="Calibri"/>
      <family val="2"/>
    </font>
    <font>
      <sz val="16"/>
      <color theme="1"/>
      <name val="Calibri"/>
      <family val="2"/>
      <scheme val="minor"/>
    </font>
    <font>
      <b/>
      <sz val="11"/>
      <color theme="1" tint="0.249977111117893"/>
      <name val="Arial"/>
      <family val="2"/>
    </font>
    <font>
      <u/>
      <sz val="10"/>
      <color theme="1" tint="0.249977111117893"/>
      <name val="Arial"/>
      <family val="2"/>
    </font>
    <font>
      <u/>
      <sz val="10"/>
      <color rgb="FF0000FF"/>
      <name val="Arial"/>
      <family val="2"/>
    </font>
    <font>
      <sz val="11"/>
      <color theme="1"/>
      <name val="Calibri"/>
      <family val="2"/>
    </font>
    <font>
      <b/>
      <sz val="11"/>
      <color rgb="FF404040"/>
      <name val="Arial"/>
      <family val="2"/>
    </font>
    <font>
      <u/>
      <sz val="11"/>
      <color theme="10"/>
      <name val="Calibri"/>
      <family val="2"/>
      <scheme val="minor"/>
    </font>
    <font>
      <sz val="11"/>
      <color rgb="FF000000"/>
      <name val="Calibri"/>
      <family val="2"/>
    </font>
    <font>
      <b/>
      <sz val="18"/>
      <color theme="1" tint="0.249977111117893"/>
      <name val="Calibri"/>
      <family val="2"/>
      <scheme val="minor"/>
    </font>
    <font>
      <sz val="12"/>
      <color rgb="FF000000"/>
      <name val="Calibri"/>
      <family val="2"/>
      <scheme val="minor"/>
    </font>
    <font>
      <i/>
      <sz val="12"/>
      <color rgb="FF000000"/>
      <name val="Calibri"/>
      <family val="2"/>
      <scheme val="minor"/>
    </font>
    <font>
      <u/>
      <sz val="12"/>
      <color indexed="12"/>
      <name val="Calibri"/>
      <family val="2"/>
      <scheme val="minor"/>
    </font>
    <font>
      <b/>
      <sz val="12"/>
      <color rgb="FF000000"/>
      <name val="Calibri"/>
      <family val="2"/>
      <scheme val="minor"/>
    </font>
    <font>
      <sz val="12"/>
      <color theme="1"/>
      <name val="Calibri"/>
      <family val="2"/>
      <scheme val="minor"/>
    </font>
    <font>
      <sz val="12"/>
      <color theme="0"/>
      <name val="Calibri"/>
      <family val="2"/>
      <scheme val="minor"/>
    </font>
    <font>
      <sz val="12"/>
      <name val="Calibri"/>
      <family val="2"/>
      <scheme val="minor"/>
    </font>
    <font>
      <sz val="10"/>
      <color indexed="18"/>
      <name val="Tahoma"/>
      <family val="2"/>
    </font>
  </fonts>
  <fills count="70">
    <fill>
      <patternFill patternType="none"/>
    </fill>
    <fill>
      <patternFill patternType="gray125"/>
    </fill>
    <fill>
      <patternFill patternType="solid">
        <fgColor theme="0"/>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79998168889431442"/>
      </patternFill>
    </fill>
    <fill>
      <patternFill patternType="solid">
        <fgColor theme="0"/>
        <bgColor indexed="8"/>
      </patternFill>
    </fill>
    <fill>
      <patternFill patternType="solid">
        <fgColor indexed="56"/>
      </patternFill>
    </fill>
    <fill>
      <patternFill patternType="solid">
        <fgColor indexed="54"/>
      </patternFill>
    </fill>
    <fill>
      <patternFill patternType="solid">
        <fgColor indexed="9"/>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4"/>
        <bgColor indexed="64"/>
      </patternFill>
    </fill>
    <fill>
      <patternFill patternType="solid">
        <fgColor rgb="FF960000"/>
        <bgColor indexed="64"/>
      </patternFill>
    </fill>
    <fill>
      <patternFill patternType="solid">
        <fgColor theme="6"/>
        <bgColor indexed="64"/>
      </patternFill>
    </fill>
    <fill>
      <patternFill patternType="solid">
        <fgColor indexed="41"/>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mediumDashDot">
        <color rgb="FFFF0000"/>
      </bottom>
      <diagonal/>
    </border>
    <border>
      <left style="thin">
        <color indexed="64"/>
      </left>
      <right/>
      <top/>
      <bottom style="mediumDashDot">
        <color rgb="FFFF0000"/>
      </bottom>
      <diagonal/>
    </border>
    <border>
      <left/>
      <right/>
      <top/>
      <bottom style="mediumDashDot">
        <color rgb="FFFF0000"/>
      </bottom>
      <diagonal/>
    </border>
    <border>
      <left/>
      <right style="thin">
        <color indexed="64"/>
      </right>
      <top/>
      <bottom style="mediumDashDot">
        <color rgb="FFFF000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mediumDashed">
        <color indexed="10"/>
      </bottom>
      <diagonal/>
    </border>
    <border>
      <left style="thin">
        <color indexed="64"/>
      </left>
      <right/>
      <top style="mediumDashDotDot">
        <color rgb="FFFF0000"/>
      </top>
      <bottom/>
      <diagonal/>
    </border>
    <border>
      <left/>
      <right/>
      <top style="mediumDashDotDot">
        <color rgb="FFFF0000"/>
      </top>
      <bottom/>
      <diagonal/>
    </border>
    <border>
      <left style="thin">
        <color indexed="64"/>
      </left>
      <right style="thin">
        <color indexed="64"/>
      </right>
      <top style="mediumDashDotDot">
        <color rgb="FFFF0000"/>
      </top>
      <bottom/>
      <diagonal/>
    </border>
    <border>
      <left style="thin">
        <color indexed="64"/>
      </left>
      <right/>
      <top/>
      <bottom style="mediumDashDotDot">
        <color rgb="FFFF0000"/>
      </bottom>
      <diagonal/>
    </border>
    <border>
      <left/>
      <right style="thin">
        <color indexed="64"/>
      </right>
      <top style="mediumDashDotDot">
        <color rgb="FFFF0000"/>
      </top>
      <bottom/>
      <diagonal/>
    </border>
    <border>
      <left style="thin">
        <color indexed="64"/>
      </left>
      <right style="thin">
        <color indexed="64"/>
      </right>
      <top/>
      <bottom style="mediumDashDotDot">
        <color rgb="FFFF0000"/>
      </bottom>
      <diagonal/>
    </border>
    <border>
      <left/>
      <right/>
      <top/>
      <bottom style="mediumDashDotDot">
        <color rgb="FFFF0000"/>
      </bottom>
      <diagonal/>
    </border>
    <border>
      <left/>
      <right style="thin">
        <color indexed="64"/>
      </right>
      <top/>
      <bottom style="mediumDashDotDot">
        <color rgb="FFFF0000"/>
      </bottom>
      <diagonal/>
    </border>
    <border>
      <left style="thin">
        <color indexed="64"/>
      </left>
      <right style="thin">
        <color indexed="64"/>
      </right>
      <top style="mediumDashDotDot">
        <color rgb="FFC00000"/>
      </top>
      <bottom/>
      <diagonal/>
    </border>
    <border>
      <left/>
      <right style="thin">
        <color indexed="64"/>
      </right>
      <top style="mediumDashDotDot">
        <color rgb="FFC00000"/>
      </top>
      <bottom/>
      <diagonal/>
    </border>
    <border>
      <left/>
      <right style="thin">
        <color indexed="64"/>
      </right>
      <top/>
      <bottom style="mediumDashDotDot">
        <color rgb="FFC00000"/>
      </bottom>
      <diagonal/>
    </border>
    <border>
      <left style="thin">
        <color indexed="64"/>
      </left>
      <right style="thin">
        <color indexed="64"/>
      </right>
      <top/>
      <bottom style="mediumDashDotDot">
        <color rgb="FFC0000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top style="mediumDashDot">
        <color rgb="FFFF0000"/>
      </top>
      <bottom/>
      <diagonal/>
    </border>
    <border>
      <left style="thin">
        <color indexed="55"/>
      </left>
      <right style="thin">
        <color indexed="55"/>
      </right>
      <top style="thin">
        <color indexed="55"/>
      </top>
      <bottom style="thin">
        <color indexed="55"/>
      </bottom>
      <diagonal/>
    </border>
  </borders>
  <cellStyleXfs count="201">
    <xf numFmtId="0" fontId="0" fillId="0" borderId="0"/>
    <xf numFmtId="9" fontId="6" fillId="0" borderId="0" applyFont="0" applyFill="0" applyBorder="0" applyAlignment="0" applyProtection="0"/>
    <xf numFmtId="0" fontId="11" fillId="0" borderId="0"/>
    <xf numFmtId="0" fontId="11" fillId="0" borderId="0"/>
    <xf numFmtId="0" fontId="20" fillId="0" borderId="0" applyNumberFormat="0" applyFill="0" applyBorder="0" applyAlignment="0" applyProtection="0">
      <alignment vertical="top"/>
      <protection locked="0"/>
    </xf>
    <xf numFmtId="165" fontId="13" fillId="0" borderId="0" applyFont="0" applyFill="0" applyBorder="0" applyAlignment="0" applyProtection="0"/>
    <xf numFmtId="0" fontId="13" fillId="0" borderId="0"/>
    <xf numFmtId="0" fontId="11"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24" fillId="14"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5" fillId="5" borderId="0" applyNumberFormat="0" applyBorder="0" applyAlignment="0" applyProtection="0"/>
    <xf numFmtId="0" fontId="26" fillId="22" borderId="17" applyNumberFormat="0" applyAlignment="0" applyProtection="0"/>
    <xf numFmtId="0" fontId="27" fillId="23" borderId="18" applyNumberFormat="0" applyAlignment="0" applyProtection="0"/>
    <xf numFmtId="165" fontId="21" fillId="0" borderId="0" applyFont="0" applyFill="0" applyBorder="0" applyAlignment="0" applyProtection="0"/>
    <xf numFmtId="0" fontId="13" fillId="0" borderId="0"/>
    <xf numFmtId="0" fontId="28" fillId="0" borderId="0" applyNumberFormat="0" applyFill="0" applyBorder="0" applyAlignment="0" applyProtection="0"/>
    <xf numFmtId="0" fontId="29" fillId="6" borderId="0" applyNumberFormat="0" applyBorder="0" applyAlignment="0" applyProtection="0"/>
    <xf numFmtId="0" fontId="30" fillId="0" borderId="19" applyNumberFormat="0" applyFill="0" applyAlignment="0" applyProtection="0"/>
    <xf numFmtId="0" fontId="31" fillId="0" borderId="20" applyNumberFormat="0" applyFill="0" applyAlignment="0" applyProtection="0"/>
    <xf numFmtId="0" fontId="32" fillId="0" borderId="21" applyNumberFormat="0" applyFill="0" applyAlignment="0" applyProtection="0"/>
    <xf numFmtId="0" fontId="32" fillId="0" borderId="0" applyNumberFormat="0" applyFill="0" applyBorder="0" applyAlignment="0" applyProtection="0"/>
    <xf numFmtId="0" fontId="13" fillId="0" borderId="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9" borderId="17" applyNumberFormat="0" applyAlignment="0" applyProtection="0"/>
    <xf numFmtId="0" fontId="36" fillId="0" borderId="22" applyNumberFormat="0" applyFill="0" applyAlignment="0" applyProtection="0"/>
    <xf numFmtId="0" fontId="37" fillId="24" borderId="0" applyNumberFormat="0" applyBorder="0" applyAlignment="0" applyProtection="0"/>
    <xf numFmtId="0" fontId="38" fillId="0" borderId="0"/>
    <xf numFmtId="0" fontId="21" fillId="0" borderId="0"/>
    <xf numFmtId="0" fontId="13" fillId="0" borderId="0"/>
    <xf numFmtId="0" fontId="12" fillId="25" borderId="13" applyNumberFormat="0" applyFont="0" applyAlignment="0" applyProtection="0"/>
    <xf numFmtId="0" fontId="21" fillId="25" borderId="13" applyNumberFormat="0" applyFont="0" applyAlignment="0" applyProtection="0"/>
    <xf numFmtId="0" fontId="39" fillId="22" borderId="23" applyNumberFormat="0" applyAlignment="0" applyProtection="0"/>
    <xf numFmtId="9" fontId="13" fillId="0" borderId="0" applyFont="0" applyFill="0" applyBorder="0" applyAlignment="0" applyProtection="0"/>
    <xf numFmtId="9" fontId="21" fillId="0" borderId="0" applyFont="0" applyFill="0" applyBorder="0" applyAlignment="0" applyProtection="0"/>
    <xf numFmtId="9" fontId="12" fillId="0" borderId="0" applyFont="0" applyFill="0" applyBorder="0" applyAlignment="0" applyProtection="0"/>
    <xf numFmtId="0" fontId="13" fillId="0" borderId="0"/>
    <xf numFmtId="0" fontId="13" fillId="0" borderId="0"/>
    <xf numFmtId="0" fontId="13" fillId="0" borderId="0"/>
    <xf numFmtId="0" fontId="40" fillId="0" borderId="0" applyNumberFormat="0" applyFill="0" applyBorder="0" applyAlignment="0" applyProtection="0"/>
    <xf numFmtId="0" fontId="41" fillId="0" borderId="24" applyNumberFormat="0" applyFill="0" applyAlignment="0" applyProtection="0"/>
    <xf numFmtId="0" fontId="42" fillId="0" borderId="0" applyNumberFormat="0" applyFill="0" applyBorder="0" applyAlignment="0" applyProtection="0"/>
    <xf numFmtId="0" fontId="13" fillId="0" borderId="0"/>
    <xf numFmtId="165" fontId="6" fillId="0" borderId="0" applyFont="0" applyFill="0" applyBorder="0" applyAlignment="0" applyProtection="0"/>
    <xf numFmtId="0" fontId="11" fillId="0" borderId="0"/>
    <xf numFmtId="0" fontId="11" fillId="0" borderId="0"/>
    <xf numFmtId="170" fontId="52" fillId="0" borderId="0" applyNumberFormat="0" applyFill="0" applyBorder="0" applyProtection="0"/>
    <xf numFmtId="170" fontId="52" fillId="0" borderId="0" applyNumberFormat="0" applyFill="0" applyBorder="0" applyProtection="0"/>
    <xf numFmtId="165" fontId="5" fillId="0" borderId="0" applyFont="0" applyFill="0" applyBorder="0" applyAlignment="0" applyProtection="0"/>
    <xf numFmtId="0" fontId="59" fillId="0" borderId="0"/>
    <xf numFmtId="0" fontId="12" fillId="10" borderId="0" applyNumberFormat="0" applyBorder="0" applyAlignment="0" applyProtection="0"/>
    <xf numFmtId="0" fontId="12" fillId="11" borderId="0" applyNumberFormat="0" applyBorder="0" applyAlignment="0" applyProtection="0"/>
    <xf numFmtId="0" fontId="12" fillId="25" borderId="0" applyNumberFormat="0" applyBorder="0" applyAlignment="0" applyProtection="0"/>
    <xf numFmtId="0" fontId="12" fillId="9" borderId="0" applyNumberFormat="0" applyBorder="0" applyAlignment="0" applyProtection="0"/>
    <xf numFmtId="0" fontId="12" fillId="25" borderId="0" applyNumberFormat="0" applyBorder="0" applyAlignment="0" applyProtection="0"/>
    <xf numFmtId="0" fontId="12" fillId="8" borderId="0" applyNumberFormat="0" applyBorder="0" applyAlignment="0" applyProtection="0"/>
    <xf numFmtId="0" fontId="12" fillId="24"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25" borderId="0" applyNumberFormat="0" applyBorder="0" applyAlignment="0" applyProtection="0"/>
    <xf numFmtId="0" fontId="24" fillId="8"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11" fillId="0" borderId="0"/>
    <xf numFmtId="0" fontId="24" fillId="19" borderId="0" applyNumberFormat="0" applyBorder="0" applyAlignment="0" applyProtection="0"/>
    <xf numFmtId="0" fontId="25" fillId="7" borderId="0" applyNumberFormat="0" applyBorder="0" applyAlignment="0" applyProtection="0"/>
    <xf numFmtId="0" fontId="61" fillId="30" borderId="17" applyNumberFormat="0" applyAlignment="0" applyProtection="0"/>
    <xf numFmtId="40" fontId="55" fillId="0" borderId="0" applyFont="0" applyFill="0" applyBorder="0" applyAlignment="0" applyProtection="0"/>
    <xf numFmtId="0" fontId="29" fillId="8" borderId="0" applyNumberFormat="0" applyBorder="0" applyAlignment="0" applyProtection="0"/>
    <xf numFmtId="0" fontId="62" fillId="0" borderId="29" applyNumberFormat="0" applyFill="0" applyAlignment="0" applyProtection="0"/>
    <xf numFmtId="0" fontId="63" fillId="0" borderId="30" applyNumberFormat="0" applyFill="0" applyAlignment="0" applyProtection="0"/>
    <xf numFmtId="0" fontId="64" fillId="0" borderId="31" applyNumberFormat="0" applyFill="0" applyAlignment="0" applyProtection="0"/>
    <xf numFmtId="0" fontId="64" fillId="0" borderId="0" applyNumberFormat="0" applyFill="0" applyBorder="0" applyAlignment="0" applyProtection="0"/>
    <xf numFmtId="0" fontId="35" fillId="24" borderId="17" applyNumberFormat="0" applyAlignment="0" applyProtection="0"/>
    <xf numFmtId="0" fontId="42" fillId="0" borderId="32" applyNumberFormat="0" applyFill="0" applyAlignment="0" applyProtection="0"/>
    <xf numFmtId="0" fontId="65" fillId="24" borderId="0" applyNumberFormat="0" applyBorder="0" applyAlignment="0" applyProtection="0"/>
    <xf numFmtId="0" fontId="60" fillId="0" borderId="0"/>
    <xf numFmtId="0" fontId="60" fillId="25" borderId="13" applyNumberFormat="0" applyFont="0" applyAlignment="0" applyProtection="0"/>
    <xf numFmtId="0" fontId="39" fillId="30" borderId="23" applyNumberFormat="0" applyAlignment="0" applyProtection="0"/>
    <xf numFmtId="9" fontId="5" fillId="0" borderId="0" applyFont="0" applyFill="0" applyBorder="0" applyAlignment="0" applyProtection="0"/>
    <xf numFmtId="0" fontId="66" fillId="0" borderId="0" applyNumberFormat="0" applyFill="0" applyBorder="0" applyAlignment="0" applyProtection="0"/>
    <xf numFmtId="0" fontId="41" fillId="0" borderId="33" applyNumberFormat="0" applyFill="0" applyAlignment="0" applyProtection="0"/>
    <xf numFmtId="0" fontId="60" fillId="0" borderId="0"/>
    <xf numFmtId="0" fontId="60" fillId="0" borderId="0"/>
    <xf numFmtId="0" fontId="5" fillId="0" borderId="0"/>
    <xf numFmtId="0" fontId="6" fillId="0" borderId="0"/>
    <xf numFmtId="0" fontId="5" fillId="0" borderId="0"/>
    <xf numFmtId="0" fontId="11" fillId="0" borderId="0"/>
    <xf numFmtId="0" fontId="67"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0" borderId="0"/>
    <xf numFmtId="0" fontId="82" fillId="0" borderId="0"/>
    <xf numFmtId="0" fontId="77" fillId="0" borderId="0"/>
    <xf numFmtId="0" fontId="11" fillId="0" borderId="0"/>
    <xf numFmtId="0" fontId="11" fillId="0" borderId="0"/>
    <xf numFmtId="0" fontId="4" fillId="0" borderId="0"/>
    <xf numFmtId="165" fontId="4" fillId="0" borderId="0" applyFont="0" applyFill="0" applyBorder="0" applyAlignment="0" applyProtection="0"/>
    <xf numFmtId="165" fontId="5" fillId="0" borderId="0" applyFont="0" applyFill="0" applyBorder="0" applyAlignment="0" applyProtection="0"/>
    <xf numFmtId="0" fontId="5" fillId="0" borderId="0"/>
    <xf numFmtId="165" fontId="21" fillId="0" borderId="0" applyFont="0" applyFill="0" applyBorder="0" applyAlignment="0" applyProtection="0"/>
    <xf numFmtId="0" fontId="5" fillId="0" borderId="0"/>
    <xf numFmtId="0" fontId="3" fillId="0" borderId="0"/>
    <xf numFmtId="0" fontId="5" fillId="0" borderId="0"/>
    <xf numFmtId="9" fontId="5" fillId="0" borderId="0" applyFont="0" applyFill="0" applyBorder="0" applyAlignment="0" applyProtection="0"/>
    <xf numFmtId="0" fontId="5" fillId="0" borderId="0"/>
    <xf numFmtId="0" fontId="5" fillId="0" borderId="0"/>
    <xf numFmtId="165" fontId="6" fillId="0" borderId="0" applyFont="0" applyFill="0" applyBorder="0" applyAlignment="0" applyProtection="0"/>
    <xf numFmtId="0" fontId="88" fillId="0" borderId="0" applyNumberFormat="0" applyFill="0" applyBorder="0" applyAlignment="0" applyProtection="0"/>
    <xf numFmtId="0" fontId="89" fillId="0" borderId="34" applyNumberFormat="0" applyFill="0" applyAlignment="0" applyProtection="0"/>
    <xf numFmtId="0" fontId="90" fillId="0" borderId="35" applyNumberFormat="0" applyFill="0" applyAlignment="0" applyProtection="0"/>
    <xf numFmtId="0" fontId="91" fillId="0" borderId="36" applyNumberFormat="0" applyFill="0" applyAlignment="0" applyProtection="0"/>
    <xf numFmtId="0" fontId="91" fillId="0" borderId="0" applyNumberFormat="0" applyFill="0" applyBorder="0" applyAlignment="0" applyProtection="0"/>
    <xf numFmtId="0" fontId="92" fillId="34" borderId="0" applyNumberFormat="0" applyBorder="0" applyAlignment="0" applyProtection="0"/>
    <xf numFmtId="0" fontId="93" fillId="35" borderId="0" applyNumberFormat="0" applyBorder="0" applyAlignment="0" applyProtection="0"/>
    <xf numFmtId="0" fontId="94" fillId="36" borderId="0" applyNumberFormat="0" applyBorder="0" applyAlignment="0" applyProtection="0"/>
    <xf numFmtId="0" fontId="95" fillId="37" borderId="37" applyNumberFormat="0" applyAlignment="0" applyProtection="0"/>
    <xf numFmtId="0" fontId="96" fillId="38" borderId="38" applyNumberFormat="0" applyAlignment="0" applyProtection="0"/>
    <xf numFmtId="0" fontId="97" fillId="38" borderId="37" applyNumberFormat="0" applyAlignment="0" applyProtection="0"/>
    <xf numFmtId="0" fontId="98" fillId="0" borderId="39" applyNumberFormat="0" applyFill="0" applyAlignment="0" applyProtection="0"/>
    <xf numFmtId="0" fontId="99" fillId="39" borderId="40" applyNumberFormat="0" applyAlignment="0" applyProtection="0"/>
    <xf numFmtId="0" fontId="7" fillId="0" borderId="0" applyNumberFormat="0" applyFill="0" applyBorder="0" applyAlignment="0" applyProtection="0"/>
    <xf numFmtId="0" fontId="100" fillId="0" borderId="0" applyNumberFormat="0" applyFill="0" applyBorder="0" applyAlignment="0" applyProtection="0"/>
    <xf numFmtId="0" fontId="8" fillId="0" borderId="42" applyNumberFormat="0" applyFill="0" applyAlignment="0" applyProtection="0"/>
    <xf numFmtId="0" fontId="101"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101" fillId="44" borderId="0" applyNumberFormat="0" applyBorder="0" applyAlignment="0" applyProtection="0"/>
    <xf numFmtId="0" fontId="101" fillId="45"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101" fillId="48" borderId="0" applyNumberFormat="0" applyBorder="0" applyAlignment="0" applyProtection="0"/>
    <xf numFmtId="0" fontId="101"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101" fillId="52" borderId="0" applyNumberFormat="0" applyBorder="0" applyAlignment="0" applyProtection="0"/>
    <xf numFmtId="0" fontId="101"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101" fillId="56" borderId="0" applyNumberFormat="0" applyBorder="0" applyAlignment="0" applyProtection="0"/>
    <xf numFmtId="0" fontId="101"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101" fillId="60" borderId="0" applyNumberFormat="0" applyBorder="0" applyAlignment="0" applyProtection="0"/>
    <xf numFmtId="0" fontId="101"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101" fillId="64" borderId="0" applyNumberFormat="0" applyBorder="0" applyAlignment="0" applyProtection="0"/>
    <xf numFmtId="0" fontId="6" fillId="0" borderId="0"/>
    <xf numFmtId="0" fontId="6" fillId="40" borderId="41" applyNumberFormat="0" applyFont="0" applyAlignment="0" applyProtection="0"/>
    <xf numFmtId="165" fontId="5" fillId="0" borderId="0" applyFont="0" applyFill="0" applyBorder="0" applyAlignment="0" applyProtection="0"/>
    <xf numFmtId="0" fontId="1" fillId="0" borderId="0"/>
    <xf numFmtId="165" fontId="1" fillId="0" borderId="0" applyFont="0" applyFill="0" applyBorder="0" applyAlignment="0" applyProtection="0"/>
    <xf numFmtId="0" fontId="110" fillId="0" borderId="0" applyNumberForma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111" fillId="0" borderId="0" applyNumberFormat="0" applyBorder="0" applyProtection="0"/>
  </cellStyleXfs>
  <cellXfs count="1768">
    <xf numFmtId="0" fontId="0" fillId="0" borderId="0" xfId="0"/>
    <xf numFmtId="0" fontId="0" fillId="2" borderId="0" xfId="0" applyFill="1"/>
    <xf numFmtId="0" fontId="9" fillId="2" borderId="0" xfId="0" applyFont="1" applyFill="1"/>
    <xf numFmtId="0" fontId="9" fillId="2" borderId="0" xfId="0" applyFont="1" applyFill="1" applyAlignment="1">
      <alignment horizontal="right"/>
    </xf>
    <xf numFmtId="0" fontId="9" fillId="2" borderId="4" xfId="0" applyFont="1" applyFill="1" applyBorder="1"/>
    <xf numFmtId="0" fontId="9" fillId="2" borderId="10" xfId="0" applyFont="1" applyFill="1" applyBorder="1"/>
    <xf numFmtId="3" fontId="0" fillId="2" borderId="11" xfId="0" applyNumberFormat="1" applyFill="1" applyBorder="1"/>
    <xf numFmtId="3" fontId="0" fillId="2" borderId="0" xfId="0" applyNumberFormat="1" applyFill="1"/>
    <xf numFmtId="3" fontId="9" fillId="2" borderId="12" xfId="0" applyNumberFormat="1" applyFont="1" applyFill="1" applyBorder="1"/>
    <xf numFmtId="3" fontId="9" fillId="2" borderId="10" xfId="0" applyNumberFormat="1" applyFont="1" applyFill="1" applyBorder="1"/>
    <xf numFmtId="0" fontId="9" fillId="2" borderId="11" xfId="0" applyFont="1" applyFill="1" applyBorder="1" applyAlignment="1">
      <alignment horizontal="left"/>
    </xf>
    <xf numFmtId="3" fontId="13" fillId="2" borderId="14" xfId="0" applyNumberFormat="1" applyFont="1" applyFill="1" applyBorder="1"/>
    <xf numFmtId="3" fontId="9" fillId="2" borderId="16" xfId="0" applyNumberFormat="1" applyFont="1" applyFill="1" applyBorder="1"/>
    <xf numFmtId="0" fontId="8" fillId="2" borderId="0" xfId="0" applyFont="1" applyFill="1"/>
    <xf numFmtId="0" fontId="0" fillId="2" borderId="11" xfId="0" applyFill="1" applyBorder="1"/>
    <xf numFmtId="0" fontId="8" fillId="2" borderId="10" xfId="0" applyFont="1" applyFill="1" applyBorder="1"/>
    <xf numFmtId="3" fontId="8" fillId="2" borderId="10" xfId="0" applyNumberFormat="1" applyFont="1" applyFill="1" applyBorder="1"/>
    <xf numFmtId="0" fontId="9" fillId="2" borderId="3" xfId="0" applyFont="1" applyFill="1" applyBorder="1"/>
    <xf numFmtId="3" fontId="13" fillId="2" borderId="11" xfId="0" applyNumberFormat="1" applyFont="1" applyFill="1" applyBorder="1"/>
    <xf numFmtId="3" fontId="13" fillId="2" borderId="0" xfId="0" applyNumberFormat="1" applyFont="1" applyFill="1"/>
    <xf numFmtId="3" fontId="13" fillId="2" borderId="12" xfId="0" applyNumberFormat="1" applyFont="1" applyFill="1" applyBorder="1"/>
    <xf numFmtId="0" fontId="13" fillId="2" borderId="0" xfId="0" applyFont="1" applyFill="1"/>
    <xf numFmtId="3" fontId="13" fillId="2" borderId="15" xfId="0" applyNumberFormat="1" applyFont="1" applyFill="1" applyBorder="1"/>
    <xf numFmtId="3" fontId="13" fillId="2" borderId="8" xfId="0" applyNumberFormat="1" applyFont="1" applyFill="1" applyBorder="1"/>
    <xf numFmtId="9" fontId="0" fillId="2" borderId="0" xfId="1" applyFont="1" applyFill="1"/>
    <xf numFmtId="167" fontId="16" fillId="2" borderId="0" xfId="0" applyNumberFormat="1" applyFont="1" applyFill="1"/>
    <xf numFmtId="0" fontId="9" fillId="2" borderId="9" xfId="0" applyFont="1" applyFill="1" applyBorder="1" applyAlignment="1">
      <alignment horizontal="center" wrapText="1"/>
    </xf>
    <xf numFmtId="3" fontId="13" fillId="2" borderId="11" xfId="0" applyNumberFormat="1" applyFont="1" applyFill="1" applyBorder="1" applyAlignment="1">
      <alignment horizontal="right"/>
    </xf>
    <xf numFmtId="3" fontId="13" fillId="2" borderId="0" xfId="0" applyNumberFormat="1" applyFont="1" applyFill="1" applyAlignment="1">
      <alignment horizontal="right"/>
    </xf>
    <xf numFmtId="3" fontId="9" fillId="2" borderId="10" xfId="0" applyNumberFormat="1" applyFont="1" applyFill="1" applyBorder="1" applyAlignment="1">
      <alignment horizontal="right"/>
    </xf>
    <xf numFmtId="0" fontId="9" fillId="2" borderId="10" xfId="0" applyFont="1" applyFill="1" applyBorder="1" applyAlignment="1">
      <alignment horizontal="left"/>
    </xf>
    <xf numFmtId="3" fontId="9" fillId="2" borderId="16" xfId="0" applyNumberFormat="1" applyFont="1" applyFill="1" applyBorder="1" applyAlignment="1">
      <alignment horizontal="right"/>
    </xf>
    <xf numFmtId="167" fontId="0" fillId="2" borderId="0" xfId="0" applyNumberFormat="1" applyFill="1"/>
    <xf numFmtId="0" fontId="0" fillId="2" borderId="0" xfId="0" applyFill="1" applyAlignment="1">
      <alignment horizontal="right"/>
    </xf>
    <xf numFmtId="3" fontId="9" fillId="2" borderId="0" xfId="0" applyNumberFormat="1" applyFont="1" applyFill="1"/>
    <xf numFmtId="3" fontId="13" fillId="2" borderId="12" xfId="0" applyNumberFormat="1" applyFont="1" applyFill="1" applyBorder="1" applyAlignment="1">
      <alignment horizontal="right"/>
    </xf>
    <xf numFmtId="3" fontId="0" fillId="2" borderId="11" xfId="0" applyNumberFormat="1" applyFill="1" applyBorder="1" applyAlignment="1">
      <alignment horizontal="right"/>
    </xf>
    <xf numFmtId="3" fontId="0" fillId="2" borderId="12" xfId="0" applyNumberFormat="1" applyFill="1" applyBorder="1" applyAlignment="1">
      <alignment horizontal="right"/>
    </xf>
    <xf numFmtId="3" fontId="9" fillId="2" borderId="12" xfId="0" applyNumberFormat="1" applyFont="1" applyFill="1" applyBorder="1" applyAlignment="1">
      <alignment horizontal="right"/>
    </xf>
    <xf numFmtId="0" fontId="7" fillId="2" borderId="0" xfId="0" applyFont="1" applyFill="1"/>
    <xf numFmtId="3" fontId="9" fillId="2" borderId="3" xfId="0" applyNumberFormat="1" applyFont="1" applyFill="1" applyBorder="1"/>
    <xf numFmtId="3" fontId="0" fillId="2" borderId="0" xfId="0" applyNumberFormat="1" applyFill="1" applyAlignment="1">
      <alignment horizontal="right"/>
    </xf>
    <xf numFmtId="0" fontId="19" fillId="2" borderId="0" xfId="0" applyFont="1" applyFill="1"/>
    <xf numFmtId="3" fontId="0" fillId="2" borderId="12" xfId="0" quotePrefix="1" applyNumberFormat="1" applyFill="1" applyBorder="1" applyAlignment="1">
      <alignment horizontal="right"/>
    </xf>
    <xf numFmtId="3" fontId="16" fillId="2" borderId="10" xfId="0" applyNumberFormat="1" applyFont="1" applyFill="1" applyBorder="1" applyAlignment="1">
      <alignment horizontal="right"/>
    </xf>
    <xf numFmtId="3" fontId="16" fillId="2" borderId="16" xfId="0" applyNumberFormat="1" applyFont="1" applyFill="1" applyBorder="1" applyAlignment="1">
      <alignment horizontal="right"/>
    </xf>
    <xf numFmtId="0" fontId="9" fillId="2" borderId="11" xfId="0" applyFont="1" applyFill="1" applyBorder="1"/>
    <xf numFmtId="3" fontId="13" fillId="2" borderId="14" xfId="0" applyNumberFormat="1" applyFont="1" applyFill="1" applyBorder="1" applyAlignment="1">
      <alignment horizontal="right"/>
    </xf>
    <xf numFmtId="3" fontId="13" fillId="2" borderId="15" xfId="0" applyNumberFormat="1" applyFont="1" applyFill="1" applyBorder="1" applyAlignment="1">
      <alignment horizontal="right"/>
    </xf>
    <xf numFmtId="3" fontId="13" fillId="2" borderId="8" xfId="0" applyNumberFormat="1" applyFont="1" applyFill="1" applyBorder="1" applyAlignment="1">
      <alignment horizontal="right"/>
    </xf>
    <xf numFmtId="0" fontId="0" fillId="2" borderId="14" xfId="0" applyFill="1" applyBorder="1"/>
    <xf numFmtId="0" fontId="20" fillId="2" borderId="0" xfId="4" applyFill="1" applyAlignment="1" applyProtection="1"/>
    <xf numFmtId="0" fontId="9" fillId="2" borderId="4" xfId="0" applyFont="1" applyFill="1" applyBorder="1" applyAlignment="1">
      <alignment horizontal="left"/>
    </xf>
    <xf numFmtId="0" fontId="22" fillId="2" borderId="0" xfId="0" applyFont="1" applyFill="1"/>
    <xf numFmtId="3" fontId="22" fillId="2" borderId="0" xfId="0" applyNumberFormat="1" applyFont="1" applyFill="1"/>
    <xf numFmtId="3" fontId="9" fillId="2" borderId="0" xfId="0" applyNumberFormat="1" applyFont="1" applyFill="1" applyAlignment="1">
      <alignment horizontal="right"/>
    </xf>
    <xf numFmtId="3" fontId="18" fillId="2" borderId="0" xfId="7" applyNumberFormat="1" applyFont="1" applyFill="1" applyAlignment="1">
      <alignment wrapText="1"/>
    </xf>
    <xf numFmtId="3" fontId="16" fillId="2" borderId="0" xfId="0" applyNumberFormat="1" applyFont="1" applyFill="1"/>
    <xf numFmtId="3" fontId="18" fillId="2" borderId="0" xfId="7" applyNumberFormat="1" applyFont="1" applyFill="1" applyAlignment="1">
      <alignment horizontal="left" wrapText="1"/>
    </xf>
    <xf numFmtId="3" fontId="7" fillId="2" borderId="0" xfId="0" applyNumberFormat="1" applyFont="1" applyFill="1"/>
    <xf numFmtId="169" fontId="9" fillId="2" borderId="10" xfId="65" applyNumberFormat="1" applyFont="1" applyFill="1" applyBorder="1" applyAlignment="1">
      <alignment horizontal="right" wrapText="1"/>
    </xf>
    <xf numFmtId="0" fontId="43" fillId="2" borderId="0" xfId="0" applyFont="1" applyFill="1"/>
    <xf numFmtId="0" fontId="44" fillId="2" borderId="0" xfId="0" applyFont="1" applyFill="1"/>
    <xf numFmtId="3" fontId="16" fillId="2" borderId="0" xfId="0" applyNumberFormat="1" applyFont="1" applyFill="1" applyAlignment="1">
      <alignment horizontal="right"/>
    </xf>
    <xf numFmtId="165" fontId="0" fillId="2" borderId="0" xfId="65" applyFont="1" applyFill="1" applyAlignment="1"/>
    <xf numFmtId="3" fontId="9" fillId="2" borderId="0" xfId="0" applyNumberFormat="1" applyFont="1" applyFill="1" applyAlignment="1">
      <alignment horizontal="center" wrapText="1"/>
    </xf>
    <xf numFmtId="0" fontId="44" fillId="2" borderId="0" xfId="0" applyFont="1" applyFill="1" applyAlignment="1">
      <alignment wrapText="1"/>
    </xf>
    <xf numFmtId="0" fontId="0" fillId="2" borderId="0" xfId="0" applyFill="1" applyAlignment="1">
      <alignment wrapText="1"/>
    </xf>
    <xf numFmtId="0" fontId="9" fillId="2" borderId="0" xfId="0" applyFont="1" applyFill="1" applyAlignment="1">
      <alignment horizontal="left"/>
    </xf>
    <xf numFmtId="167" fontId="9" fillId="2" borderId="0" xfId="0" applyNumberFormat="1" applyFont="1" applyFill="1"/>
    <xf numFmtId="3" fontId="5" fillId="2" borderId="11" xfId="0" applyNumberFormat="1" applyFont="1" applyFill="1" applyBorder="1"/>
    <xf numFmtId="0" fontId="5" fillId="2" borderId="0" xfId="0" applyFont="1" applyFill="1"/>
    <xf numFmtId="3" fontId="5" fillId="2" borderId="0" xfId="0" applyNumberFormat="1" applyFont="1" applyFill="1"/>
    <xf numFmtId="166" fontId="5" fillId="2" borderId="0" xfId="0" applyNumberFormat="1" applyFont="1" applyFill="1"/>
    <xf numFmtId="3" fontId="13" fillId="2" borderId="2" xfId="0" applyNumberFormat="1" applyFont="1" applyFill="1" applyBorder="1"/>
    <xf numFmtId="3" fontId="5" fillId="2" borderId="15" xfId="0" applyNumberFormat="1" applyFont="1" applyFill="1" applyBorder="1"/>
    <xf numFmtId="0" fontId="11" fillId="2" borderId="0" xfId="2" applyFill="1" applyAlignment="1">
      <alignment horizontal="right" wrapText="1"/>
    </xf>
    <xf numFmtId="0" fontId="11" fillId="27" borderId="0" xfId="2" applyFill="1" applyAlignment="1">
      <alignment horizontal="right" wrapText="1"/>
    </xf>
    <xf numFmtId="0" fontId="18" fillId="2" borderId="11" xfId="3" applyFont="1" applyFill="1" applyBorder="1"/>
    <xf numFmtId="0" fontId="13" fillId="2" borderId="11" xfId="0" applyFont="1" applyFill="1" applyBorder="1"/>
    <xf numFmtId="0" fontId="13" fillId="2" borderId="12" xfId="0" applyFont="1" applyFill="1" applyBorder="1"/>
    <xf numFmtId="3" fontId="5" fillId="2" borderId="14" xfId="0" applyNumberFormat="1" applyFont="1" applyFill="1" applyBorder="1"/>
    <xf numFmtId="3" fontId="5" fillId="2" borderId="8" xfId="0" applyNumberFormat="1" applyFont="1" applyFill="1" applyBorder="1"/>
    <xf numFmtId="0" fontId="5" fillId="2" borderId="11" xfId="0" applyFont="1" applyFill="1" applyBorder="1"/>
    <xf numFmtId="167" fontId="5" fillId="2" borderId="0" xfId="0" applyNumberFormat="1" applyFont="1" applyFill="1"/>
    <xf numFmtId="0" fontId="15" fillId="2" borderId="0" xfId="0" applyFont="1" applyFill="1"/>
    <xf numFmtId="0" fontId="9" fillId="2" borderId="5" xfId="0" applyFont="1" applyFill="1" applyBorder="1"/>
    <xf numFmtId="0" fontId="50" fillId="0" borderId="0" xfId="0" applyFont="1"/>
    <xf numFmtId="168" fontId="16" fillId="2" borderId="12" xfId="65" applyNumberFormat="1" applyFont="1" applyFill="1" applyBorder="1" applyAlignment="1">
      <alignment horizontal="right" wrapText="1"/>
    </xf>
    <xf numFmtId="168" fontId="15" fillId="2" borderId="10" xfId="65" applyNumberFormat="1" applyFont="1" applyFill="1" applyBorder="1" applyAlignment="1">
      <alignment horizontal="right" wrapText="1"/>
    </xf>
    <xf numFmtId="0" fontId="0" fillId="2" borderId="15" xfId="0" applyFill="1" applyBorder="1"/>
    <xf numFmtId="0" fontId="0" fillId="2" borderId="8" xfId="0" applyFill="1" applyBorder="1"/>
    <xf numFmtId="3" fontId="13" fillId="2" borderId="1" xfId="0" applyNumberFormat="1" applyFont="1" applyFill="1" applyBorder="1"/>
    <xf numFmtId="3" fontId="0" fillId="2" borderId="1" xfId="0" applyNumberFormat="1" applyFill="1" applyBorder="1"/>
    <xf numFmtId="0" fontId="7" fillId="2" borderId="0" xfId="0" applyFont="1" applyFill="1" applyAlignment="1">
      <alignment horizontal="right"/>
    </xf>
    <xf numFmtId="3" fontId="13" fillId="2" borderId="9" xfId="0" applyNumberFormat="1" applyFont="1" applyFill="1" applyBorder="1"/>
    <xf numFmtId="167" fontId="13" fillId="2" borderId="0" xfId="0" applyNumberFormat="1" applyFont="1" applyFill="1"/>
    <xf numFmtId="3" fontId="9" fillId="2" borderId="5" xfId="0" applyNumberFormat="1" applyFont="1" applyFill="1" applyBorder="1" applyAlignment="1">
      <alignment vertical="center"/>
    </xf>
    <xf numFmtId="3" fontId="9" fillId="2" borderId="6" xfId="0" applyNumberFormat="1" applyFont="1" applyFill="1" applyBorder="1" applyAlignment="1">
      <alignment vertical="center"/>
    </xf>
    <xf numFmtId="3" fontId="9" fillId="2" borderId="7" xfId="0" applyNumberFormat="1" applyFont="1" applyFill="1" applyBorder="1" applyAlignment="1">
      <alignment vertical="center"/>
    </xf>
    <xf numFmtId="3" fontId="9" fillId="2" borderId="4" xfId="0" applyNumberFormat="1" applyFont="1" applyFill="1" applyBorder="1" applyAlignment="1">
      <alignment vertical="center"/>
    </xf>
    <xf numFmtId="0" fontId="0" fillId="2" borderId="0" xfId="0" applyFill="1" applyAlignment="1">
      <alignment vertical="center"/>
    </xf>
    <xf numFmtId="0" fontId="9" fillId="2" borderId="4" xfId="0" applyFont="1" applyFill="1" applyBorder="1" applyAlignment="1">
      <alignment horizontal="center" vertical="center" wrapText="1"/>
    </xf>
    <xf numFmtId="0" fontId="0" fillId="2" borderId="0" xfId="0" applyFill="1" applyAlignment="1">
      <alignment horizontal="center" vertical="center"/>
    </xf>
    <xf numFmtId="167" fontId="8" fillId="2" borderId="0" xfId="0" applyNumberFormat="1" applyFont="1" applyFill="1" applyAlignment="1">
      <alignment vertical="center"/>
    </xf>
    <xf numFmtId="0" fontId="8" fillId="2" borderId="0" xfId="0" applyFont="1" applyFill="1" applyAlignment="1">
      <alignment vertical="center"/>
    </xf>
    <xf numFmtId="3" fontId="9" fillId="2" borderId="0" xfId="0" quotePrefix="1" applyNumberFormat="1" applyFont="1" applyFill="1" applyAlignment="1">
      <alignment horizontal="right"/>
    </xf>
    <xf numFmtId="168" fontId="14" fillId="2" borderId="10" xfId="65" applyNumberFormat="1" applyFont="1" applyFill="1" applyBorder="1" applyAlignment="1">
      <alignment horizontal="right" wrapText="1"/>
    </xf>
    <xf numFmtId="168" fontId="16" fillId="2" borderId="10" xfId="65" applyNumberFormat="1" applyFont="1" applyFill="1" applyBorder="1" applyAlignment="1">
      <alignment horizontal="right" wrapText="1"/>
    </xf>
    <xf numFmtId="3" fontId="5" fillId="2" borderId="12" xfId="0" applyNumberFormat="1" applyFont="1" applyFill="1" applyBorder="1" applyAlignment="1">
      <alignment horizontal="right"/>
    </xf>
    <xf numFmtId="3" fontId="5" fillId="2" borderId="8" xfId="0" applyNumberFormat="1" applyFont="1" applyFill="1" applyBorder="1" applyAlignment="1">
      <alignment horizontal="right"/>
    </xf>
    <xf numFmtId="9" fontId="7" fillId="2" borderId="0" xfId="0" applyNumberFormat="1" applyFont="1" applyFill="1"/>
    <xf numFmtId="3" fontId="5" fillId="2" borderId="0" xfId="0" applyNumberFormat="1" applyFont="1" applyFill="1" applyAlignment="1">
      <alignment horizontal="right"/>
    </xf>
    <xf numFmtId="3" fontId="9" fillId="2" borderId="0" xfId="0" applyNumberFormat="1" applyFont="1" applyFill="1" applyAlignment="1">
      <alignment vertical="center"/>
    </xf>
    <xf numFmtId="167" fontId="16" fillId="2" borderId="0" xfId="0" quotePrefix="1" applyNumberFormat="1" applyFont="1" applyFill="1" applyAlignment="1">
      <alignment horizontal="right"/>
    </xf>
    <xf numFmtId="167" fontId="16" fillId="2" borderId="0" xfId="0" applyNumberFormat="1" applyFont="1" applyFill="1" applyAlignment="1">
      <alignment horizontal="right"/>
    </xf>
    <xf numFmtId="1" fontId="16" fillId="2" borderId="0" xfId="0" applyNumberFormat="1" applyFont="1" applyFill="1"/>
    <xf numFmtId="0" fontId="9" fillId="2" borderId="5" xfId="0" applyFont="1" applyFill="1" applyBorder="1" applyAlignment="1">
      <alignment horizontal="center" vertical="center" wrapText="1"/>
    </xf>
    <xf numFmtId="3" fontId="8" fillId="2" borderId="0" xfId="0" applyNumberFormat="1" applyFont="1" applyFill="1" applyAlignment="1">
      <alignment horizontal="right"/>
    </xf>
    <xf numFmtId="1" fontId="15" fillId="2" borderId="0" xfId="0" quotePrefix="1" applyNumberFormat="1" applyFont="1" applyFill="1" applyAlignment="1">
      <alignment horizontal="right"/>
    </xf>
    <xf numFmtId="1" fontId="15" fillId="2" borderId="0" xfId="0" applyNumberFormat="1" applyFont="1" applyFill="1" applyAlignment="1">
      <alignment horizontal="right"/>
    </xf>
    <xf numFmtId="0" fontId="9" fillId="2" borderId="1" xfId="0" applyFont="1" applyFill="1" applyBorder="1" applyAlignment="1">
      <alignment horizontal="center" vertical="center" wrapText="1"/>
    </xf>
    <xf numFmtId="0" fontId="5" fillId="2" borderId="0" xfId="0" applyFont="1" applyFill="1" applyAlignment="1">
      <alignment horizontal="left"/>
    </xf>
    <xf numFmtId="0" fontId="9" fillId="2" borderId="0" xfId="0" applyFont="1" applyFill="1" applyAlignment="1">
      <alignment horizontal="right" vertical="center"/>
    </xf>
    <xf numFmtId="0" fontId="49" fillId="2" borderId="0" xfId="0" applyFont="1" applyFill="1"/>
    <xf numFmtId="0" fontId="48" fillId="2" borderId="0" xfId="4" applyFont="1" applyFill="1" applyAlignment="1" applyProtection="1">
      <alignment horizontal="right"/>
    </xf>
    <xf numFmtId="168" fontId="9" fillId="2" borderId="5" xfId="65" applyNumberFormat="1" applyFont="1" applyFill="1" applyBorder="1" applyAlignment="1">
      <alignment horizontal="right" vertical="center" wrapText="1"/>
    </xf>
    <xf numFmtId="168" fontId="9" fillId="2" borderId="6" xfId="65" applyNumberFormat="1" applyFont="1" applyFill="1" applyBorder="1" applyAlignment="1">
      <alignment horizontal="right" vertical="center" wrapText="1"/>
    </xf>
    <xf numFmtId="3" fontId="9" fillId="2" borderId="5" xfId="0" applyNumberFormat="1" applyFont="1" applyFill="1" applyBorder="1" applyAlignment="1">
      <alignment horizontal="right" vertical="center"/>
    </xf>
    <xf numFmtId="0" fontId="5" fillId="2" borderId="0" xfId="0" applyFont="1" applyFill="1" applyAlignment="1">
      <alignment vertical="top" wrapText="1"/>
    </xf>
    <xf numFmtId="0" fontId="18" fillId="2" borderId="0" xfId="2" applyFont="1" applyFill="1" applyAlignment="1">
      <alignment horizontal="right" wrapText="1"/>
    </xf>
    <xf numFmtId="3" fontId="5" fillId="2" borderId="0" xfId="0" quotePrefix="1" applyNumberFormat="1" applyFont="1" applyFill="1" applyAlignment="1">
      <alignment horizontal="right"/>
    </xf>
    <xf numFmtId="3" fontId="5" fillId="2" borderId="12" xfId="0" applyNumberFormat="1" applyFont="1" applyFill="1" applyBorder="1"/>
    <xf numFmtId="169" fontId="5" fillId="2" borderId="0" xfId="70" applyNumberFormat="1" applyFont="1" applyFill="1" applyBorder="1"/>
    <xf numFmtId="170" fontId="5" fillId="2" borderId="0" xfId="68" applyFont="1" applyFill="1" applyBorder="1" applyAlignment="1">
      <alignment wrapText="1"/>
    </xf>
    <xf numFmtId="170" fontId="5" fillId="2" borderId="0" xfId="68" applyFont="1" applyFill="1" applyBorder="1"/>
    <xf numFmtId="0" fontId="5" fillId="0" borderId="0" xfId="0" applyFont="1"/>
    <xf numFmtId="3" fontId="0" fillId="2" borderId="12" xfId="0" applyNumberFormat="1" applyFill="1" applyBorder="1"/>
    <xf numFmtId="3" fontId="0" fillId="2" borderId="9" xfId="0" applyNumberFormat="1" applyFill="1" applyBorder="1"/>
    <xf numFmtId="0" fontId="5" fillId="2" borderId="0" xfId="0" applyFont="1" applyFill="1" applyAlignment="1">
      <alignment horizontal="right"/>
    </xf>
    <xf numFmtId="0" fontId="9" fillId="2" borderId="4" xfId="0" applyFont="1" applyFill="1" applyBorder="1" applyAlignment="1">
      <alignment horizontal="center" wrapText="1"/>
    </xf>
    <xf numFmtId="0" fontId="0" fillId="2" borderId="0" xfId="0" applyFill="1" applyAlignment="1">
      <alignment horizontal="center"/>
    </xf>
    <xf numFmtId="0" fontId="56" fillId="2" borderId="0" xfId="0" applyFont="1" applyFill="1" applyAlignment="1">
      <alignment vertical="center"/>
    </xf>
    <xf numFmtId="0" fontId="47" fillId="2" borderId="0" xfId="0" applyFont="1" applyFill="1"/>
    <xf numFmtId="0" fontId="47" fillId="2" borderId="0" xfId="0" applyFont="1" applyFill="1" applyAlignment="1">
      <alignment wrapText="1"/>
    </xf>
    <xf numFmtId="0" fontId="57" fillId="2" borderId="0" xfId="0" applyFont="1" applyFill="1" applyAlignment="1">
      <alignment horizontal="right"/>
    </xf>
    <xf numFmtId="0" fontId="58" fillId="2" borderId="0" xfId="0" applyFont="1" applyFill="1" applyAlignment="1">
      <alignment horizontal="right"/>
    </xf>
    <xf numFmtId="3" fontId="8" fillId="2" borderId="16" xfId="0" applyNumberFormat="1" applyFont="1" applyFill="1" applyBorder="1" applyAlignment="1">
      <alignment vertical="center"/>
    </xf>
    <xf numFmtId="0" fontId="20" fillId="2" borderId="0" xfId="4" applyFill="1" applyBorder="1" applyAlignment="1" applyProtection="1"/>
    <xf numFmtId="3" fontId="0" fillId="2" borderId="0" xfId="0" applyNumberFormat="1" applyFill="1" applyAlignment="1">
      <alignment vertical="center"/>
    </xf>
    <xf numFmtId="0" fontId="46" fillId="2" borderId="4" xfId="0" applyFont="1" applyFill="1" applyBorder="1" applyAlignment="1">
      <alignment vertical="center"/>
    </xf>
    <xf numFmtId="0" fontId="0" fillId="2" borderId="12" xfId="0" applyFill="1" applyBorder="1"/>
    <xf numFmtId="0" fontId="8" fillId="2" borderId="11" xfId="0" applyFont="1" applyFill="1" applyBorder="1"/>
    <xf numFmtId="0" fontId="8" fillId="31" borderId="11" xfId="0" applyFont="1" applyFill="1" applyBorder="1"/>
    <xf numFmtId="3" fontId="9" fillId="31" borderId="16" xfId="0" applyNumberFormat="1" applyFont="1" applyFill="1" applyBorder="1" applyAlignment="1">
      <alignment horizontal="right"/>
    </xf>
    <xf numFmtId="164" fontId="9" fillId="31" borderId="16" xfId="0" applyNumberFormat="1" applyFont="1" applyFill="1" applyBorder="1" applyAlignment="1">
      <alignment horizontal="right"/>
    </xf>
    <xf numFmtId="3" fontId="9" fillId="2" borderId="8" xfId="0" applyNumberFormat="1" applyFont="1" applyFill="1" applyBorder="1" applyAlignment="1">
      <alignment horizontal="right" vertical="center"/>
    </xf>
    <xf numFmtId="3" fontId="5" fillId="31" borderId="14" xfId="0" applyNumberFormat="1" applyFont="1" applyFill="1" applyBorder="1" applyAlignment="1">
      <alignment horizontal="right"/>
    </xf>
    <xf numFmtId="3" fontId="5" fillId="31" borderId="15" xfId="0" applyNumberFormat="1" applyFont="1" applyFill="1" applyBorder="1" applyAlignment="1">
      <alignment horizontal="right"/>
    </xf>
    <xf numFmtId="3" fontId="5" fillId="31" borderId="11" xfId="0" applyNumberFormat="1" applyFont="1" applyFill="1" applyBorder="1" applyAlignment="1">
      <alignment horizontal="right"/>
    </xf>
    <xf numFmtId="3" fontId="5" fillId="31" borderId="0" xfId="0" applyNumberFormat="1" applyFont="1" applyFill="1" applyAlignment="1">
      <alignment horizontal="right"/>
    </xf>
    <xf numFmtId="3" fontId="5" fillId="31" borderId="0" xfId="0" quotePrefix="1" applyNumberFormat="1" applyFont="1" applyFill="1" applyAlignment="1">
      <alignment horizontal="right"/>
    </xf>
    <xf numFmtId="0" fontId="5" fillId="2" borderId="0" xfId="0" applyFont="1" applyFill="1" applyAlignment="1">
      <alignment vertical="center"/>
    </xf>
    <xf numFmtId="164" fontId="18" fillId="31" borderId="3" xfId="92" applyNumberFormat="1" applyFont="1" applyFill="1" applyBorder="1" applyAlignment="1">
      <alignment horizontal="right" wrapText="1"/>
    </xf>
    <xf numFmtId="0" fontId="6" fillId="0" borderId="0" xfId="0" applyFont="1"/>
    <xf numFmtId="164" fontId="18" fillId="31" borderId="10" xfId="92" applyNumberFormat="1" applyFont="1" applyFill="1" applyBorder="1" applyAlignment="1">
      <alignment horizontal="right" wrapText="1"/>
    </xf>
    <xf numFmtId="3" fontId="8" fillId="0" borderId="0" xfId="0" applyNumberFormat="1" applyFont="1" applyAlignment="1">
      <alignment vertical="center"/>
    </xf>
    <xf numFmtId="0" fontId="8" fillId="0" borderId="0" xfId="0" applyFont="1" applyAlignment="1">
      <alignment vertical="center"/>
    </xf>
    <xf numFmtId="3" fontId="9" fillId="2" borderId="6" xfId="0" applyNumberFormat="1" applyFont="1" applyFill="1" applyBorder="1" applyAlignment="1">
      <alignment horizontal="right" vertical="center"/>
    </xf>
    <xf numFmtId="0" fontId="9" fillId="2" borderId="15" xfId="0" applyFont="1" applyFill="1" applyBorder="1" applyAlignment="1">
      <alignment horizontal="right"/>
    </xf>
    <xf numFmtId="0" fontId="57" fillId="2" borderId="15" xfId="0" applyFont="1" applyFill="1" applyBorder="1" applyAlignment="1">
      <alignment horizontal="right"/>
    </xf>
    <xf numFmtId="0" fontId="54" fillId="2" borderId="4" xfId="0" applyFont="1" applyFill="1" applyBorder="1" applyAlignment="1">
      <alignment horizontal="left" vertical="center"/>
    </xf>
    <xf numFmtId="3" fontId="9" fillId="2" borderId="16" xfId="0" applyNumberFormat="1" applyFont="1" applyFill="1" applyBorder="1" applyAlignment="1">
      <alignment vertical="center"/>
    </xf>
    <xf numFmtId="3" fontId="9" fillId="2" borderId="14" xfId="0" applyNumberFormat="1" applyFont="1" applyFill="1" applyBorder="1" applyAlignment="1">
      <alignment vertical="center"/>
    </xf>
    <xf numFmtId="3" fontId="8" fillId="2" borderId="0" xfId="0" applyNumberFormat="1" applyFont="1" applyFill="1" applyAlignment="1">
      <alignment vertical="center"/>
    </xf>
    <xf numFmtId="167" fontId="9" fillId="2" borderId="10" xfId="0" applyNumberFormat="1" applyFont="1" applyFill="1" applyBorder="1"/>
    <xf numFmtId="164" fontId="11" fillId="2" borderId="11" xfId="67" applyNumberFormat="1" applyFill="1" applyBorder="1" applyAlignment="1">
      <alignment horizontal="right" wrapText="1"/>
    </xf>
    <xf numFmtId="164" fontId="0" fillId="2" borderId="0" xfId="0" applyNumberFormat="1" applyFill="1"/>
    <xf numFmtId="164" fontId="5" fillId="2" borderId="0" xfId="0" applyNumberFormat="1" applyFont="1" applyFill="1"/>
    <xf numFmtId="164" fontId="5" fillId="2" borderId="0" xfId="0" applyNumberFormat="1" applyFont="1" applyFill="1" applyAlignment="1">
      <alignment horizontal="right"/>
    </xf>
    <xf numFmtId="164" fontId="5" fillId="2" borderId="12" xfId="0" applyNumberFormat="1" applyFont="1" applyFill="1" applyBorder="1" applyAlignment="1">
      <alignment horizontal="right"/>
    </xf>
    <xf numFmtId="164" fontId="5" fillId="2" borderId="15" xfId="0" applyNumberFormat="1" applyFont="1" applyFill="1" applyBorder="1"/>
    <xf numFmtId="164" fontId="5" fillId="2" borderId="8" xfId="0" applyNumberFormat="1" applyFont="1" applyFill="1" applyBorder="1" applyAlignment="1">
      <alignment horizontal="right"/>
    </xf>
    <xf numFmtId="0" fontId="0" fillId="31" borderId="11" xfId="0" applyFill="1" applyBorder="1"/>
    <xf numFmtId="0" fontId="0" fillId="31" borderId="16" xfId="0" applyFill="1" applyBorder="1"/>
    <xf numFmtId="0" fontId="11" fillId="31" borderId="11" xfId="67" applyFill="1" applyBorder="1" applyAlignment="1">
      <alignment horizontal="right" wrapText="1"/>
    </xf>
    <xf numFmtId="0" fontId="9" fillId="0" borderId="0" xfId="0" applyFont="1" applyAlignment="1">
      <alignment vertical="center"/>
    </xf>
    <xf numFmtId="0" fontId="8" fillId="31" borderId="10" xfId="0" applyFont="1" applyFill="1" applyBorder="1"/>
    <xf numFmtId="167" fontId="14" fillId="0" borderId="0" xfId="0" applyNumberFormat="1" applyFont="1" applyAlignment="1">
      <alignment horizontal="right"/>
    </xf>
    <xf numFmtId="0" fontId="0" fillId="31" borderId="10" xfId="0" applyFill="1" applyBorder="1"/>
    <xf numFmtId="0" fontId="0" fillId="0" borderId="0" xfId="0" applyAlignment="1">
      <alignment horizontal="center"/>
    </xf>
    <xf numFmtId="167" fontId="14" fillId="31" borderId="10" xfId="0" applyNumberFormat="1" applyFont="1" applyFill="1" applyBorder="1"/>
    <xf numFmtId="0" fontId="51" fillId="2" borderId="15" xfId="0" applyFont="1" applyFill="1" applyBorder="1"/>
    <xf numFmtId="0" fontId="58" fillId="2" borderId="15" xfId="0" applyFont="1" applyFill="1" applyBorder="1" applyAlignment="1">
      <alignment horizontal="right"/>
    </xf>
    <xf numFmtId="0" fontId="54" fillId="2" borderId="4" xfId="0" applyFont="1" applyFill="1" applyBorder="1" applyAlignment="1">
      <alignment vertical="center"/>
    </xf>
    <xf numFmtId="168" fontId="5" fillId="2" borderId="11" xfId="65" applyNumberFormat="1" applyFont="1" applyFill="1" applyBorder="1" applyAlignment="1">
      <alignment horizontal="right" wrapText="1"/>
    </xf>
    <xf numFmtId="168" fontId="5" fillId="2" borderId="0" xfId="65" applyNumberFormat="1" applyFont="1" applyFill="1" applyBorder="1" applyAlignment="1">
      <alignment horizontal="right" wrapText="1"/>
    </xf>
    <xf numFmtId="168" fontId="5" fillId="2" borderId="12" xfId="65" applyNumberFormat="1" applyFont="1" applyFill="1" applyBorder="1" applyAlignment="1">
      <alignment horizontal="right" wrapText="1"/>
    </xf>
    <xf numFmtId="168" fontId="9" fillId="2" borderId="7" xfId="65" applyNumberFormat="1" applyFont="1" applyFill="1" applyBorder="1" applyAlignment="1">
      <alignment horizontal="right" vertical="center" wrapText="1"/>
    </xf>
    <xf numFmtId="3" fontId="8" fillId="2" borderId="14" xfId="0" applyNumberFormat="1" applyFont="1" applyFill="1" applyBorder="1" applyAlignment="1">
      <alignment horizontal="right" vertical="center"/>
    </xf>
    <xf numFmtId="3" fontId="8" fillId="2" borderId="8" xfId="0" applyNumberFormat="1" applyFont="1" applyFill="1" applyBorder="1" applyAlignment="1">
      <alignment horizontal="right" vertical="center"/>
    </xf>
    <xf numFmtId="0" fontId="53" fillId="2" borderId="0" xfId="0" applyFont="1" applyFill="1" applyAlignment="1">
      <alignment vertical="center" wrapText="1"/>
    </xf>
    <xf numFmtId="0" fontId="9" fillId="2" borderId="0" xfId="0" applyFont="1" applyFill="1" applyAlignment="1">
      <alignment vertical="center"/>
    </xf>
    <xf numFmtId="0" fontId="9" fillId="2" borderId="5" xfId="0" applyFont="1" applyFill="1" applyBorder="1" applyAlignment="1">
      <alignment vertical="center"/>
    </xf>
    <xf numFmtId="0" fontId="54" fillId="2" borderId="5" xfId="0" applyFont="1" applyFill="1" applyBorder="1" applyAlignment="1">
      <alignment vertical="center"/>
    </xf>
    <xf numFmtId="0" fontId="8" fillId="2" borderId="3" xfId="0" applyFont="1" applyFill="1" applyBorder="1" applyAlignment="1">
      <alignment horizontal="center"/>
    </xf>
    <xf numFmtId="3" fontId="9" fillId="2" borderId="15" xfId="0" applyNumberFormat="1" applyFont="1" applyFill="1" applyBorder="1" applyAlignment="1">
      <alignment vertical="center"/>
    </xf>
    <xf numFmtId="9" fontId="0" fillId="2" borderId="12" xfId="1" applyFont="1" applyFill="1" applyBorder="1" applyAlignment="1"/>
    <xf numFmtId="164" fontId="13" fillId="2" borderId="2" xfId="0" quotePrefix="1" applyNumberFormat="1" applyFont="1" applyFill="1" applyBorder="1" applyAlignment="1">
      <alignment horizontal="right"/>
    </xf>
    <xf numFmtId="164" fontId="13" fillId="2" borderId="9" xfId="0" quotePrefix="1" applyNumberFormat="1" applyFont="1" applyFill="1" applyBorder="1" applyAlignment="1">
      <alignment horizontal="right"/>
    </xf>
    <xf numFmtId="164" fontId="13" fillId="2" borderId="0" xfId="0" quotePrefix="1" applyNumberFormat="1" applyFont="1" applyFill="1" applyAlignment="1">
      <alignment horizontal="right"/>
    </xf>
    <xf numFmtId="164" fontId="13" fillId="2" borderId="12" xfId="0" quotePrefix="1" applyNumberFormat="1" applyFont="1" applyFill="1" applyBorder="1" applyAlignment="1">
      <alignment horizontal="right"/>
    </xf>
    <xf numFmtId="164" fontId="13" fillId="2" borderId="0" xfId="0" applyNumberFormat="1" applyFont="1" applyFill="1" applyAlignment="1">
      <alignment horizontal="right"/>
    </xf>
    <xf numFmtId="164" fontId="13" fillId="2" borderId="12" xfId="0" applyNumberFormat="1" applyFont="1" applyFill="1" applyBorder="1" applyAlignment="1">
      <alignment horizontal="right"/>
    </xf>
    <xf numFmtId="164" fontId="9" fillId="2" borderId="7" xfId="0" applyNumberFormat="1" applyFont="1" applyFill="1" applyBorder="1" applyAlignment="1">
      <alignment vertical="center"/>
    </xf>
    <xf numFmtId="164" fontId="0" fillId="2" borderId="2" xfId="0" applyNumberFormat="1" applyFill="1" applyBorder="1"/>
    <xf numFmtId="164" fontId="0" fillId="2" borderId="9" xfId="0" applyNumberFormat="1" applyFill="1" applyBorder="1"/>
    <xf numFmtId="164" fontId="0" fillId="2" borderId="12" xfId="0" applyNumberFormat="1" applyFill="1" applyBorder="1"/>
    <xf numFmtId="0" fontId="9" fillId="0" borderId="10" xfId="0" applyFont="1" applyBorder="1" applyAlignment="1">
      <alignment horizontal="left"/>
    </xf>
    <xf numFmtId="3" fontId="9" fillId="2" borderId="4" xfId="0" applyNumberFormat="1" applyFont="1" applyFill="1" applyBorder="1" applyAlignment="1">
      <alignment horizontal="right" vertical="center"/>
    </xf>
    <xf numFmtId="3" fontId="0" fillId="32" borderId="11" xfId="0" applyNumberFormat="1" applyFill="1" applyBorder="1" applyAlignment="1">
      <alignment horizontal="right"/>
    </xf>
    <xf numFmtId="3" fontId="0" fillId="32" borderId="0" xfId="0" applyNumberFormat="1" applyFill="1" applyAlignment="1">
      <alignment horizontal="right"/>
    </xf>
    <xf numFmtId="3" fontId="0" fillId="32" borderId="12" xfId="0" applyNumberFormat="1" applyFill="1" applyBorder="1" applyAlignment="1">
      <alignment horizontal="right"/>
    </xf>
    <xf numFmtId="3" fontId="13" fillId="32" borderId="0" xfId="0" applyNumberFormat="1" applyFont="1" applyFill="1" applyAlignment="1">
      <alignment horizontal="right"/>
    </xf>
    <xf numFmtId="3" fontId="13" fillId="32" borderId="12" xfId="0" applyNumberFormat="1" applyFont="1" applyFill="1" applyBorder="1" applyAlignment="1">
      <alignment horizontal="right"/>
    </xf>
    <xf numFmtId="3" fontId="13" fillId="32" borderId="11" xfId="0" applyNumberFormat="1" applyFont="1" applyFill="1" applyBorder="1" applyAlignment="1">
      <alignment horizontal="right"/>
    </xf>
    <xf numFmtId="3" fontId="13" fillId="32" borderId="10" xfId="0" applyNumberFormat="1" applyFont="1" applyFill="1" applyBorder="1" applyAlignment="1">
      <alignment horizontal="right"/>
    </xf>
    <xf numFmtId="3" fontId="57" fillId="2" borderId="0" xfId="0" applyNumberFormat="1" applyFont="1" applyFill="1" applyAlignment="1">
      <alignment horizontal="right"/>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3" fontId="13" fillId="0" borderId="0" xfId="0" applyNumberFormat="1" applyFont="1" applyAlignment="1">
      <alignment horizontal="right"/>
    </xf>
    <xf numFmtId="0" fontId="9" fillId="2" borderId="0" xfId="0" applyFont="1" applyFill="1" applyAlignment="1">
      <alignment horizontal="right" wrapText="1"/>
    </xf>
    <xf numFmtId="0" fontId="54" fillId="2" borderId="5" xfId="0" applyFont="1" applyFill="1" applyBorder="1" applyAlignment="1">
      <alignment horizontal="left" vertical="center"/>
    </xf>
    <xf numFmtId="168" fontId="15" fillId="2" borderId="4" xfId="65" applyNumberFormat="1" applyFont="1" applyFill="1" applyBorder="1" applyAlignment="1">
      <alignment horizontal="right" vertical="center" wrapText="1"/>
    </xf>
    <xf numFmtId="0" fontId="46" fillId="2" borderId="0" xfId="0" applyFont="1" applyFill="1" applyAlignment="1">
      <alignment horizontal="right"/>
    </xf>
    <xf numFmtId="3" fontId="9" fillId="2" borderId="7" xfId="0" applyNumberFormat="1" applyFont="1" applyFill="1" applyBorder="1" applyAlignment="1">
      <alignment horizontal="right" vertical="center"/>
    </xf>
    <xf numFmtId="3" fontId="9" fillId="2" borderId="0" xfId="0" applyNumberFormat="1" applyFont="1" applyFill="1" applyAlignment="1">
      <alignment horizontal="right" vertical="center"/>
    </xf>
    <xf numFmtId="0" fontId="54" fillId="2" borderId="0" xfId="0" applyFont="1" applyFill="1" applyAlignment="1">
      <alignment horizontal="left" vertical="center"/>
    </xf>
    <xf numFmtId="164" fontId="13" fillId="2" borderId="11" xfId="0" applyNumberFormat="1" applyFont="1" applyFill="1" applyBorder="1" applyAlignment="1">
      <alignment horizontal="right" wrapText="1"/>
    </xf>
    <xf numFmtId="164" fontId="13" fillId="2" borderId="0" xfId="0" applyNumberFormat="1" applyFont="1" applyFill="1" applyAlignment="1">
      <alignment horizontal="right" wrapText="1"/>
    </xf>
    <xf numFmtId="164" fontId="13" fillId="2" borderId="12" xfId="0" applyNumberFormat="1" applyFont="1" applyFill="1" applyBorder="1" applyAlignment="1">
      <alignment horizontal="right" wrapText="1"/>
    </xf>
    <xf numFmtId="164" fontId="13" fillId="2" borderId="11" xfId="0" applyNumberFormat="1" applyFont="1" applyFill="1" applyBorder="1" applyAlignment="1">
      <alignment horizontal="right"/>
    </xf>
    <xf numFmtId="164" fontId="5" fillId="2" borderId="0" xfId="0" applyNumberFormat="1" applyFont="1" applyFill="1" applyAlignment="1">
      <alignment horizontal="right" wrapText="1"/>
    </xf>
    <xf numFmtId="3" fontId="16" fillId="2" borderId="12" xfId="0" applyNumberFormat="1" applyFont="1" applyFill="1" applyBorder="1"/>
    <xf numFmtId="0" fontId="18" fillId="2" borderId="10" xfId="67" applyFont="1" applyFill="1" applyBorder="1" applyAlignment="1">
      <alignment wrapText="1"/>
    </xf>
    <xf numFmtId="3" fontId="16" fillId="2" borderId="1" xfId="0" applyNumberFormat="1" applyFont="1" applyFill="1" applyBorder="1"/>
    <xf numFmtId="3" fontId="16" fillId="2" borderId="11" xfId="0" applyNumberFormat="1" applyFont="1" applyFill="1" applyBorder="1"/>
    <xf numFmtId="3" fontId="16" fillId="2" borderId="14" xfId="0" applyNumberFormat="1" applyFont="1" applyFill="1" applyBorder="1"/>
    <xf numFmtId="164" fontId="18" fillId="2" borderId="10" xfId="7" applyNumberFormat="1" applyFont="1" applyFill="1" applyBorder="1" applyAlignment="1">
      <alignment horizontal="right" wrapText="1"/>
    </xf>
    <xf numFmtId="164" fontId="18" fillId="2" borderId="4" xfId="7" applyNumberFormat="1" applyFont="1" applyFill="1" applyBorder="1" applyAlignment="1">
      <alignment horizontal="right" vertical="center" wrapText="1"/>
    </xf>
    <xf numFmtId="164" fontId="11" fillId="2" borderId="10" xfId="7" applyNumberFormat="1" applyFill="1" applyBorder="1" applyAlignment="1">
      <alignment horizontal="right" wrapText="1"/>
    </xf>
    <xf numFmtId="0" fontId="0" fillId="2" borderId="0" xfId="0" applyFill="1" applyAlignment="1">
      <alignment vertical="center" wrapText="1"/>
    </xf>
    <xf numFmtId="168" fontId="51" fillId="2" borderId="4" xfId="65" applyNumberFormat="1" applyFont="1" applyFill="1" applyBorder="1" applyAlignment="1">
      <alignment horizontal="right" vertical="center" wrapText="1"/>
    </xf>
    <xf numFmtId="0" fontId="54" fillId="2" borderId="0" xfId="0" applyFont="1" applyFill="1" applyAlignment="1">
      <alignment horizontal="right"/>
    </xf>
    <xf numFmtId="0" fontId="69" fillId="2" borderId="0" xfId="0" applyFont="1" applyFill="1"/>
    <xf numFmtId="166" fontId="8" fillId="2" borderId="0" xfId="0" applyNumberFormat="1" applyFont="1" applyFill="1" applyAlignment="1">
      <alignment vertical="center"/>
    </xf>
    <xf numFmtId="0" fontId="70" fillId="2" borderId="0" xfId="0" applyFont="1" applyFill="1"/>
    <xf numFmtId="166" fontId="14" fillId="2" borderId="11" xfId="0" applyNumberFormat="1" applyFont="1" applyFill="1" applyBorder="1"/>
    <xf numFmtId="166" fontId="14" fillId="2" borderId="0" xfId="0" applyNumberFormat="1" applyFont="1" applyFill="1"/>
    <xf numFmtId="166" fontId="14" fillId="2" borderId="12" xfId="0" applyNumberFormat="1" applyFont="1" applyFill="1" applyBorder="1"/>
    <xf numFmtId="166" fontId="51" fillId="2" borderId="10" xfId="0" applyNumberFormat="1" applyFont="1" applyFill="1" applyBorder="1"/>
    <xf numFmtId="3" fontId="14" fillId="2" borderId="0" xfId="0" applyNumberFormat="1" applyFont="1" applyFill="1"/>
    <xf numFmtId="166" fontId="51" fillId="2" borderId="5" xfId="0" applyNumberFormat="1" applyFont="1" applyFill="1" applyBorder="1" applyAlignment="1">
      <alignment vertical="center"/>
    </xf>
    <xf numFmtId="166" fontId="51" fillId="2" borderId="6" xfId="0" applyNumberFormat="1" applyFont="1" applyFill="1" applyBorder="1" applyAlignment="1">
      <alignment vertical="center"/>
    </xf>
    <xf numFmtId="166" fontId="51" fillId="2" borderId="7" xfId="0" applyNumberFormat="1" applyFont="1" applyFill="1" applyBorder="1" applyAlignment="1">
      <alignment vertical="center"/>
    </xf>
    <xf numFmtId="166" fontId="51" fillId="2" borderId="4" xfId="0" applyNumberFormat="1" applyFont="1" applyFill="1" applyBorder="1" applyAlignment="1">
      <alignment vertical="center"/>
    </xf>
    <xf numFmtId="3" fontId="51" fillId="2" borderId="0" xfId="0" applyNumberFormat="1" applyFont="1" applyFill="1" applyAlignment="1">
      <alignment vertical="center"/>
    </xf>
    <xf numFmtId="0" fontId="14" fillId="2" borderId="0" xfId="0" applyFont="1" applyFill="1"/>
    <xf numFmtId="167" fontId="16" fillId="2" borderId="11" xfId="0" applyNumberFormat="1" applyFont="1" applyFill="1" applyBorder="1"/>
    <xf numFmtId="167" fontId="14" fillId="2" borderId="11" xfId="0" applyNumberFormat="1" applyFont="1" applyFill="1" applyBorder="1"/>
    <xf numFmtId="167" fontId="14" fillId="2" borderId="0" xfId="0" applyNumberFormat="1" applyFont="1" applyFill="1"/>
    <xf numFmtId="167" fontId="15" fillId="2" borderId="10" xfId="0" applyNumberFormat="1" applyFont="1" applyFill="1" applyBorder="1"/>
    <xf numFmtId="167" fontId="16" fillId="2" borderId="12" xfId="0" applyNumberFormat="1" applyFont="1" applyFill="1" applyBorder="1"/>
    <xf numFmtId="166" fontId="16" fillId="2" borderId="11" xfId="0" applyNumberFormat="1" applyFont="1" applyFill="1" applyBorder="1"/>
    <xf numFmtId="166" fontId="16" fillId="2" borderId="0" xfId="0" applyNumberFormat="1" applyFont="1" applyFill="1"/>
    <xf numFmtId="166" fontId="16" fillId="2" borderId="12" xfId="0" applyNumberFormat="1" applyFont="1" applyFill="1" applyBorder="1"/>
    <xf numFmtId="166" fontId="15" fillId="2" borderId="10" xfId="0" applyNumberFormat="1" applyFont="1" applyFill="1" applyBorder="1"/>
    <xf numFmtId="167" fontId="16" fillId="2" borderId="27" xfId="0" applyNumberFormat="1" applyFont="1" applyFill="1" applyBorder="1"/>
    <xf numFmtId="167" fontId="16" fillId="2" borderId="28" xfId="0" applyNumberFormat="1" applyFont="1" applyFill="1" applyBorder="1"/>
    <xf numFmtId="167" fontId="15" fillId="2" borderId="25" xfId="0" applyNumberFormat="1" applyFont="1" applyFill="1" applyBorder="1"/>
    <xf numFmtId="166" fontId="16" fillId="2" borderId="26" xfId="0" applyNumberFormat="1" applyFont="1" applyFill="1" applyBorder="1"/>
    <xf numFmtId="166" fontId="16" fillId="2" borderId="27" xfId="0" applyNumberFormat="1" applyFont="1" applyFill="1" applyBorder="1"/>
    <xf numFmtId="0" fontId="16" fillId="2" borderId="0" xfId="0" applyFont="1" applyFill="1"/>
    <xf numFmtId="167" fontId="14" fillId="2" borderId="15" xfId="0" applyNumberFormat="1" applyFont="1" applyFill="1" applyBorder="1"/>
    <xf numFmtId="167" fontId="15" fillId="2" borderId="16" xfId="0" applyNumberFormat="1" applyFont="1" applyFill="1" applyBorder="1"/>
    <xf numFmtId="167" fontId="16" fillId="2" borderId="14" xfId="0" applyNumberFormat="1" applyFont="1" applyFill="1" applyBorder="1"/>
    <xf numFmtId="167" fontId="16" fillId="2" borderId="15" xfId="0" applyNumberFormat="1" applyFont="1" applyFill="1" applyBorder="1"/>
    <xf numFmtId="167" fontId="16" fillId="2" borderId="8" xfId="0" applyNumberFormat="1" applyFont="1" applyFill="1" applyBorder="1"/>
    <xf numFmtId="166" fontId="16" fillId="2" borderId="14" xfId="0" applyNumberFormat="1" applyFont="1" applyFill="1" applyBorder="1"/>
    <xf numFmtId="166" fontId="16" fillId="2" borderId="15" xfId="0" applyNumberFormat="1" applyFont="1" applyFill="1" applyBorder="1"/>
    <xf numFmtId="166" fontId="16" fillId="2" borderId="8" xfId="0" applyNumberFormat="1" applyFont="1" applyFill="1" applyBorder="1"/>
    <xf numFmtId="166" fontId="15" fillId="2" borderId="16" xfId="0" applyNumberFormat="1" applyFont="1" applyFill="1" applyBorder="1"/>
    <xf numFmtId="0" fontId="72" fillId="2" borderId="0" xfId="0" applyFont="1" applyFill="1"/>
    <xf numFmtId="0" fontId="68" fillId="2" borderId="0" xfId="0" applyFont="1" applyFill="1"/>
    <xf numFmtId="0" fontId="8" fillId="31" borderId="3" xfId="0" applyFont="1" applyFill="1" applyBorder="1"/>
    <xf numFmtId="166" fontId="14" fillId="31" borderId="11" xfId="0" applyNumberFormat="1" applyFont="1" applyFill="1" applyBorder="1"/>
    <xf numFmtId="166" fontId="14" fillId="31" borderId="0" xfId="0" applyNumberFormat="1" applyFont="1" applyFill="1"/>
    <xf numFmtId="166" fontId="14" fillId="31" borderId="12" xfId="0" applyNumberFormat="1" applyFont="1" applyFill="1" applyBorder="1"/>
    <xf numFmtId="166" fontId="51" fillId="31" borderId="10" xfId="0" applyNumberFormat="1" applyFont="1" applyFill="1" applyBorder="1"/>
    <xf numFmtId="3" fontId="5" fillId="31" borderId="3" xfId="105" applyNumberFormat="1" applyFont="1" applyFill="1" applyBorder="1"/>
    <xf numFmtId="3" fontId="5" fillId="31" borderId="10" xfId="105" applyNumberFormat="1" applyFont="1" applyFill="1" applyBorder="1"/>
    <xf numFmtId="3" fontId="5" fillId="31" borderId="16" xfId="0" applyNumberFormat="1" applyFont="1" applyFill="1" applyBorder="1"/>
    <xf numFmtId="167" fontId="0" fillId="0" borderId="0" xfId="0" applyNumberFormat="1"/>
    <xf numFmtId="0" fontId="20" fillId="2" borderId="0" xfId="4" applyFill="1" applyAlignment="1" applyProtection="1">
      <alignment horizontal="left"/>
    </xf>
    <xf numFmtId="0" fontId="0" fillId="33" borderId="0" xfId="0" applyFill="1"/>
    <xf numFmtId="0" fontId="74" fillId="33" borderId="0" xfId="0" applyFont="1" applyFill="1"/>
    <xf numFmtId="3" fontId="8" fillId="26" borderId="6" xfId="0" applyNumberFormat="1" applyFont="1" applyFill="1" applyBorder="1" applyAlignment="1">
      <alignment vertical="center"/>
    </xf>
    <xf numFmtId="3" fontId="8" fillId="26" borderId="4" xfId="0" applyNumberFormat="1" applyFont="1" applyFill="1" applyBorder="1" applyAlignment="1">
      <alignment vertical="center"/>
    </xf>
    <xf numFmtId="3" fontId="72" fillId="2" borderId="0" xfId="0" applyNumberFormat="1" applyFont="1" applyFill="1" applyAlignment="1">
      <alignment horizontal="right"/>
    </xf>
    <xf numFmtId="0" fontId="72" fillId="2" borderId="0" xfId="0" applyFont="1" applyFill="1" applyAlignment="1">
      <alignment horizontal="left"/>
    </xf>
    <xf numFmtId="167" fontId="14" fillId="2" borderId="12" xfId="0" applyNumberFormat="1" applyFont="1" applyFill="1" applyBorder="1"/>
    <xf numFmtId="0" fontId="8" fillId="31" borderId="16" xfId="0" applyFont="1" applyFill="1" applyBorder="1"/>
    <xf numFmtId="167" fontId="14" fillId="31" borderId="12" xfId="0" applyNumberFormat="1" applyFont="1" applyFill="1" applyBorder="1"/>
    <xf numFmtId="167" fontId="51" fillId="2" borderId="7" xfId="0" applyNumberFormat="1" applyFont="1" applyFill="1" applyBorder="1" applyAlignment="1">
      <alignment vertical="center"/>
    </xf>
    <xf numFmtId="0" fontId="18" fillId="31" borderId="3" xfId="116" applyFont="1" applyFill="1" applyBorder="1" applyAlignment="1">
      <alignment horizontal="right" wrapText="1"/>
    </xf>
    <xf numFmtId="0" fontId="18" fillId="0" borderId="10" xfId="116" applyFont="1" applyBorder="1" applyAlignment="1">
      <alignment horizontal="right" wrapText="1"/>
    </xf>
    <xf numFmtId="0" fontId="18" fillId="31" borderId="10" xfId="116" applyFont="1" applyFill="1" applyBorder="1" applyAlignment="1">
      <alignment horizontal="right" wrapText="1"/>
    </xf>
    <xf numFmtId="164" fontId="11" fillId="31" borderId="1" xfId="116" applyNumberFormat="1" applyFill="1" applyBorder="1" applyAlignment="1">
      <alignment horizontal="right" wrapText="1"/>
    </xf>
    <xf numFmtId="0" fontId="11" fillId="31" borderId="1" xfId="116" applyFill="1" applyBorder="1" applyAlignment="1">
      <alignment horizontal="right" wrapText="1"/>
    </xf>
    <xf numFmtId="164" fontId="11" fillId="0" borderId="11" xfId="116" applyNumberFormat="1" applyBorder="1" applyAlignment="1">
      <alignment horizontal="right" wrapText="1"/>
    </xf>
    <xf numFmtId="0" fontId="11" fillId="0" borderId="11" xfId="116" applyBorder="1" applyAlignment="1">
      <alignment horizontal="right" wrapText="1"/>
    </xf>
    <xf numFmtId="164" fontId="11" fillId="31" borderId="11" xfId="116" applyNumberFormat="1" applyFill="1" applyBorder="1" applyAlignment="1">
      <alignment horizontal="right" wrapText="1"/>
    </xf>
    <xf numFmtId="0" fontId="11" fillId="31" borderId="11" xfId="116" applyFill="1" applyBorder="1" applyAlignment="1">
      <alignment horizontal="right" wrapText="1"/>
    </xf>
    <xf numFmtId="164" fontId="6" fillId="31" borderId="11" xfId="0" applyNumberFormat="1" applyFont="1" applyFill="1" applyBorder="1" applyAlignment="1">
      <alignment horizontal="right"/>
    </xf>
    <xf numFmtId="0" fontId="6" fillId="31" borderId="14" xfId="0" applyFont="1" applyFill="1" applyBorder="1"/>
    <xf numFmtId="0" fontId="72" fillId="2" borderId="0" xfId="0" applyFont="1" applyFill="1" applyAlignment="1">
      <alignment horizontal="left" vertical="top" wrapText="1"/>
    </xf>
    <xf numFmtId="0" fontId="6" fillId="31" borderId="1" xfId="0" applyFont="1" applyFill="1" applyBorder="1"/>
    <xf numFmtId="0" fontId="6" fillId="2" borderId="11" xfId="0" applyFont="1" applyFill="1" applyBorder="1"/>
    <xf numFmtId="0" fontId="6" fillId="31" borderId="11" xfId="0" applyFont="1" applyFill="1" applyBorder="1"/>
    <xf numFmtId="167" fontId="14" fillId="31" borderId="3" xfId="0" applyNumberFormat="1" applyFont="1" applyFill="1" applyBorder="1"/>
    <xf numFmtId="167" fontId="14" fillId="2" borderId="10" xfId="0" applyNumberFormat="1" applyFont="1" applyFill="1" applyBorder="1"/>
    <xf numFmtId="3" fontId="9" fillId="0" borderId="0" xfId="115" applyNumberFormat="1" applyFont="1"/>
    <xf numFmtId="3" fontId="6" fillId="0" borderId="0" xfId="0" applyNumberFormat="1" applyFont="1" applyAlignment="1">
      <alignment horizontal="right"/>
    </xf>
    <xf numFmtId="0" fontId="20" fillId="0" borderId="0" xfId="4" applyFill="1" applyBorder="1" applyAlignment="1" applyProtection="1"/>
    <xf numFmtId="0" fontId="71" fillId="2" borderId="0" xfId="4" applyFont="1" applyFill="1" applyAlignment="1" applyProtection="1">
      <alignment horizontal="left"/>
    </xf>
    <xf numFmtId="0" fontId="54" fillId="2" borderId="0" xfId="0" applyFont="1" applyFill="1" applyAlignment="1">
      <alignment vertical="center"/>
    </xf>
    <xf numFmtId="3" fontId="0" fillId="2" borderId="15" xfId="0" applyNumberFormat="1" applyFill="1" applyBorder="1"/>
    <xf numFmtId="164" fontId="11" fillId="0" borderId="0" xfId="118" applyNumberFormat="1" applyAlignment="1">
      <alignment horizontal="right" wrapText="1"/>
    </xf>
    <xf numFmtId="164" fontId="11" fillId="0" borderId="11" xfId="118" applyNumberFormat="1" applyBorder="1" applyAlignment="1">
      <alignment horizontal="right" wrapText="1"/>
    </xf>
    <xf numFmtId="164" fontId="11" fillId="0" borderId="12" xfId="118" applyNumberFormat="1" applyBorder="1" applyAlignment="1">
      <alignment horizontal="right" wrapText="1"/>
    </xf>
    <xf numFmtId="1" fontId="51" fillId="2" borderId="5" xfId="1" applyNumberFormat="1" applyFont="1" applyFill="1" applyBorder="1" applyAlignment="1">
      <alignment horizontal="right" vertical="center"/>
    </xf>
    <xf numFmtId="1" fontId="51" fillId="2" borderId="6" xfId="1" applyNumberFormat="1" applyFont="1" applyFill="1" applyBorder="1" applyAlignment="1">
      <alignment horizontal="right" vertical="center"/>
    </xf>
    <xf numFmtId="1" fontId="51" fillId="2" borderId="7" xfId="1" applyNumberFormat="1" applyFont="1" applyFill="1" applyBorder="1" applyAlignment="1">
      <alignment horizontal="right" vertical="center"/>
    </xf>
    <xf numFmtId="0" fontId="9" fillId="31" borderId="11" xfId="0" applyFont="1" applyFill="1" applyBorder="1"/>
    <xf numFmtId="164" fontId="11" fillId="31" borderId="1" xfId="118" applyNumberFormat="1" applyFill="1" applyBorder="1" applyAlignment="1">
      <alignment horizontal="right" wrapText="1"/>
    </xf>
    <xf numFmtId="164" fontId="11" fillId="31" borderId="2" xfId="118" applyNumberFormat="1" applyFill="1" applyBorder="1" applyAlignment="1">
      <alignment horizontal="right" wrapText="1"/>
    </xf>
    <xf numFmtId="164" fontId="11" fillId="31" borderId="9" xfId="118" applyNumberFormat="1" applyFill="1" applyBorder="1" applyAlignment="1">
      <alignment horizontal="right" wrapText="1"/>
    </xf>
    <xf numFmtId="164" fontId="11" fillId="31" borderId="11" xfId="118" applyNumberFormat="1" applyFill="1" applyBorder="1" applyAlignment="1">
      <alignment horizontal="right" wrapText="1"/>
    </xf>
    <xf numFmtId="164" fontId="11" fillId="31" borderId="0" xfId="118" applyNumberFormat="1" applyFill="1" applyAlignment="1">
      <alignment horizontal="right" wrapText="1"/>
    </xf>
    <xf numFmtId="164" fontId="11" fillId="31" borderId="12" xfId="118" applyNumberFormat="1" applyFill="1" applyBorder="1" applyAlignment="1">
      <alignment horizontal="right" wrapText="1"/>
    </xf>
    <xf numFmtId="164" fontId="11" fillId="31" borderId="11" xfId="118" applyNumberFormat="1" applyFill="1" applyBorder="1"/>
    <xf numFmtId="3" fontId="9" fillId="31" borderId="16" xfId="0" applyNumberFormat="1" applyFont="1" applyFill="1" applyBorder="1"/>
    <xf numFmtId="168" fontId="9" fillId="2" borderId="0" xfId="65" applyNumberFormat="1" applyFont="1" applyFill="1" applyBorder="1" applyAlignment="1">
      <alignment horizontal="right" wrapText="1"/>
    </xf>
    <xf numFmtId="168" fontId="9" fillId="2" borderId="0" xfId="65" applyNumberFormat="1" applyFont="1" applyFill="1" applyBorder="1" applyAlignment="1">
      <alignment horizontal="right" vertical="center" wrapText="1"/>
    </xf>
    <xf numFmtId="167" fontId="9" fillId="2" borderId="4" xfId="0" applyNumberFormat="1" applyFont="1" applyFill="1" applyBorder="1" applyAlignment="1">
      <alignment vertical="center"/>
    </xf>
    <xf numFmtId="0" fontId="9" fillId="31" borderId="10" xfId="0" applyFont="1" applyFill="1" applyBorder="1"/>
    <xf numFmtId="167" fontId="9" fillId="31" borderId="10" xfId="0" applyNumberFormat="1" applyFont="1" applyFill="1" applyBorder="1"/>
    <xf numFmtId="168" fontId="5" fillId="31" borderId="1" xfId="65" applyNumberFormat="1" applyFont="1" applyFill="1" applyBorder="1" applyAlignment="1">
      <alignment horizontal="right" wrapText="1"/>
    </xf>
    <xf numFmtId="168" fontId="5" fillId="31" borderId="2" xfId="65" applyNumberFormat="1" applyFont="1" applyFill="1" applyBorder="1" applyAlignment="1">
      <alignment horizontal="right" wrapText="1"/>
    </xf>
    <xf numFmtId="168" fontId="5" fillId="31" borderId="9" xfId="65" applyNumberFormat="1" applyFont="1" applyFill="1" applyBorder="1" applyAlignment="1">
      <alignment horizontal="right" wrapText="1"/>
    </xf>
    <xf numFmtId="168" fontId="5" fillId="31" borderId="11" xfId="65" applyNumberFormat="1" applyFont="1" applyFill="1" applyBorder="1" applyAlignment="1">
      <alignment horizontal="right" wrapText="1"/>
    </xf>
    <xf numFmtId="168" fontId="5" fillId="31" borderId="0" xfId="65" applyNumberFormat="1" applyFont="1" applyFill="1" applyBorder="1" applyAlignment="1">
      <alignment horizontal="right" wrapText="1"/>
    </xf>
    <xf numFmtId="168" fontId="5" fillId="31" borderId="12" xfId="65" applyNumberFormat="1" applyFont="1" applyFill="1" applyBorder="1" applyAlignment="1">
      <alignment horizontal="right" wrapText="1"/>
    </xf>
    <xf numFmtId="3" fontId="0" fillId="2" borderId="14" xfId="0" applyNumberFormat="1" applyFill="1" applyBorder="1"/>
    <xf numFmtId="3" fontId="0" fillId="2" borderId="8" xfId="0" applyNumberFormat="1" applyFill="1" applyBorder="1"/>
    <xf numFmtId="164" fontId="11" fillId="0" borderId="11" xfId="119" applyNumberFormat="1" applyBorder="1" applyAlignment="1">
      <alignment horizontal="right" wrapText="1"/>
    </xf>
    <xf numFmtId="164" fontId="11" fillId="0" borderId="12" xfId="119" applyNumberFormat="1" applyBorder="1" applyAlignment="1">
      <alignment horizontal="right" wrapText="1"/>
    </xf>
    <xf numFmtId="164" fontId="18" fillId="0" borderId="10" xfId="119" applyNumberFormat="1" applyFont="1" applyBorder="1" applyAlignment="1">
      <alignment horizontal="right" wrapText="1"/>
    </xf>
    <xf numFmtId="164" fontId="18" fillId="31" borderId="3" xfId="119" applyNumberFormat="1" applyFont="1" applyFill="1" applyBorder="1" applyAlignment="1">
      <alignment horizontal="right" wrapText="1"/>
    </xf>
    <xf numFmtId="164" fontId="11" fillId="31" borderId="1" xfId="119" applyNumberFormat="1" applyFill="1" applyBorder="1" applyAlignment="1">
      <alignment horizontal="right" wrapText="1"/>
    </xf>
    <xf numFmtId="164" fontId="11" fillId="31" borderId="9" xfId="119" applyNumberFormat="1" applyFill="1" applyBorder="1" applyAlignment="1">
      <alignment horizontal="right" wrapText="1"/>
    </xf>
    <xf numFmtId="1" fontId="14" fillId="31" borderId="12" xfId="0" applyNumberFormat="1" applyFont="1" applyFill="1" applyBorder="1" applyAlignment="1">
      <alignment horizontal="right"/>
    </xf>
    <xf numFmtId="164" fontId="11" fillId="31" borderId="11" xfId="119" applyNumberFormat="1" applyFill="1" applyBorder="1" applyAlignment="1">
      <alignment horizontal="right" wrapText="1"/>
    </xf>
    <xf numFmtId="164" fontId="11" fillId="31" borderId="12" xfId="119" applyNumberFormat="1" applyFill="1" applyBorder="1" applyAlignment="1">
      <alignment horizontal="right" wrapText="1"/>
    </xf>
    <xf numFmtId="164" fontId="18" fillId="31" borderId="10" xfId="119" applyNumberFormat="1" applyFont="1" applyFill="1" applyBorder="1" applyAlignment="1">
      <alignment horizontal="right" wrapText="1"/>
    </xf>
    <xf numFmtId="0" fontId="9" fillId="0" borderId="11" xfId="0" applyFont="1" applyBorder="1"/>
    <xf numFmtId="164" fontId="6" fillId="31" borderId="14" xfId="0" applyNumberFormat="1" applyFont="1" applyFill="1" applyBorder="1" applyAlignment="1">
      <alignment horizontal="right"/>
    </xf>
    <xf numFmtId="164" fontId="6" fillId="31" borderId="8" xfId="0" applyNumberFormat="1" applyFont="1" applyFill="1" applyBorder="1" applyAlignment="1">
      <alignment horizontal="right"/>
    </xf>
    <xf numFmtId="0" fontId="9" fillId="31" borderId="11" xfId="0" applyFont="1" applyFill="1" applyBorder="1" applyAlignment="1">
      <alignment horizontal="left"/>
    </xf>
    <xf numFmtId="0" fontId="9" fillId="0" borderId="11" xfId="0" applyFont="1" applyBorder="1" applyAlignment="1">
      <alignment horizontal="left"/>
    </xf>
    <xf numFmtId="3" fontId="0" fillId="2" borderId="2" xfId="0" applyNumberFormat="1" applyFill="1" applyBorder="1"/>
    <xf numFmtId="3" fontId="0" fillId="2" borderId="2" xfId="0" quotePrefix="1" applyNumberFormat="1" applyFill="1" applyBorder="1" applyAlignment="1">
      <alignment horizontal="right"/>
    </xf>
    <xf numFmtId="3" fontId="0" fillId="2" borderId="0" xfId="0" quotePrefix="1" applyNumberFormat="1" applyFill="1" applyAlignment="1">
      <alignment horizontal="right"/>
    </xf>
    <xf numFmtId="3" fontId="0" fillId="2" borderId="15" xfId="0" quotePrefix="1" applyNumberFormat="1" applyFill="1" applyBorder="1" applyAlignment="1">
      <alignment horizontal="right"/>
    </xf>
    <xf numFmtId="10" fontId="0" fillId="2" borderId="0" xfId="0" applyNumberFormat="1" applyFill="1"/>
    <xf numFmtId="0" fontId="0" fillId="0" borderId="0" xfId="0" applyAlignment="1">
      <alignment vertical="center"/>
    </xf>
    <xf numFmtId="0" fontId="20" fillId="0" borderId="0" xfId="4" applyAlignment="1" applyProtection="1"/>
    <xf numFmtId="168" fontId="16" fillId="31" borderId="11" xfId="65" applyNumberFormat="1" applyFont="1" applyFill="1" applyBorder="1" applyAlignment="1">
      <alignment horizontal="right" wrapText="1"/>
    </xf>
    <xf numFmtId="168" fontId="16" fillId="31" borderId="0" xfId="65" applyNumberFormat="1" applyFont="1" applyFill="1" applyBorder="1" applyAlignment="1">
      <alignment horizontal="right" wrapText="1"/>
    </xf>
    <xf numFmtId="168" fontId="15" fillId="31" borderId="10" xfId="65" applyNumberFormat="1" applyFont="1" applyFill="1" applyBorder="1" applyAlignment="1">
      <alignment horizontal="right" wrapText="1"/>
    </xf>
    <xf numFmtId="168" fontId="16" fillId="2" borderId="11" xfId="65" applyNumberFormat="1" applyFont="1" applyFill="1" applyBorder="1" applyAlignment="1">
      <alignment horizontal="right" wrapText="1"/>
    </xf>
    <xf numFmtId="168" fontId="16" fillId="2" borderId="0" xfId="65" applyNumberFormat="1" applyFont="1" applyFill="1" applyBorder="1" applyAlignment="1">
      <alignment horizontal="right" wrapText="1"/>
    </xf>
    <xf numFmtId="168" fontId="15" fillId="2" borderId="5" xfId="65" applyNumberFormat="1" applyFont="1" applyFill="1" applyBorder="1" applyAlignment="1">
      <alignment horizontal="right" vertical="center" wrapText="1"/>
    </xf>
    <xf numFmtId="168" fontId="15" fillId="2" borderId="6" xfId="65" applyNumberFormat="1" applyFont="1" applyFill="1" applyBorder="1" applyAlignment="1">
      <alignment horizontal="right" vertical="center" wrapText="1"/>
    </xf>
    <xf numFmtId="0" fontId="68" fillId="2" borderId="0" xfId="0" applyFont="1" applyFill="1" applyAlignment="1">
      <alignment horizontal="left"/>
    </xf>
    <xf numFmtId="0" fontId="0" fillId="32" borderId="11" xfId="0" applyFill="1" applyBorder="1" applyAlignment="1">
      <alignment horizontal="right"/>
    </xf>
    <xf numFmtId="0" fontId="0" fillId="32" borderId="0" xfId="0" applyFill="1" applyAlignment="1">
      <alignment horizontal="right"/>
    </xf>
    <xf numFmtId="0" fontId="0" fillId="2" borderId="11" xfId="0" applyFill="1" applyBorder="1" applyAlignment="1">
      <alignment horizontal="right"/>
    </xf>
    <xf numFmtId="3" fontId="0" fillId="0" borderId="11" xfId="0" applyNumberFormat="1" applyBorder="1" applyAlignment="1">
      <alignment horizontal="right"/>
    </xf>
    <xf numFmtId="3" fontId="0" fillId="0" borderId="0" xfId="0" applyNumberFormat="1" applyAlignment="1">
      <alignment horizontal="right"/>
    </xf>
    <xf numFmtId="0" fontId="0" fillId="0" borderId="11" xfId="0" applyBorder="1"/>
    <xf numFmtId="164" fontId="11" fillId="0" borderId="0" xfId="120" applyNumberFormat="1"/>
    <xf numFmtId="164" fontId="11" fillId="0" borderId="11" xfId="120" applyNumberFormat="1" applyBorder="1" applyAlignment="1">
      <alignment horizontal="right" wrapText="1"/>
    </xf>
    <xf numFmtId="164" fontId="11" fillId="0" borderId="0" xfId="120" applyNumberFormat="1" applyAlignment="1">
      <alignment horizontal="right" wrapText="1"/>
    </xf>
    <xf numFmtId="164" fontId="11" fillId="31" borderId="1" xfId="120" applyNumberFormat="1" applyFill="1" applyBorder="1" applyAlignment="1">
      <alignment horizontal="right" wrapText="1"/>
    </xf>
    <xf numFmtId="164" fontId="11" fillId="31" borderId="2" xfId="120" applyNumberFormat="1" applyFill="1" applyBorder="1" applyAlignment="1">
      <alignment horizontal="right" wrapText="1"/>
    </xf>
    <xf numFmtId="164" fontId="11" fillId="31" borderId="2" xfId="120" applyNumberFormat="1" applyFill="1" applyBorder="1"/>
    <xf numFmtId="164" fontId="11" fillId="31" borderId="11" xfId="120" applyNumberFormat="1" applyFill="1" applyBorder="1" applyAlignment="1">
      <alignment horizontal="right" wrapText="1"/>
    </xf>
    <xf numFmtId="164" fontId="11" fillId="31" borderId="0" xfId="120" applyNumberFormat="1" applyFill="1" applyAlignment="1">
      <alignment horizontal="right" wrapText="1"/>
    </xf>
    <xf numFmtId="164" fontId="11" fillId="31" borderId="0" xfId="120" applyNumberFormat="1" applyFill="1"/>
    <xf numFmtId="3" fontId="0" fillId="31" borderId="0" xfId="0" applyNumberFormat="1" applyFill="1" applyAlignment="1">
      <alignment horizontal="right"/>
    </xf>
    <xf numFmtId="0" fontId="9" fillId="31" borderId="10" xfId="0" applyFont="1" applyFill="1" applyBorder="1" applyAlignment="1">
      <alignment horizontal="left"/>
    </xf>
    <xf numFmtId="3" fontId="0" fillId="31" borderId="11" xfId="0" applyNumberFormat="1" applyFill="1" applyBorder="1" applyAlignment="1">
      <alignment horizontal="right"/>
    </xf>
    <xf numFmtId="3" fontId="5" fillId="31" borderId="14" xfId="0" applyNumberFormat="1" applyFont="1" applyFill="1" applyBorder="1"/>
    <xf numFmtId="3" fontId="5" fillId="31" borderId="15" xfId="0" applyNumberFormat="1" applyFont="1" applyFill="1" applyBorder="1"/>
    <xf numFmtId="0" fontId="6" fillId="2" borderId="0" xfId="0" applyFont="1" applyFill="1"/>
    <xf numFmtId="166" fontId="15" fillId="31" borderId="10" xfId="0" applyNumberFormat="1" applyFont="1" applyFill="1" applyBorder="1"/>
    <xf numFmtId="166" fontId="15" fillId="2" borderId="4" xfId="0" applyNumberFormat="1" applyFont="1" applyFill="1" applyBorder="1" applyAlignment="1">
      <alignment vertical="center"/>
    </xf>
    <xf numFmtId="167" fontId="15" fillId="2" borderId="4" xfId="0" applyNumberFormat="1" applyFont="1" applyFill="1" applyBorder="1" applyAlignment="1">
      <alignment horizontal="right" vertical="center"/>
    </xf>
    <xf numFmtId="3" fontId="5" fillId="31" borderId="11" xfId="0" applyNumberFormat="1" applyFont="1" applyFill="1" applyBorder="1"/>
    <xf numFmtId="3" fontId="5" fillId="31" borderId="0" xfId="0" applyNumberFormat="1" applyFont="1" applyFill="1"/>
    <xf numFmtId="3" fontId="13" fillId="0" borderId="0" xfId="0" applyNumberFormat="1" applyFont="1"/>
    <xf numFmtId="3" fontId="13" fillId="0" borderId="15" xfId="0" applyNumberFormat="1" applyFont="1" applyBorder="1"/>
    <xf numFmtId="3" fontId="13" fillId="0" borderId="15" xfId="0" applyNumberFormat="1" applyFont="1" applyBorder="1" applyAlignment="1">
      <alignment horizontal="right"/>
    </xf>
    <xf numFmtId="0" fontId="54" fillId="2" borderId="0" xfId="0" applyFont="1" applyFill="1" applyAlignment="1">
      <alignment horizontal="right" wrapText="1"/>
    </xf>
    <xf numFmtId="168" fontId="16" fillId="31" borderId="10" xfId="65" applyNumberFormat="1" applyFont="1" applyFill="1" applyBorder="1" applyAlignment="1">
      <alignment horizontal="right" wrapText="1"/>
    </xf>
    <xf numFmtId="169" fontId="9" fillId="2" borderId="0" xfId="65" applyNumberFormat="1" applyFont="1" applyFill="1" applyBorder="1" applyAlignment="1">
      <alignment horizontal="right" vertical="center" wrapText="1"/>
    </xf>
    <xf numFmtId="168" fontId="15" fillId="2" borderId="0" xfId="65" applyNumberFormat="1" applyFont="1" applyFill="1" applyBorder="1" applyAlignment="1">
      <alignment horizontal="right" vertical="center" wrapText="1"/>
    </xf>
    <xf numFmtId="167" fontId="14" fillId="2" borderId="8" xfId="0" applyNumberFormat="1" applyFont="1" applyFill="1" applyBorder="1"/>
    <xf numFmtId="164" fontId="13" fillId="31" borderId="11" xfId="0" applyNumberFormat="1" applyFont="1" applyFill="1" applyBorder="1" applyAlignment="1">
      <alignment horizontal="right" wrapText="1"/>
    </xf>
    <xf numFmtId="164" fontId="13" fillId="31" borderId="0" xfId="0" applyNumberFormat="1" applyFont="1" applyFill="1" applyAlignment="1">
      <alignment horizontal="right" wrapText="1"/>
    </xf>
    <xf numFmtId="164" fontId="13" fillId="31" borderId="12" xfId="0" applyNumberFormat="1" applyFont="1" applyFill="1" applyBorder="1" applyAlignment="1">
      <alignment horizontal="right" wrapText="1"/>
    </xf>
    <xf numFmtId="164" fontId="5" fillId="31" borderId="0" xfId="0" applyNumberFormat="1" applyFont="1" applyFill="1" applyAlignment="1">
      <alignment horizontal="right" wrapText="1"/>
    </xf>
    <xf numFmtId="168" fontId="16" fillId="31" borderId="12" xfId="65" applyNumberFormat="1" applyFont="1" applyFill="1" applyBorder="1" applyAlignment="1">
      <alignment horizontal="right" wrapText="1"/>
    </xf>
    <xf numFmtId="168" fontId="14" fillId="31" borderId="10" xfId="65" applyNumberFormat="1" applyFont="1" applyFill="1" applyBorder="1" applyAlignment="1">
      <alignment horizontal="right" wrapText="1"/>
    </xf>
    <xf numFmtId="0" fontId="9" fillId="0" borderId="10" xfId="0" applyFont="1" applyBorder="1"/>
    <xf numFmtId="164" fontId="11" fillId="0" borderId="11" xfId="124" applyNumberFormat="1" applyBorder="1" applyAlignment="1">
      <alignment horizontal="right" wrapText="1"/>
    </xf>
    <xf numFmtId="164" fontId="11" fillId="0" borderId="0" xfId="124" applyNumberFormat="1" applyAlignment="1">
      <alignment horizontal="right" wrapText="1"/>
    </xf>
    <xf numFmtId="164" fontId="11" fillId="0" borderId="12" xfId="124" applyNumberFormat="1" applyBorder="1" applyAlignment="1">
      <alignment horizontal="right" wrapText="1"/>
    </xf>
    <xf numFmtId="164" fontId="11" fillId="31" borderId="11" xfId="124" applyNumberFormat="1" applyFill="1" applyBorder="1" applyAlignment="1">
      <alignment horizontal="right" wrapText="1"/>
    </xf>
    <xf numFmtId="164" fontId="11" fillId="31" borderId="0" xfId="124" applyNumberFormat="1" applyFill="1" applyAlignment="1">
      <alignment horizontal="right" wrapText="1"/>
    </xf>
    <xf numFmtId="164" fontId="11" fillId="31" borderId="12" xfId="124" applyNumberFormat="1" applyFill="1" applyBorder="1" applyAlignment="1">
      <alignment horizontal="right" wrapText="1"/>
    </xf>
    <xf numFmtId="164" fontId="18" fillId="31" borderId="10" xfId="7" applyNumberFormat="1" applyFont="1" applyFill="1" applyBorder="1" applyAlignment="1">
      <alignment horizontal="right" wrapText="1"/>
    </xf>
    <xf numFmtId="164" fontId="11" fillId="31" borderId="1" xfId="124" applyNumberFormat="1" applyFill="1" applyBorder="1" applyAlignment="1">
      <alignment horizontal="right" wrapText="1"/>
    </xf>
    <xf numFmtId="164" fontId="11" fillId="31" borderId="2" xfId="124" applyNumberFormat="1" applyFill="1" applyBorder="1" applyAlignment="1">
      <alignment horizontal="right" wrapText="1"/>
    </xf>
    <xf numFmtId="164" fontId="11" fillId="31" borderId="9" xfId="124" applyNumberFormat="1" applyFill="1" applyBorder="1" applyAlignment="1">
      <alignment horizontal="right" wrapText="1"/>
    </xf>
    <xf numFmtId="164" fontId="16" fillId="31" borderId="12" xfId="0" applyNumberFormat="1" applyFont="1" applyFill="1" applyBorder="1" applyAlignment="1">
      <alignment horizontal="right"/>
    </xf>
    <xf numFmtId="3" fontId="9" fillId="31" borderId="11" xfId="0" applyNumberFormat="1" applyFont="1" applyFill="1" applyBorder="1" applyAlignment="1">
      <alignment horizontal="left"/>
    </xf>
    <xf numFmtId="164" fontId="9" fillId="31" borderId="10" xfId="0" applyNumberFormat="1" applyFont="1" applyFill="1" applyBorder="1"/>
    <xf numFmtId="164" fontId="11" fillId="31" borderId="10" xfId="7" applyNumberFormat="1" applyFill="1" applyBorder="1" applyAlignment="1">
      <alignment horizontal="right" wrapText="1"/>
    </xf>
    <xf numFmtId="169" fontId="9" fillId="31" borderId="10" xfId="65" applyNumberFormat="1" applyFont="1" applyFill="1" applyBorder="1" applyAlignment="1">
      <alignment horizontal="right" wrapText="1"/>
    </xf>
    <xf numFmtId="0" fontId="18" fillId="2" borderId="4" xfId="0" applyFont="1" applyFill="1" applyBorder="1" applyAlignment="1">
      <alignment horizontal="center" vertical="center" wrapText="1"/>
    </xf>
    <xf numFmtId="3" fontId="18" fillId="2" borderId="0" xfId="0" applyNumberFormat="1" applyFont="1" applyFill="1" applyAlignment="1">
      <alignment horizontal="right" vertical="center"/>
    </xf>
    <xf numFmtId="3" fontId="5" fillId="2" borderId="0" xfId="0" applyNumberFormat="1" applyFont="1" applyFill="1" applyAlignment="1">
      <alignment vertical="center"/>
    </xf>
    <xf numFmtId="3" fontId="11" fillId="2" borderId="11" xfId="0" applyNumberFormat="1" applyFont="1" applyFill="1" applyBorder="1" applyAlignment="1">
      <alignment horizontal="right" vertical="center" wrapText="1"/>
    </xf>
    <xf numFmtId="3" fontId="11" fillId="2" borderId="0" xfId="0" applyNumberFormat="1" applyFont="1" applyFill="1" applyAlignment="1">
      <alignment horizontal="right" vertical="center" wrapText="1"/>
    </xf>
    <xf numFmtId="3" fontId="11" fillId="2" borderId="12" xfId="0" applyNumberFormat="1" applyFont="1" applyFill="1" applyBorder="1" applyAlignment="1">
      <alignment horizontal="right" vertical="center" wrapText="1"/>
    </xf>
    <xf numFmtId="3" fontId="5" fillId="2" borderId="10" xfId="0" applyNumberFormat="1" applyFont="1" applyFill="1" applyBorder="1" applyAlignment="1">
      <alignment vertical="center"/>
    </xf>
    <xf numFmtId="3" fontId="9" fillId="2" borderId="10" xfId="0" applyNumberFormat="1" applyFont="1" applyFill="1" applyBorder="1" applyAlignment="1">
      <alignment vertical="center"/>
    </xf>
    <xf numFmtId="3" fontId="9" fillId="2" borderId="10" xfId="0" applyNumberFormat="1" applyFont="1" applyFill="1" applyBorder="1" applyAlignment="1">
      <alignment horizontal="right" vertical="center"/>
    </xf>
    <xf numFmtId="3" fontId="5" fillId="2" borderId="11" xfId="0" applyNumberFormat="1" applyFont="1" applyFill="1" applyBorder="1" applyAlignment="1">
      <alignment vertical="center"/>
    </xf>
    <xf numFmtId="0" fontId="8" fillId="0" borderId="0" xfId="0" applyFont="1"/>
    <xf numFmtId="0" fontId="8" fillId="31" borderId="0" xfId="0" applyFont="1" applyFill="1"/>
    <xf numFmtId="0" fontId="5" fillId="31" borderId="0" xfId="0" applyFont="1" applyFill="1"/>
    <xf numFmtId="0" fontId="54" fillId="0" borderId="5" xfId="0" applyFont="1" applyBorder="1" applyAlignment="1">
      <alignment vertical="center"/>
    </xf>
    <xf numFmtId="0" fontId="54" fillId="0" borderId="0" xfId="0" applyFont="1" applyAlignment="1">
      <alignment vertical="center"/>
    </xf>
    <xf numFmtId="0" fontId="9" fillId="2" borderId="1" xfId="0" applyFont="1" applyFill="1" applyBorder="1" applyAlignment="1">
      <alignment horizontal="center" wrapText="1"/>
    </xf>
    <xf numFmtId="0" fontId="53" fillId="2" borderId="0" xfId="0" applyFont="1" applyFill="1" applyAlignment="1">
      <alignment vertical="center"/>
    </xf>
    <xf numFmtId="0" fontId="76" fillId="0" borderId="0" xfId="125" applyFont="1" applyAlignment="1">
      <alignment wrapText="1"/>
    </xf>
    <xf numFmtId="0" fontId="76" fillId="0" borderId="0" xfId="125" applyFont="1" applyAlignment="1">
      <alignment horizontal="right" wrapText="1"/>
    </xf>
    <xf numFmtId="0" fontId="8" fillId="2" borderId="16" xfId="0" applyFont="1" applyFill="1" applyBorder="1"/>
    <xf numFmtId="3" fontId="8" fillId="2" borderId="16" xfId="0" applyNumberFormat="1" applyFont="1" applyFill="1" applyBorder="1"/>
    <xf numFmtId="3" fontId="8" fillId="2" borderId="0" xfId="0" applyNumberFormat="1" applyFont="1" applyFill="1"/>
    <xf numFmtId="3" fontId="0" fillId="2" borderId="15" xfId="0" applyNumberFormat="1" applyFill="1" applyBorder="1" applyAlignment="1">
      <alignment horizontal="right"/>
    </xf>
    <xf numFmtId="3" fontId="5" fillId="32" borderId="0" xfId="0" applyNumberFormat="1" applyFont="1" applyFill="1" applyAlignment="1">
      <alignment horizontal="right"/>
    </xf>
    <xf numFmtId="3" fontId="5" fillId="32" borderId="2" xfId="0" applyNumberFormat="1" applyFont="1" applyFill="1" applyBorder="1" applyAlignment="1">
      <alignment horizontal="right"/>
    </xf>
    <xf numFmtId="3" fontId="0" fillId="2" borderId="2" xfId="0" applyNumberFormat="1" applyFill="1" applyBorder="1" applyAlignment="1">
      <alignment horizontal="right"/>
    </xf>
    <xf numFmtId="0" fontId="0" fillId="2" borderId="0" xfId="0" quotePrefix="1" applyFill="1" applyAlignment="1">
      <alignment horizontal="right"/>
    </xf>
    <xf numFmtId="164" fontId="0" fillId="2" borderId="1" xfId="0" applyNumberFormat="1" applyFill="1" applyBorder="1"/>
    <xf numFmtId="164" fontId="0" fillId="2" borderId="11" xfId="0" applyNumberFormat="1" applyFill="1" applyBorder="1"/>
    <xf numFmtId="164" fontId="0" fillId="2" borderId="12" xfId="0" quotePrefix="1" applyNumberFormat="1" applyFill="1" applyBorder="1" applyAlignment="1">
      <alignment horizontal="right"/>
    </xf>
    <xf numFmtId="164" fontId="0" fillId="2" borderId="14" xfId="0" applyNumberFormat="1" applyFill="1" applyBorder="1"/>
    <xf numFmtId="164" fontId="0" fillId="2" borderId="15" xfId="0" applyNumberFormat="1" applyFill="1" applyBorder="1"/>
    <xf numFmtId="164" fontId="0" fillId="2" borderId="12" xfId="0" applyNumberFormat="1" applyFill="1" applyBorder="1" applyAlignment="1">
      <alignment horizontal="right"/>
    </xf>
    <xf numFmtId="164" fontId="9" fillId="2" borderId="3" xfId="0" applyNumberFormat="1" applyFont="1" applyFill="1" applyBorder="1"/>
    <xf numFmtId="164" fontId="9" fillId="2" borderId="10" xfId="0" applyNumberFormat="1" applyFont="1" applyFill="1" applyBorder="1"/>
    <xf numFmtId="164" fontId="9" fillId="2" borderId="16" xfId="0" applyNumberFormat="1" applyFont="1" applyFill="1" applyBorder="1"/>
    <xf numFmtId="164" fontId="8" fillId="2" borderId="3" xfId="0" quotePrefix="1" applyNumberFormat="1" applyFont="1" applyFill="1" applyBorder="1" applyAlignment="1">
      <alignment horizontal="right"/>
    </xf>
    <xf numFmtId="164" fontId="8" fillId="2" borderId="10" xfId="0" quotePrefix="1" applyNumberFormat="1" applyFont="1" applyFill="1" applyBorder="1" applyAlignment="1">
      <alignment horizontal="right"/>
    </xf>
    <xf numFmtId="164" fontId="8" fillId="2" borderId="10" xfId="0" applyNumberFormat="1" applyFont="1" applyFill="1" applyBorder="1" applyAlignment="1">
      <alignment horizontal="right"/>
    </xf>
    <xf numFmtId="164" fontId="8" fillId="2" borderId="16" xfId="0" applyNumberFormat="1" applyFont="1" applyFill="1" applyBorder="1" applyAlignment="1">
      <alignment horizontal="right"/>
    </xf>
    <xf numFmtId="164" fontId="0" fillId="2" borderId="8" xfId="0" applyNumberFormat="1" applyFill="1" applyBorder="1"/>
    <xf numFmtId="164" fontId="0" fillId="32" borderId="1" xfId="0" applyNumberFormat="1" applyFill="1" applyBorder="1"/>
    <xf numFmtId="164" fontId="0" fillId="32" borderId="2" xfId="0" applyNumberFormat="1" applyFill="1" applyBorder="1"/>
    <xf numFmtId="164" fontId="0" fillId="32" borderId="9" xfId="0" applyNumberFormat="1" applyFill="1" applyBorder="1"/>
    <xf numFmtId="164" fontId="0" fillId="32" borderId="11" xfId="0" applyNumberFormat="1" applyFill="1" applyBorder="1"/>
    <xf numFmtId="164" fontId="0" fillId="32" borderId="0" xfId="0" applyNumberFormat="1" applyFill="1"/>
    <xf numFmtId="164" fontId="0" fillId="32" borderId="12" xfId="0" applyNumberFormat="1" applyFill="1" applyBorder="1"/>
    <xf numFmtId="0" fontId="70" fillId="2" borderId="0" xfId="0" applyFont="1" applyFill="1" applyAlignment="1">
      <alignment horizontal="left" wrapText="1"/>
    </xf>
    <xf numFmtId="0" fontId="9" fillId="2" borderId="11" xfId="0" applyFont="1" applyFill="1" applyBorder="1" applyAlignment="1">
      <alignment horizontal="left" wrapText="1"/>
    </xf>
    <xf numFmtId="3" fontId="5" fillId="2" borderId="10" xfId="0" quotePrefix="1" applyNumberFormat="1" applyFont="1" applyFill="1" applyBorder="1" applyAlignment="1">
      <alignment horizontal="right"/>
    </xf>
    <xf numFmtId="0" fontId="18" fillId="2" borderId="11" xfId="127" applyFont="1" applyFill="1" applyBorder="1"/>
    <xf numFmtId="0" fontId="9" fillId="2" borderId="10" xfId="0" applyFont="1" applyFill="1" applyBorder="1" applyAlignment="1">
      <alignment horizontal="left" wrapText="1"/>
    </xf>
    <xf numFmtId="0" fontId="54" fillId="2" borderId="4" xfId="0" applyFont="1" applyFill="1" applyBorder="1" applyAlignment="1">
      <alignment horizontal="left" vertical="center" wrapText="1"/>
    </xf>
    <xf numFmtId="164" fontId="0" fillId="2" borderId="11" xfId="0" quotePrefix="1" applyNumberFormat="1" applyFill="1" applyBorder="1" applyAlignment="1">
      <alignment horizontal="right"/>
    </xf>
    <xf numFmtId="164" fontId="5" fillId="2" borderId="12" xfId="0" quotePrefix="1" applyNumberFormat="1" applyFont="1" applyFill="1" applyBorder="1" applyAlignment="1">
      <alignment horizontal="right"/>
    </xf>
    <xf numFmtId="164" fontId="9" fillId="2" borderId="10" xfId="0" quotePrefix="1" applyNumberFormat="1" applyFont="1" applyFill="1" applyBorder="1" applyAlignment="1">
      <alignment horizontal="right"/>
    </xf>
    <xf numFmtId="164" fontId="0" fillId="2" borderId="0" xfId="0" quotePrefix="1" applyNumberFormat="1" applyFill="1" applyAlignment="1">
      <alignment horizontal="right"/>
    </xf>
    <xf numFmtId="164" fontId="11" fillId="2" borderId="0" xfId="127" applyNumberFormat="1" applyFill="1" applyAlignment="1">
      <alignment horizontal="right"/>
    </xf>
    <xf numFmtId="164" fontId="9" fillId="2" borderId="10" xfId="0" applyNumberFormat="1" applyFont="1" applyFill="1" applyBorder="1" applyAlignment="1">
      <alignment horizontal="right"/>
    </xf>
    <xf numFmtId="164" fontId="9" fillId="2" borderId="5" xfId="0" applyNumberFormat="1" applyFont="1" applyFill="1" applyBorder="1" applyAlignment="1">
      <alignment vertical="center"/>
    </xf>
    <xf numFmtId="164" fontId="9" fillId="2" borderId="6" xfId="0" applyNumberFormat="1" applyFont="1" applyFill="1" applyBorder="1" applyAlignment="1">
      <alignment vertical="center"/>
    </xf>
    <xf numFmtId="164" fontId="9" fillId="2" borderId="7" xfId="0" quotePrefix="1" applyNumberFormat="1" applyFont="1" applyFill="1" applyBorder="1" applyAlignment="1">
      <alignment horizontal="right" vertical="center"/>
    </xf>
    <xf numFmtId="164" fontId="9" fillId="2" borderId="4" xfId="0" applyNumberFormat="1" applyFont="1" applyFill="1" applyBorder="1" applyAlignment="1">
      <alignment vertical="center"/>
    </xf>
    <xf numFmtId="164" fontId="9" fillId="2" borderId="4" xfId="0" quotePrefix="1" applyNumberFormat="1" applyFont="1" applyFill="1" applyBorder="1" applyAlignment="1">
      <alignment horizontal="right" vertical="center"/>
    </xf>
    <xf numFmtId="3" fontId="46" fillId="2" borderId="0" xfId="0" applyNumberFormat="1" applyFont="1" applyFill="1" applyAlignment="1">
      <alignment horizontal="right"/>
    </xf>
    <xf numFmtId="0" fontId="53" fillId="2" borderId="0" xfId="0" applyFont="1" applyFill="1" applyAlignment="1">
      <alignment horizontal="left" vertical="center"/>
    </xf>
    <xf numFmtId="0" fontId="9" fillId="2" borderId="4" xfId="0" applyFont="1" applyFill="1" applyBorder="1" applyAlignment="1">
      <alignment horizontal="center"/>
    </xf>
    <xf numFmtId="0" fontId="9" fillId="2" borderId="0" xfId="0" applyFont="1" applyFill="1" applyAlignment="1">
      <alignment horizontal="center"/>
    </xf>
    <xf numFmtId="164" fontId="0" fillId="2" borderId="11" xfId="0" applyNumberFormat="1" applyFill="1" applyBorder="1" applyAlignment="1">
      <alignment horizontal="right"/>
    </xf>
    <xf numFmtId="164" fontId="0" fillId="2" borderId="0" xfId="0" applyNumberFormat="1" applyFill="1" applyAlignment="1">
      <alignment horizontal="right"/>
    </xf>
    <xf numFmtId="164" fontId="11" fillId="2" borderId="12" xfId="127" quotePrefix="1" applyNumberFormat="1" applyFill="1" applyBorder="1" applyAlignment="1">
      <alignment horizontal="right"/>
    </xf>
    <xf numFmtId="164" fontId="11" fillId="2" borderId="11" xfId="127" applyNumberFormat="1" applyFill="1" applyBorder="1" applyAlignment="1">
      <alignment horizontal="right"/>
    </xf>
    <xf numFmtId="164" fontId="0" fillId="2" borderId="1" xfId="0" applyNumberFormat="1" applyFill="1" applyBorder="1" applyAlignment="1">
      <alignment horizontal="right"/>
    </xf>
    <xf numFmtId="164" fontId="0" fillId="2" borderId="2" xfId="0" applyNumberFormat="1" applyFill="1" applyBorder="1" applyAlignment="1">
      <alignment horizontal="right"/>
    </xf>
    <xf numFmtId="164" fontId="8" fillId="2" borderId="3" xfId="0" applyNumberFormat="1" applyFont="1" applyFill="1" applyBorder="1" applyAlignment="1">
      <alignment horizontal="right"/>
    </xf>
    <xf numFmtId="164" fontId="9" fillId="2" borderId="5" xfId="0" applyNumberFormat="1" applyFont="1" applyFill="1" applyBorder="1" applyAlignment="1">
      <alignment horizontal="right" vertical="center"/>
    </xf>
    <xf numFmtId="164" fontId="9" fillId="2" borderId="6" xfId="0" applyNumberFormat="1" applyFont="1" applyFill="1" applyBorder="1" applyAlignment="1">
      <alignment horizontal="right" vertical="center"/>
    </xf>
    <xf numFmtId="164" fontId="9" fillId="2" borderId="7" xfId="0" applyNumberFormat="1" applyFont="1" applyFill="1" applyBorder="1" applyAlignment="1">
      <alignment horizontal="right" vertical="center"/>
    </xf>
    <xf numFmtId="164" fontId="9" fillId="2" borderId="4" xfId="0" applyNumberFormat="1" applyFont="1" applyFill="1" applyBorder="1" applyAlignment="1">
      <alignment horizontal="right" vertical="center"/>
    </xf>
    <xf numFmtId="3" fontId="18" fillId="2" borderId="12" xfId="127" applyNumberFormat="1" applyFont="1" applyFill="1" applyBorder="1" applyAlignment="1">
      <alignment horizontal="right"/>
    </xf>
    <xf numFmtId="166" fontId="0" fillId="2" borderId="1" xfId="0" applyNumberFormat="1" applyFill="1" applyBorder="1"/>
    <xf numFmtId="166" fontId="0" fillId="2" borderId="2" xfId="0" applyNumberFormat="1" applyFill="1" applyBorder="1"/>
    <xf numFmtId="166" fontId="11" fillId="2" borderId="0" xfId="127" applyNumberFormat="1" applyFill="1" applyAlignment="1">
      <alignment horizontal="right"/>
    </xf>
    <xf numFmtId="0" fontId="18" fillId="2" borderId="3" xfId="127" applyFont="1" applyFill="1" applyBorder="1"/>
    <xf numFmtId="0" fontId="18" fillId="2" borderId="10" xfId="127" applyFont="1" applyFill="1" applyBorder="1"/>
    <xf numFmtId="164" fontId="11" fillId="2" borderId="2" xfId="127" quotePrefix="1" applyNumberFormat="1" applyFill="1" applyBorder="1" applyAlignment="1">
      <alignment horizontal="right"/>
    </xf>
    <xf numFmtId="164" fontId="11" fillId="0" borderId="9" xfId="127" quotePrefix="1" applyNumberFormat="1" applyBorder="1" applyAlignment="1">
      <alignment horizontal="right"/>
    </xf>
    <xf numFmtId="164" fontId="11" fillId="0" borderId="12" xfId="127" applyNumberFormat="1" applyBorder="1" applyAlignment="1">
      <alignment horizontal="right"/>
    </xf>
    <xf numFmtId="164" fontId="11" fillId="2" borderId="0" xfId="127" quotePrefix="1" applyNumberFormat="1" applyFill="1" applyAlignment="1">
      <alignment horizontal="right"/>
    </xf>
    <xf numFmtId="164" fontId="11" fillId="0" borderId="12" xfId="127" quotePrefix="1" applyNumberFormat="1" applyBorder="1" applyAlignment="1">
      <alignment horizontal="right"/>
    </xf>
    <xf numFmtId="164" fontId="5" fillId="2" borderId="11" xfId="0" applyNumberFormat="1" applyFont="1" applyFill="1" applyBorder="1" applyAlignment="1">
      <alignment horizontal="right"/>
    </xf>
    <xf numFmtId="164" fontId="5" fillId="2" borderId="14" xfId="0" applyNumberFormat="1" applyFont="1" applyFill="1" applyBorder="1" applyAlignment="1">
      <alignment horizontal="right"/>
    </xf>
    <xf numFmtId="164" fontId="5" fillId="2" borderId="15" xfId="0" applyNumberFormat="1" applyFont="1" applyFill="1" applyBorder="1" applyAlignment="1">
      <alignment horizontal="right"/>
    </xf>
    <xf numFmtId="0" fontId="9" fillId="2" borderId="1" xfId="0" applyFont="1" applyFill="1" applyBorder="1" applyAlignment="1">
      <alignment horizontal="left"/>
    </xf>
    <xf numFmtId="0" fontId="44" fillId="0" borderId="0" xfId="0" applyFont="1" applyAlignment="1">
      <alignment vertical="center"/>
    </xf>
    <xf numFmtId="3" fontId="8" fillId="2" borderId="3" xfId="0" applyNumberFormat="1" applyFont="1" applyFill="1" applyBorder="1"/>
    <xf numFmtId="0" fontId="9" fillId="2" borderId="0" xfId="0" applyFont="1" applyFill="1" applyAlignment="1">
      <alignment wrapText="1"/>
    </xf>
    <xf numFmtId="0" fontId="5" fillId="2" borderId="0" xfId="128" applyFont="1" applyFill="1" applyAlignment="1">
      <alignment horizontal="center"/>
    </xf>
    <xf numFmtId="0" fontId="9" fillId="2" borderId="0" xfId="0" applyFont="1" applyFill="1" applyAlignment="1">
      <alignment horizontal="left" wrapText="1"/>
    </xf>
    <xf numFmtId="0" fontId="71" fillId="2" borderId="0" xfId="4" applyFont="1" applyFill="1" applyAlignment="1" applyProtection="1"/>
    <xf numFmtId="0" fontId="53" fillId="2" borderId="0" xfId="0" applyFont="1" applyFill="1" applyAlignment="1">
      <alignment wrapText="1"/>
    </xf>
    <xf numFmtId="0" fontId="9" fillId="2" borderId="4" xfId="0" applyFont="1" applyFill="1" applyBorder="1" applyAlignment="1">
      <alignment vertical="center"/>
    </xf>
    <xf numFmtId="164" fontId="5" fillId="2" borderId="2" xfId="0" applyNumberFormat="1" applyFont="1" applyFill="1" applyBorder="1" applyAlignment="1">
      <alignment horizontal="right"/>
    </xf>
    <xf numFmtId="164" fontId="5" fillId="2" borderId="11" xfId="0" quotePrefix="1" applyNumberFormat="1" applyFont="1" applyFill="1" applyBorder="1" applyAlignment="1">
      <alignment horizontal="right"/>
    </xf>
    <xf numFmtId="164" fontId="9" fillId="2" borderId="3" xfId="0" quotePrefix="1" applyNumberFormat="1" applyFont="1" applyFill="1" applyBorder="1" applyAlignment="1">
      <alignment horizontal="right"/>
    </xf>
    <xf numFmtId="164" fontId="9" fillId="2" borderId="16" xfId="0" quotePrefix="1" applyNumberFormat="1" applyFont="1" applyFill="1" applyBorder="1" applyAlignment="1">
      <alignment horizontal="right"/>
    </xf>
    <xf numFmtId="0" fontId="9" fillId="2" borderId="10" xfId="0" applyFont="1" applyFill="1" applyBorder="1" applyAlignment="1">
      <alignment horizontal="right"/>
    </xf>
    <xf numFmtId="0" fontId="0" fillId="2" borderId="0" xfId="0" quotePrefix="1" applyFill="1" applyAlignment="1">
      <alignment horizontal="center"/>
    </xf>
    <xf numFmtId="0" fontId="9" fillId="2" borderId="2" xfId="0" applyFont="1" applyFill="1" applyBorder="1" applyAlignment="1">
      <alignment horizontal="left" wrapText="1"/>
    </xf>
    <xf numFmtId="0" fontId="0" fillId="2" borderId="0" xfId="0" applyFill="1" applyAlignment="1">
      <alignment horizontal="right" vertical="center"/>
    </xf>
    <xf numFmtId="0" fontId="54" fillId="2" borderId="0" xfId="0" applyFont="1" applyFill="1" applyAlignment="1">
      <alignment horizontal="right" vertical="center"/>
    </xf>
    <xf numFmtId="164" fontId="9" fillId="2" borderId="12" xfId="0" applyNumberFormat="1" applyFont="1" applyFill="1" applyBorder="1" applyAlignment="1">
      <alignment horizontal="right"/>
    </xf>
    <xf numFmtId="164" fontId="9" fillId="2" borderId="5" xfId="0" quotePrefix="1" applyNumberFormat="1" applyFont="1" applyFill="1" applyBorder="1" applyAlignment="1">
      <alignment horizontal="right" vertical="center"/>
    </xf>
    <xf numFmtId="0" fontId="9" fillId="2" borderId="0" xfId="0" applyFont="1" applyFill="1" applyAlignment="1">
      <alignment horizontal="center" vertical="center" wrapText="1"/>
    </xf>
    <xf numFmtId="164" fontId="5" fillId="2" borderId="1" xfId="0" applyNumberFormat="1" applyFont="1" applyFill="1" applyBorder="1" applyAlignment="1">
      <alignment horizontal="right"/>
    </xf>
    <xf numFmtId="164" fontId="0" fillId="2" borderId="9" xfId="0" applyNumberFormat="1" applyFill="1" applyBorder="1" applyAlignment="1">
      <alignment horizontal="right"/>
    </xf>
    <xf numFmtId="164" fontId="9" fillId="2" borderId="0" xfId="0" applyNumberFormat="1" applyFont="1" applyFill="1" applyAlignment="1">
      <alignment horizontal="right"/>
    </xf>
    <xf numFmtId="164" fontId="9" fillId="2" borderId="11" xfId="0" applyNumberFormat="1" applyFont="1" applyFill="1" applyBorder="1" applyAlignment="1">
      <alignment horizontal="right"/>
    </xf>
    <xf numFmtId="164" fontId="9" fillId="2" borderId="0" xfId="0" applyNumberFormat="1" applyFont="1" applyFill="1" applyAlignment="1">
      <alignment horizontal="right" vertical="center"/>
    </xf>
    <xf numFmtId="164" fontId="18" fillId="2" borderId="10" xfId="127" applyNumberFormat="1" applyFont="1" applyFill="1" applyBorder="1" applyAlignment="1">
      <alignment horizontal="right"/>
    </xf>
    <xf numFmtId="0" fontId="12" fillId="0" borderId="0" xfId="130" applyFont="1" applyAlignment="1">
      <alignment wrapText="1"/>
    </xf>
    <xf numFmtId="0" fontId="12" fillId="0" borderId="0" xfId="130" applyFont="1" applyAlignment="1">
      <alignment horizontal="right" wrapText="1"/>
    </xf>
    <xf numFmtId="164" fontId="18" fillId="2" borderId="10" xfId="129" applyNumberFormat="1" applyFont="1" applyFill="1" applyBorder="1" applyAlignment="1">
      <alignment horizontal="right"/>
    </xf>
    <xf numFmtId="3" fontId="68" fillId="2" borderId="0" xfId="0" applyNumberFormat="1" applyFont="1" applyFill="1"/>
    <xf numFmtId="3" fontId="5" fillId="2" borderId="1" xfId="0" applyNumberFormat="1" applyFont="1" applyFill="1" applyBorder="1"/>
    <xf numFmtId="3" fontId="5" fillId="2" borderId="2" xfId="0" applyNumberFormat="1" applyFont="1" applyFill="1" applyBorder="1"/>
    <xf numFmtId="0" fontId="78" fillId="2" borderId="0" xfId="0" applyFont="1" applyFill="1"/>
    <xf numFmtId="166" fontId="0" fillId="2" borderId="11" xfId="0" applyNumberFormat="1" applyFill="1" applyBorder="1"/>
    <xf numFmtId="166" fontId="0" fillId="2" borderId="0" xfId="0" applyNumberFormat="1" applyFill="1"/>
    <xf numFmtId="166" fontId="9" fillId="2" borderId="10" xfId="0" applyNumberFormat="1" applyFont="1" applyFill="1" applyBorder="1"/>
    <xf numFmtId="166" fontId="0" fillId="2" borderId="15" xfId="0" applyNumberFormat="1" applyFill="1" applyBorder="1"/>
    <xf numFmtId="166" fontId="9" fillId="2" borderId="16" xfId="0" applyNumberFormat="1" applyFont="1" applyFill="1" applyBorder="1"/>
    <xf numFmtId="0" fontId="16" fillId="2" borderId="12" xfId="0" applyFont="1" applyFill="1" applyBorder="1"/>
    <xf numFmtId="1" fontId="16" fillId="2" borderId="8" xfId="0" applyNumberFormat="1" applyFont="1" applyFill="1" applyBorder="1" applyAlignment="1">
      <alignment horizontal="right"/>
    </xf>
    <xf numFmtId="1" fontId="16" fillId="2" borderId="12" xfId="0" applyNumberFormat="1" applyFont="1" applyFill="1" applyBorder="1" applyAlignment="1">
      <alignment horizontal="right"/>
    </xf>
    <xf numFmtId="0" fontId="16" fillId="2" borderId="9" xfId="0" applyFont="1" applyFill="1" applyBorder="1"/>
    <xf numFmtId="3" fontId="0" fillId="2" borderId="9" xfId="0" applyNumberFormat="1" applyFill="1" applyBorder="1" applyAlignment="1">
      <alignment horizontal="right"/>
    </xf>
    <xf numFmtId="0" fontId="8" fillId="2" borderId="3" xfId="0" applyFont="1" applyFill="1" applyBorder="1"/>
    <xf numFmtId="166" fontId="9" fillId="2" borderId="3" xfId="0" applyNumberFormat="1" applyFont="1" applyFill="1" applyBorder="1"/>
    <xf numFmtId="0" fontId="5" fillId="2" borderId="3" xfId="0" applyFont="1" applyFill="1" applyBorder="1"/>
    <xf numFmtId="0" fontId="5" fillId="2" borderId="10" xfId="0" applyFont="1" applyFill="1" applyBorder="1"/>
    <xf numFmtId="0" fontId="5" fillId="2" borderId="16" xfId="0" applyFont="1" applyFill="1" applyBorder="1"/>
    <xf numFmtId="0" fontId="15" fillId="2" borderId="0" xfId="0" applyFont="1" applyFill="1" applyAlignment="1">
      <alignment horizontal="right"/>
    </xf>
    <xf numFmtId="0" fontId="0" fillId="2" borderId="2" xfId="0" applyFill="1" applyBorder="1"/>
    <xf numFmtId="0" fontId="0" fillId="2" borderId="9" xfId="0" applyFill="1" applyBorder="1"/>
    <xf numFmtId="166" fontId="16" fillId="2" borderId="0" xfId="0" quotePrefix="1" applyNumberFormat="1" applyFont="1" applyFill="1" applyAlignment="1">
      <alignment horizontal="right"/>
    </xf>
    <xf numFmtId="0" fontId="9" fillId="2" borderId="1" xfId="0" applyFont="1" applyFill="1" applyBorder="1"/>
    <xf numFmtId="164" fontId="11" fillId="0" borderId="0" xfId="131" applyNumberFormat="1"/>
    <xf numFmtId="164" fontId="0" fillId="2" borderId="0" xfId="0" applyNumberFormat="1" applyFill="1" applyAlignment="1">
      <alignment vertical="center"/>
    </xf>
    <xf numFmtId="164" fontId="11" fillId="0" borderId="11" xfId="131" applyNumberFormat="1" applyBorder="1" applyAlignment="1">
      <alignment horizontal="right" wrapText="1"/>
    </xf>
    <xf numFmtId="164" fontId="11" fillId="0" borderId="0" xfId="131" applyNumberFormat="1" applyAlignment="1">
      <alignment horizontal="right" wrapText="1"/>
    </xf>
    <xf numFmtId="164" fontId="5" fillId="2" borderId="0" xfId="0" quotePrefix="1" applyNumberFormat="1" applyFont="1" applyFill="1" applyAlignment="1">
      <alignment horizontal="right"/>
    </xf>
    <xf numFmtId="164" fontId="11" fillId="31" borderId="11" xfId="131" applyNumberFormat="1" applyFill="1" applyBorder="1" applyAlignment="1">
      <alignment horizontal="right" wrapText="1"/>
    </xf>
    <xf numFmtId="164" fontId="11" fillId="31" borderId="0" xfId="131" applyNumberFormat="1" applyFill="1" applyAlignment="1">
      <alignment horizontal="right" wrapText="1"/>
    </xf>
    <xf numFmtId="164" fontId="18" fillId="31" borderId="10" xfId="131" applyNumberFormat="1" applyFont="1" applyFill="1" applyBorder="1" applyAlignment="1">
      <alignment horizontal="right" wrapText="1"/>
    </xf>
    <xf numFmtId="164" fontId="11" fillId="31" borderId="0" xfId="131" applyNumberFormat="1" applyFill="1"/>
    <xf numFmtId="164" fontId="0" fillId="0" borderId="0" xfId="0" applyNumberFormat="1" applyAlignment="1">
      <alignment horizontal="right"/>
    </xf>
    <xf numFmtId="164" fontId="5" fillId="31" borderId="11" xfId="0" applyNumberFormat="1" applyFont="1" applyFill="1" applyBorder="1"/>
    <xf numFmtId="164" fontId="5" fillId="31" borderId="0" xfId="0" applyNumberFormat="1" applyFont="1" applyFill="1"/>
    <xf numFmtId="164" fontId="16" fillId="31" borderId="11" xfId="0" applyNumberFormat="1" applyFont="1" applyFill="1" applyBorder="1" applyAlignment="1">
      <alignment horizontal="right"/>
    </xf>
    <xf numFmtId="164" fontId="16" fillId="31" borderId="0" xfId="0" applyNumberFormat="1" applyFont="1" applyFill="1" applyAlignment="1">
      <alignment horizontal="right"/>
    </xf>
    <xf numFmtId="164" fontId="0" fillId="0" borderId="0" xfId="0" applyNumberFormat="1"/>
    <xf numFmtId="164" fontId="0" fillId="31" borderId="11" xfId="0" applyNumberFormat="1" applyFill="1" applyBorder="1" applyAlignment="1">
      <alignment horizontal="right"/>
    </xf>
    <xf numFmtId="164" fontId="0" fillId="31" borderId="0" xfId="0" applyNumberFormat="1" applyFill="1" applyAlignment="1">
      <alignment horizontal="right"/>
    </xf>
    <xf numFmtId="164" fontId="0" fillId="31" borderId="12" xfId="0" applyNumberFormat="1" applyFill="1" applyBorder="1" applyAlignment="1">
      <alignment horizontal="right"/>
    </xf>
    <xf numFmtId="164" fontId="9" fillId="31" borderId="12" xfId="0" applyNumberFormat="1" applyFont="1" applyFill="1" applyBorder="1" applyAlignment="1">
      <alignment horizontal="right"/>
    </xf>
    <xf numFmtId="164" fontId="0" fillId="31" borderId="11" xfId="0" quotePrefix="1" applyNumberFormat="1" applyFill="1" applyBorder="1" applyAlignment="1">
      <alignment horizontal="right"/>
    </xf>
    <xf numFmtId="164" fontId="5" fillId="31" borderId="0" xfId="0" quotePrefix="1" applyNumberFormat="1" applyFont="1" applyFill="1" applyAlignment="1">
      <alignment horizontal="right"/>
    </xf>
    <xf numFmtId="164" fontId="5" fillId="31" borderId="12" xfId="0" quotePrefix="1" applyNumberFormat="1" applyFont="1" applyFill="1" applyBorder="1" applyAlignment="1">
      <alignment horizontal="right"/>
    </xf>
    <xf numFmtId="164" fontId="5" fillId="31" borderId="11" xfId="0" quotePrefix="1" applyNumberFormat="1" applyFont="1" applyFill="1" applyBorder="1" applyAlignment="1">
      <alignment horizontal="right"/>
    </xf>
    <xf numFmtId="164" fontId="5" fillId="31" borderId="0" xfId="0" applyNumberFormat="1" applyFont="1" applyFill="1" applyAlignment="1">
      <alignment horizontal="right"/>
    </xf>
    <xf numFmtId="164" fontId="5" fillId="31" borderId="11" xfId="0" applyNumberFormat="1" applyFont="1" applyFill="1" applyBorder="1" applyAlignment="1">
      <alignment horizontal="right"/>
    </xf>
    <xf numFmtId="164" fontId="5" fillId="31" borderId="12" xfId="0" applyNumberFormat="1" applyFont="1" applyFill="1" applyBorder="1" applyAlignment="1">
      <alignment horizontal="right"/>
    </xf>
    <xf numFmtId="0" fontId="0" fillId="0" borderId="0" xfId="0" applyAlignment="1">
      <alignment horizontal="right"/>
    </xf>
    <xf numFmtId="3" fontId="9" fillId="2" borderId="5" xfId="0" applyNumberFormat="1" applyFont="1" applyFill="1" applyBorder="1" applyAlignment="1">
      <alignment horizontal="right" vertical="center" wrapText="1"/>
    </xf>
    <xf numFmtId="3" fontId="9" fillId="2" borderId="6" xfId="0" applyNumberFormat="1" applyFont="1" applyFill="1" applyBorder="1" applyAlignment="1">
      <alignment horizontal="right" vertical="center" wrapText="1"/>
    </xf>
    <xf numFmtId="0" fontId="58" fillId="2" borderId="0" xfId="0" applyFont="1" applyFill="1"/>
    <xf numFmtId="3" fontId="0" fillId="32" borderId="2" xfId="0" applyNumberFormat="1" applyFill="1" applyBorder="1" applyAlignment="1">
      <alignment horizontal="right"/>
    </xf>
    <xf numFmtId="3" fontId="79" fillId="2" borderId="0" xfId="0" applyNumberFormat="1" applyFont="1" applyFill="1"/>
    <xf numFmtId="0" fontId="54" fillId="2" borderId="5" xfId="132" applyFont="1" applyFill="1" applyBorder="1" applyAlignment="1">
      <alignment vertical="center"/>
    </xf>
    <xf numFmtId="166" fontId="0" fillId="2" borderId="14" xfId="0" applyNumberFormat="1" applyFill="1" applyBorder="1"/>
    <xf numFmtId="0" fontId="80" fillId="2" borderId="0" xfId="0" applyFont="1" applyFill="1"/>
    <xf numFmtId="0" fontId="81" fillId="2" borderId="0" xfId="0" applyFont="1" applyFill="1" applyAlignment="1">
      <alignment horizontal="center" wrapText="1"/>
    </xf>
    <xf numFmtId="167" fontId="80" fillId="2" borderId="0" xfId="0" applyNumberFormat="1" applyFont="1" applyFill="1"/>
    <xf numFmtId="3" fontId="0" fillId="2" borderId="14" xfId="0" applyNumberFormat="1" applyFill="1" applyBorder="1" applyAlignment="1">
      <alignment horizontal="right"/>
    </xf>
    <xf numFmtId="0" fontId="0" fillId="2" borderId="0" xfId="0" applyFill="1" applyAlignment="1">
      <alignment horizontal="left"/>
    </xf>
    <xf numFmtId="166" fontId="15" fillId="2" borderId="0" xfId="0" applyNumberFormat="1" applyFont="1" applyFill="1"/>
    <xf numFmtId="3" fontId="0" fillId="2" borderId="0" xfId="0" applyNumberFormat="1" applyFill="1" applyAlignment="1">
      <alignment wrapText="1"/>
    </xf>
    <xf numFmtId="3" fontId="9" fillId="2" borderId="10" xfId="0" applyNumberFormat="1" applyFont="1" applyFill="1" applyBorder="1" applyAlignment="1">
      <alignment wrapText="1"/>
    </xf>
    <xf numFmtId="3" fontId="9" fillId="2" borderId="16" xfId="0" applyNumberFormat="1" applyFont="1" applyFill="1" applyBorder="1" applyAlignment="1">
      <alignment wrapText="1"/>
    </xf>
    <xf numFmtId="3" fontId="0" fillId="2" borderId="0" xfId="0" quotePrefix="1" applyNumberFormat="1" applyFill="1" applyAlignment="1">
      <alignment horizontal="right" wrapText="1"/>
    </xf>
    <xf numFmtId="3" fontId="0" fillId="2" borderId="0" xfId="0" applyNumberFormat="1" applyFill="1" applyAlignment="1">
      <alignment horizontal="right" wrapText="1"/>
    </xf>
    <xf numFmtId="3" fontId="9" fillId="2" borderId="10" xfId="0" quotePrefix="1" applyNumberFormat="1" applyFont="1" applyFill="1" applyBorder="1" applyAlignment="1">
      <alignment horizontal="right" wrapText="1"/>
    </xf>
    <xf numFmtId="3" fontId="9" fillId="2" borderId="10" xfId="0" applyNumberFormat="1" applyFont="1" applyFill="1" applyBorder="1" applyAlignment="1">
      <alignment horizontal="left"/>
    </xf>
    <xf numFmtId="3" fontId="0" fillId="2" borderId="15" xfId="0" applyNumberFormat="1" applyFill="1" applyBorder="1" applyAlignment="1">
      <alignment horizontal="right" wrapText="1"/>
    </xf>
    <xf numFmtId="164" fontId="18" fillId="2" borderId="12" xfId="127" applyNumberFormat="1" applyFont="1" applyFill="1" applyBorder="1" applyAlignment="1">
      <alignment horizontal="right"/>
    </xf>
    <xf numFmtId="164" fontId="11" fillId="0" borderId="11" xfId="127" applyNumberFormat="1" applyBorder="1" applyAlignment="1">
      <alignment horizontal="right"/>
    </xf>
    <xf numFmtId="164" fontId="11" fillId="0" borderId="0" xfId="127" applyNumberFormat="1" applyAlignment="1">
      <alignment horizontal="right"/>
    </xf>
    <xf numFmtId="164" fontId="11" fillId="0" borderId="0" xfId="127" quotePrefix="1" applyNumberFormat="1" applyAlignment="1">
      <alignment horizontal="right"/>
    </xf>
    <xf numFmtId="164" fontId="5" fillId="0" borderId="11" xfId="0" applyNumberFormat="1" applyFont="1" applyBorder="1" applyAlignment="1">
      <alignment horizontal="right"/>
    </xf>
    <xf numFmtId="164" fontId="5" fillId="0" borderId="0" xfId="0" applyNumberFormat="1" applyFont="1" applyAlignment="1">
      <alignment horizontal="right"/>
    </xf>
    <xf numFmtId="164" fontId="5" fillId="0" borderId="12" xfId="0" applyNumberFormat="1" applyFont="1" applyBorder="1" applyAlignment="1">
      <alignment horizontal="right"/>
    </xf>
    <xf numFmtId="164" fontId="0" fillId="2" borderId="10" xfId="0" applyNumberFormat="1" applyFill="1" applyBorder="1" applyAlignment="1">
      <alignment horizontal="right"/>
    </xf>
    <xf numFmtId="164" fontId="0" fillId="2" borderId="10" xfId="0" applyNumberFormat="1" applyFill="1" applyBorder="1"/>
    <xf numFmtId="164" fontId="0" fillId="0" borderId="10" xfId="0" applyNumberFormat="1" applyBorder="1"/>
    <xf numFmtId="164" fontId="0" fillId="2" borderId="10" xfId="0" quotePrefix="1" applyNumberFormat="1" applyFill="1" applyBorder="1" applyAlignment="1">
      <alignment horizontal="right"/>
    </xf>
    <xf numFmtId="3" fontId="9" fillId="2" borderId="3" xfId="0" applyNumberFormat="1" applyFont="1" applyFill="1" applyBorder="1" applyAlignment="1">
      <alignment horizontal="right"/>
    </xf>
    <xf numFmtId="3" fontId="0" fillId="2" borderId="8" xfId="0" applyNumberFormat="1" applyFill="1" applyBorder="1" applyAlignment="1">
      <alignment horizontal="right"/>
    </xf>
    <xf numFmtId="0" fontId="44" fillId="2" borderId="0" xfId="0" applyFont="1" applyFill="1" applyAlignment="1">
      <alignment vertical="center"/>
    </xf>
    <xf numFmtId="3" fontId="70" fillId="2" borderId="0" xfId="0" applyNumberFormat="1" applyFont="1" applyFill="1"/>
    <xf numFmtId="3" fontId="0" fillId="2" borderId="2" xfId="0" applyNumberFormat="1" applyFill="1" applyBorder="1" applyAlignment="1">
      <alignment wrapText="1"/>
    </xf>
    <xf numFmtId="3" fontId="9" fillId="2" borderId="3" xfId="0" applyNumberFormat="1" applyFont="1" applyFill="1" applyBorder="1" applyAlignment="1">
      <alignment wrapText="1"/>
    </xf>
    <xf numFmtId="3" fontId="9" fillId="2" borderId="3" xfId="0" applyNumberFormat="1" applyFont="1" applyFill="1" applyBorder="1" applyAlignment="1">
      <alignment horizontal="left"/>
    </xf>
    <xf numFmtId="3" fontId="9" fillId="2" borderId="3" xfId="0" quotePrefix="1" applyNumberFormat="1" applyFont="1" applyFill="1" applyBorder="1" applyAlignment="1">
      <alignment horizontal="right" wrapText="1"/>
    </xf>
    <xf numFmtId="166" fontId="9" fillId="2" borderId="1" xfId="0" applyNumberFormat="1" applyFont="1" applyFill="1" applyBorder="1" applyAlignment="1">
      <alignment horizontal="center" wrapText="1"/>
    </xf>
    <xf numFmtId="164" fontId="8" fillId="2" borderId="10" xfId="0" applyNumberFormat="1" applyFont="1" applyFill="1" applyBorder="1"/>
    <xf numFmtId="164" fontId="11" fillId="0" borderId="11" xfId="133" applyNumberFormat="1" applyBorder="1" applyAlignment="1">
      <alignment horizontal="right" wrapText="1"/>
    </xf>
    <xf numFmtId="164" fontId="11" fillId="0" borderId="0" xfId="133" applyNumberFormat="1" applyAlignment="1">
      <alignment horizontal="right" wrapText="1"/>
    </xf>
    <xf numFmtId="166" fontId="9" fillId="2" borderId="3" xfId="0" applyNumberFormat="1" applyFont="1" applyFill="1" applyBorder="1" applyAlignment="1">
      <alignment horizontal="center"/>
    </xf>
    <xf numFmtId="0" fontId="9" fillId="2" borderId="3" xfId="0" applyFont="1" applyFill="1" applyBorder="1" applyAlignment="1">
      <alignment horizontal="center" wrapText="1"/>
    </xf>
    <xf numFmtId="0" fontId="76" fillId="0" borderId="0" xfId="134" applyFont="1" applyAlignment="1">
      <alignment wrapText="1"/>
    </xf>
    <xf numFmtId="3" fontId="6" fillId="31" borderId="10" xfId="0" applyNumberFormat="1" applyFont="1" applyFill="1" applyBorder="1" applyAlignment="1">
      <alignment horizontal="right"/>
    </xf>
    <xf numFmtId="3" fontId="8" fillId="2" borderId="4" xfId="0" applyNumberFormat="1" applyFont="1" applyFill="1" applyBorder="1" applyAlignment="1">
      <alignment vertical="center"/>
    </xf>
    <xf numFmtId="3" fontId="9" fillId="31" borderId="12" xfId="135" applyNumberFormat="1" applyFont="1" applyFill="1" applyBorder="1"/>
    <xf numFmtId="3" fontId="9" fillId="2" borderId="12" xfId="135" applyNumberFormat="1" applyFont="1" applyFill="1" applyBorder="1"/>
    <xf numFmtId="167" fontId="14" fillId="2" borderId="1" xfId="0" applyNumberFormat="1" applyFont="1" applyFill="1" applyBorder="1" applyAlignment="1">
      <alignment horizontal="right"/>
    </xf>
    <xf numFmtId="167" fontId="14" fillId="2" borderId="2" xfId="0" applyNumberFormat="1" applyFont="1" applyFill="1" applyBorder="1"/>
    <xf numFmtId="167" fontId="14" fillId="2" borderId="9" xfId="0" applyNumberFormat="1" applyFont="1" applyFill="1" applyBorder="1"/>
    <xf numFmtId="167" fontId="14" fillId="2" borderId="3" xfId="0" applyNumberFormat="1" applyFont="1" applyFill="1" applyBorder="1"/>
    <xf numFmtId="167" fontId="14" fillId="2" borderId="11"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6" xfId="0" applyNumberFormat="1" applyFont="1" applyFill="1" applyBorder="1"/>
    <xf numFmtId="167" fontId="14" fillId="2" borderId="11" xfId="0" quotePrefix="1" applyNumberFormat="1" applyFont="1" applyFill="1" applyBorder="1" applyAlignment="1">
      <alignment horizontal="right"/>
    </xf>
    <xf numFmtId="167" fontId="16" fillId="2" borderId="11" xfId="0" quotePrefix="1" applyNumberFormat="1" applyFont="1" applyFill="1" applyBorder="1" applyAlignment="1">
      <alignment horizontal="right"/>
    </xf>
    <xf numFmtId="167" fontId="15" fillId="2" borderId="10" xfId="0" quotePrefix="1" applyNumberFormat="1" applyFont="1" applyFill="1" applyBorder="1" applyAlignment="1">
      <alignment horizontal="right"/>
    </xf>
    <xf numFmtId="167" fontId="15" fillId="2" borderId="5" xfId="0" quotePrefix="1" applyNumberFormat="1" applyFont="1" applyFill="1" applyBorder="1" applyAlignment="1">
      <alignment horizontal="right" vertical="center"/>
    </xf>
    <xf numFmtId="167" fontId="15" fillId="2" borderId="7" xfId="0" quotePrefix="1" applyNumberFormat="1" applyFont="1" applyFill="1" applyBorder="1" applyAlignment="1">
      <alignment horizontal="right" vertical="center"/>
    </xf>
    <xf numFmtId="167" fontId="15" fillId="2" borderId="4" xfId="0" applyNumberFormat="1" applyFont="1" applyFill="1" applyBorder="1" applyAlignment="1">
      <alignment vertical="center"/>
    </xf>
    <xf numFmtId="167" fontId="15" fillId="2" borderId="12" xfId="0" applyNumberFormat="1" applyFont="1" applyFill="1" applyBorder="1"/>
    <xf numFmtId="166" fontId="23" fillId="2" borderId="11" xfId="127" applyNumberFormat="1" applyFont="1" applyFill="1" applyBorder="1" applyAlignment="1">
      <alignment horizontal="right"/>
    </xf>
    <xf numFmtId="166" fontId="83" fillId="2" borderId="10" xfId="127" applyNumberFormat="1" applyFont="1" applyFill="1" applyBorder="1" applyAlignment="1">
      <alignment horizontal="right"/>
    </xf>
    <xf numFmtId="166" fontId="83" fillId="2" borderId="5" xfId="127" applyNumberFormat="1" applyFont="1" applyFill="1" applyBorder="1" applyAlignment="1">
      <alignment horizontal="right" vertical="center"/>
    </xf>
    <xf numFmtId="166" fontId="83" fillId="2" borderId="7" xfId="127" applyNumberFormat="1" applyFont="1" applyFill="1" applyBorder="1" applyAlignment="1">
      <alignment horizontal="right" vertical="center"/>
    </xf>
    <xf numFmtId="166" fontId="83" fillId="2" borderId="4" xfId="127" applyNumberFormat="1" applyFont="1" applyFill="1" applyBorder="1" applyAlignment="1">
      <alignment horizontal="right" vertical="center"/>
    </xf>
    <xf numFmtId="0" fontId="70" fillId="2" borderId="0" xfId="0" applyFont="1" applyFill="1" applyAlignment="1">
      <alignment horizontal="left"/>
    </xf>
    <xf numFmtId="0" fontId="18" fillId="2" borderId="11" xfId="132" applyFont="1" applyFill="1" applyBorder="1"/>
    <xf numFmtId="0" fontId="9" fillId="2" borderId="10" xfId="0" applyFont="1" applyFill="1" applyBorder="1" applyAlignment="1">
      <alignment horizontal="center" wrapText="1"/>
    </xf>
    <xf numFmtId="3" fontId="8" fillId="26" borderId="0" xfId="0" applyNumberFormat="1" applyFont="1" applyFill="1" applyAlignment="1">
      <alignment vertical="center"/>
    </xf>
    <xf numFmtId="1" fontId="51" fillId="2" borderId="0" xfId="1" applyNumberFormat="1" applyFont="1" applyFill="1" applyBorder="1" applyAlignment="1">
      <alignment horizontal="right" vertical="center"/>
    </xf>
    <xf numFmtId="167" fontId="9" fillId="2" borderId="0" xfId="0" applyNumberFormat="1" applyFont="1" applyFill="1" applyAlignment="1">
      <alignment vertical="center"/>
    </xf>
    <xf numFmtId="0" fontId="54" fillId="2" borderId="0" xfId="0" applyFont="1" applyFill="1" applyAlignment="1">
      <alignment horizontal="left" vertical="center" wrapText="1"/>
    </xf>
    <xf numFmtId="167" fontId="15" fillId="2" borderId="0" xfId="0" quotePrefix="1" applyNumberFormat="1" applyFont="1" applyFill="1" applyAlignment="1">
      <alignment horizontal="right" vertical="center"/>
    </xf>
    <xf numFmtId="167" fontId="15" fillId="2" borderId="0" xfId="0" applyNumberFormat="1" applyFont="1" applyFill="1" applyAlignment="1">
      <alignment vertical="center"/>
    </xf>
    <xf numFmtId="167" fontId="9" fillId="2" borderId="3" xfId="0" quotePrefix="1" applyNumberFormat="1" applyFont="1" applyFill="1" applyBorder="1" applyAlignment="1">
      <alignment horizontal="center" vertical="center"/>
    </xf>
    <xf numFmtId="167" fontId="9" fillId="2" borderId="3" xfId="0" applyNumberFormat="1" applyFont="1" applyFill="1" applyBorder="1" applyAlignment="1">
      <alignment horizontal="center" vertical="center"/>
    </xf>
    <xf numFmtId="3" fontId="8" fillId="2" borderId="5" xfId="0" applyNumberFormat="1" applyFont="1" applyFill="1" applyBorder="1" applyAlignment="1">
      <alignment horizontal="right" vertical="center"/>
    </xf>
    <xf numFmtId="3" fontId="8" fillId="2" borderId="6" xfId="0" applyNumberFormat="1" applyFont="1" applyFill="1" applyBorder="1" applyAlignment="1">
      <alignment horizontal="right" vertical="center"/>
    </xf>
    <xf numFmtId="3" fontId="8" fillId="2" borderId="4" xfId="0" applyNumberFormat="1" applyFont="1" applyFill="1" applyBorder="1" applyAlignment="1">
      <alignment horizontal="right" vertical="center"/>
    </xf>
    <xf numFmtId="167" fontId="14" fillId="2" borderId="2" xfId="0" applyNumberFormat="1" applyFont="1" applyFill="1" applyBorder="1" applyAlignment="1">
      <alignment horizontal="right"/>
    </xf>
    <xf numFmtId="167" fontId="14" fillId="2" borderId="0" xfId="0" applyNumberFormat="1" applyFont="1" applyFill="1" applyAlignment="1">
      <alignment horizontal="right"/>
    </xf>
    <xf numFmtId="167" fontId="14" fillId="2" borderId="15" xfId="0" applyNumberFormat="1" applyFont="1" applyFill="1" applyBorder="1" applyAlignment="1">
      <alignment horizontal="right"/>
    </xf>
    <xf numFmtId="167" fontId="16" fillId="2" borderId="12" xfId="0" quotePrefix="1" applyNumberFormat="1" applyFont="1" applyFill="1" applyBorder="1" applyAlignment="1">
      <alignment horizontal="right"/>
    </xf>
    <xf numFmtId="167" fontId="15" fillId="2" borderId="0" xfId="0" applyNumberFormat="1" applyFont="1" applyFill="1" applyAlignment="1">
      <alignment horizontal="right" vertical="center"/>
    </xf>
    <xf numFmtId="166" fontId="15" fillId="2" borderId="12" xfId="0" applyNumberFormat="1" applyFont="1" applyFill="1" applyBorder="1"/>
    <xf numFmtId="3" fontId="9" fillId="2" borderId="4" xfId="0" applyNumberFormat="1" applyFont="1" applyFill="1" applyBorder="1" applyAlignment="1">
      <alignment horizontal="center"/>
    </xf>
    <xf numFmtId="0" fontId="45" fillId="0" borderId="0" xfId="0" applyFont="1" applyAlignment="1">
      <alignment vertical="center"/>
    </xf>
    <xf numFmtId="0" fontId="9" fillId="31" borderId="3" xfId="0" applyFont="1" applyFill="1" applyBorder="1"/>
    <xf numFmtId="0" fontId="9" fillId="31" borderId="16" xfId="0" applyFont="1" applyFill="1" applyBorder="1"/>
    <xf numFmtId="0" fontId="76" fillId="0" borderId="0" xfId="136" applyFont="1" applyAlignment="1">
      <alignment horizontal="right" wrapText="1"/>
    </xf>
    <xf numFmtId="3" fontId="0" fillId="32" borderId="9" xfId="0" applyNumberFormat="1" applyFill="1" applyBorder="1" applyAlignment="1">
      <alignment horizontal="right"/>
    </xf>
    <xf numFmtId="0" fontId="76" fillId="0" borderId="15" xfId="136" applyFont="1" applyBorder="1" applyAlignment="1">
      <alignment horizontal="right" wrapText="1"/>
    </xf>
    <xf numFmtId="1" fontId="16" fillId="32" borderId="11" xfId="0" applyNumberFormat="1" applyFont="1" applyFill="1" applyBorder="1" applyAlignment="1">
      <alignment horizontal="right"/>
    </xf>
    <xf numFmtId="1" fontId="16" fillId="32" borderId="0" xfId="0" applyNumberFormat="1" applyFont="1" applyFill="1" applyAlignment="1">
      <alignment horizontal="right"/>
    </xf>
    <xf numFmtId="1" fontId="16" fillId="32" borderId="12" xfId="0" applyNumberFormat="1" applyFont="1" applyFill="1" applyBorder="1" applyAlignment="1">
      <alignment horizontal="right"/>
    </xf>
    <xf numFmtId="167" fontId="16" fillId="32" borderId="1" xfId="0" applyNumberFormat="1" applyFont="1" applyFill="1" applyBorder="1" applyAlignment="1">
      <alignment horizontal="right"/>
    </xf>
    <xf numFmtId="167" fontId="16" fillId="32" borderId="2" xfId="0" applyNumberFormat="1" applyFont="1" applyFill="1" applyBorder="1" applyAlignment="1">
      <alignment horizontal="right"/>
    </xf>
    <xf numFmtId="167" fontId="16" fillId="32" borderId="9" xfId="0" applyNumberFormat="1" applyFont="1" applyFill="1" applyBorder="1" applyAlignment="1">
      <alignment horizontal="right"/>
    </xf>
    <xf numFmtId="167" fontId="16" fillId="32" borderId="11" xfId="0" applyNumberFormat="1" applyFont="1" applyFill="1" applyBorder="1" applyAlignment="1">
      <alignment horizontal="right"/>
    </xf>
    <xf numFmtId="167" fontId="16" fillId="32" borderId="0" xfId="0" applyNumberFormat="1" applyFont="1" applyFill="1" applyAlignment="1">
      <alignment horizontal="right"/>
    </xf>
    <xf numFmtId="167" fontId="16" fillId="32" borderId="12" xfId="0" applyNumberFormat="1" applyFont="1" applyFill="1" applyBorder="1" applyAlignment="1">
      <alignment horizontal="right"/>
    </xf>
    <xf numFmtId="0" fontId="18" fillId="31" borderId="11" xfId="132" applyFont="1" applyFill="1" applyBorder="1"/>
    <xf numFmtId="164" fontId="0" fillId="31" borderId="10" xfId="0" applyNumberFormat="1" applyFill="1" applyBorder="1" applyAlignment="1">
      <alignment horizontal="right"/>
    </xf>
    <xf numFmtId="164" fontId="0" fillId="31" borderId="10" xfId="0" applyNumberFormat="1" applyFill="1" applyBorder="1"/>
    <xf numFmtId="164" fontId="0" fillId="31" borderId="10" xfId="0" quotePrefix="1" applyNumberFormat="1" applyFill="1" applyBorder="1" applyAlignment="1">
      <alignment horizontal="right"/>
    </xf>
    <xf numFmtId="164" fontId="9" fillId="31" borderId="10" xfId="0" applyNumberFormat="1" applyFont="1" applyFill="1" applyBorder="1" applyAlignment="1">
      <alignment horizontal="right"/>
    </xf>
    <xf numFmtId="164" fontId="0" fillId="0" borderId="11" xfId="0" applyNumberFormat="1" applyBorder="1" applyAlignment="1">
      <alignment horizontal="right"/>
    </xf>
    <xf numFmtId="164" fontId="0" fillId="0" borderId="12" xfId="0" applyNumberFormat="1" applyBorder="1" applyAlignment="1">
      <alignment horizontal="right"/>
    </xf>
    <xf numFmtId="164" fontId="0" fillId="31" borderId="0" xfId="0" quotePrefix="1" applyNumberFormat="1" applyFill="1" applyAlignment="1">
      <alignment horizontal="right"/>
    </xf>
    <xf numFmtId="164" fontId="0" fillId="31" borderId="11" xfId="0" applyNumberFormat="1" applyFill="1" applyBorder="1"/>
    <xf numFmtId="164" fontId="0" fillId="31" borderId="0" xfId="0" applyNumberFormat="1" applyFill="1"/>
    <xf numFmtId="164" fontId="0" fillId="31" borderId="12" xfId="0" applyNumberFormat="1" applyFill="1" applyBorder="1"/>
    <xf numFmtId="164" fontId="8" fillId="31" borderId="3" xfId="0" applyNumberFormat="1" applyFont="1" applyFill="1" applyBorder="1"/>
    <xf numFmtId="164" fontId="8" fillId="31" borderId="10" xfId="0" applyNumberFormat="1" applyFont="1" applyFill="1" applyBorder="1"/>
    <xf numFmtId="164" fontId="8" fillId="31" borderId="16" xfId="0" applyNumberFormat="1" applyFont="1" applyFill="1" applyBorder="1"/>
    <xf numFmtId="164" fontId="11" fillId="31" borderId="1" xfId="133" applyNumberFormat="1" applyFill="1" applyBorder="1" applyAlignment="1">
      <alignment horizontal="right" wrapText="1"/>
    </xf>
    <xf numFmtId="164" fontId="11" fillId="31" borderId="2" xfId="133" applyNumberFormat="1" applyFill="1" applyBorder="1" applyAlignment="1">
      <alignment horizontal="right" wrapText="1"/>
    </xf>
    <xf numFmtId="164" fontId="5" fillId="31" borderId="2" xfId="0" applyNumberFormat="1" applyFont="1" applyFill="1" applyBorder="1" applyAlignment="1">
      <alignment horizontal="right"/>
    </xf>
    <xf numFmtId="164" fontId="11" fillId="31" borderId="11" xfId="133" applyNumberFormat="1" applyFill="1" applyBorder="1" applyAlignment="1">
      <alignment horizontal="right" wrapText="1"/>
    </xf>
    <xf numFmtId="164" fontId="11" fillId="31" borderId="0" xfId="133" applyNumberFormat="1" applyFill="1" applyAlignment="1">
      <alignment horizontal="right" wrapText="1"/>
    </xf>
    <xf numFmtId="164" fontId="9" fillId="31" borderId="11" xfId="0" applyNumberFormat="1" applyFont="1" applyFill="1" applyBorder="1"/>
    <xf numFmtId="164" fontId="9" fillId="31" borderId="0" xfId="0" applyNumberFormat="1" applyFont="1" applyFill="1"/>
    <xf numFmtId="164" fontId="9" fillId="31" borderId="12" xfId="0" applyNumberFormat="1" applyFont="1" applyFill="1" applyBorder="1"/>
    <xf numFmtId="164" fontId="11" fillId="31" borderId="2" xfId="133" applyNumberFormat="1" applyFill="1" applyBorder="1"/>
    <xf numFmtId="164" fontId="11" fillId="0" borderId="0" xfId="133" applyNumberFormat="1"/>
    <xf numFmtId="164" fontId="11" fillId="31" borderId="0" xfId="133" applyNumberFormat="1" applyFill="1"/>
    <xf numFmtId="164" fontId="6" fillId="31" borderId="2" xfId="0" applyNumberFormat="1" applyFont="1" applyFill="1" applyBorder="1" applyAlignment="1">
      <alignment horizontal="right"/>
    </xf>
    <xf numFmtId="164" fontId="6" fillId="2" borderId="0" xfId="0" applyNumberFormat="1" applyFont="1" applyFill="1" applyAlignment="1">
      <alignment horizontal="right"/>
    </xf>
    <xf numFmtId="164" fontId="6" fillId="31" borderId="0" xfId="0" applyNumberFormat="1" applyFont="1" applyFill="1" applyAlignment="1">
      <alignment horizontal="right"/>
    </xf>
    <xf numFmtId="0" fontId="11" fillId="0" borderId="11" xfId="137" applyBorder="1" applyAlignment="1">
      <alignment horizontal="right" wrapText="1"/>
    </xf>
    <xf numFmtId="0" fontId="11" fillId="0" borderId="0" xfId="137" applyAlignment="1">
      <alignment horizontal="right" wrapText="1"/>
    </xf>
    <xf numFmtId="0" fontId="11" fillId="0" borderId="14" xfId="137" applyBorder="1" applyAlignment="1">
      <alignment horizontal="right" wrapText="1"/>
    </xf>
    <xf numFmtId="0" fontId="11" fillId="0" borderId="15" xfId="137" applyBorder="1" applyAlignment="1">
      <alignment horizontal="right" wrapText="1"/>
    </xf>
    <xf numFmtId="3" fontId="9" fillId="2" borderId="1" xfId="0" applyNumberFormat="1" applyFont="1" applyFill="1" applyBorder="1"/>
    <xf numFmtId="3" fontId="9" fillId="2" borderId="11" xfId="0" applyNumberFormat="1" applyFont="1" applyFill="1" applyBorder="1"/>
    <xf numFmtId="0" fontId="9" fillId="2" borderId="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8" fillId="2" borderId="3" xfId="0" applyFont="1" applyFill="1" applyBorder="1" applyAlignment="1">
      <alignment horizontal="center" vertical="center" wrapText="1"/>
    </xf>
    <xf numFmtId="3" fontId="0" fillId="0" borderId="0" xfId="0" applyNumberFormat="1"/>
    <xf numFmtId="0" fontId="9" fillId="2" borderId="10" xfId="0" applyFont="1" applyFill="1"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horizontal="center" vertical="center" wrapText="1"/>
    </xf>
    <xf numFmtId="0" fontId="9" fillId="2" borderId="9" xfId="0" applyFont="1" applyFill="1" applyBorder="1" applyAlignment="1">
      <alignment horizontal="center" vertical="center" wrapText="1"/>
    </xf>
    <xf numFmtId="0" fontId="9" fillId="2" borderId="14" xfId="0" applyFont="1" applyFill="1" applyBorder="1"/>
    <xf numFmtId="0" fontId="0" fillId="2" borderId="11" xfId="0" applyFill="1" applyBorder="1" applyAlignment="1">
      <alignment vertical="center"/>
    </xf>
    <xf numFmtId="0" fontId="9" fillId="2" borderId="0" xfId="0" applyFont="1" applyFill="1" applyAlignment="1">
      <alignment horizontal="left" vertical="center"/>
    </xf>
    <xf numFmtId="3" fontId="7" fillId="0" borderId="0" xfId="0" applyNumberFormat="1" applyFont="1"/>
    <xf numFmtId="164" fontId="6" fillId="2" borderId="0" xfId="0" applyNumberFormat="1" applyFont="1" applyFill="1"/>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8" fillId="2" borderId="4" xfId="0" applyFont="1" applyFill="1" applyBorder="1" applyAlignment="1">
      <alignment horizontal="center" vertical="center"/>
    </xf>
    <xf numFmtId="0" fontId="9" fillId="2" borderId="8"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2" borderId="3" xfId="0" applyFont="1" applyFill="1" applyBorder="1" applyAlignment="1">
      <alignment horizontal="center" vertical="center"/>
    </xf>
    <xf numFmtId="0" fontId="18" fillId="2" borderId="3" xfId="127" applyFont="1" applyFill="1" applyBorder="1" applyAlignment="1">
      <alignment horizontal="center" vertical="center" wrapText="1"/>
    </xf>
    <xf numFmtId="0" fontId="23" fillId="3" borderId="3" xfId="7" applyFont="1" applyFill="1" applyBorder="1" applyAlignment="1">
      <alignment horizontal="center" vertical="center" wrapText="1"/>
    </xf>
    <xf numFmtId="0" fontId="23" fillId="3" borderId="7" xfId="7" applyFont="1" applyFill="1" applyBorder="1" applyAlignment="1">
      <alignment horizontal="center" vertical="center" wrapText="1"/>
    </xf>
    <xf numFmtId="0" fontId="46" fillId="0" borderId="4" xfId="0" applyFont="1" applyBorder="1" applyAlignment="1">
      <alignment horizontal="left"/>
    </xf>
    <xf numFmtId="3" fontId="5" fillId="31" borderId="16" xfId="0" applyNumberFormat="1" applyFont="1" applyFill="1" applyBorder="1" applyAlignment="1">
      <alignment horizontal="right"/>
    </xf>
    <xf numFmtId="0" fontId="8" fillId="2" borderId="4" xfId="0" applyFont="1" applyFill="1" applyBorder="1" applyAlignment="1">
      <alignment horizontal="right"/>
    </xf>
    <xf numFmtId="0" fontId="9" fillId="2" borderId="0" xfId="0" applyFont="1" applyFill="1" applyAlignment="1">
      <alignment horizontal="center" vertical="center"/>
    </xf>
    <xf numFmtId="0" fontId="8" fillId="2" borderId="4" xfId="0" applyFont="1" applyFill="1" applyBorder="1" applyAlignment="1">
      <alignment vertical="center"/>
    </xf>
    <xf numFmtId="3" fontId="0" fillId="0" borderId="15" xfId="0" applyNumberFormat="1" applyBorder="1"/>
    <xf numFmtId="0" fontId="11" fillId="0" borderId="11" xfId="138" applyBorder="1" applyAlignment="1">
      <alignment horizontal="right" wrapText="1"/>
    </xf>
    <xf numFmtId="0" fontId="11" fillId="0" borderId="0" xfId="138" applyAlignment="1">
      <alignment horizontal="right" wrapText="1"/>
    </xf>
    <xf numFmtId="0" fontId="11" fillId="0" borderId="14" xfId="138" applyBorder="1" applyAlignment="1">
      <alignment horizontal="right" wrapText="1"/>
    </xf>
    <xf numFmtId="0" fontId="11" fillId="0" borderId="15" xfId="138" applyBorder="1" applyAlignment="1">
      <alignment horizontal="right" wrapText="1"/>
    </xf>
    <xf numFmtId="0" fontId="0" fillId="0" borderId="15" xfId="0" applyBorder="1"/>
    <xf numFmtId="0" fontId="9" fillId="2" borderId="14" xfId="0" applyFont="1" applyFill="1" applyBorder="1" applyAlignment="1">
      <alignment horizontal="left"/>
    </xf>
    <xf numFmtId="3" fontId="84" fillId="2" borderId="10" xfId="0" applyNumberFormat="1" applyFont="1" applyFill="1" applyBorder="1" applyAlignment="1">
      <alignment horizontal="right"/>
    </xf>
    <xf numFmtId="3" fontId="84" fillId="2" borderId="10" xfId="0" applyNumberFormat="1" applyFont="1" applyFill="1" applyBorder="1"/>
    <xf numFmtId="169" fontId="18" fillId="31" borderId="3" xfId="65" applyNumberFormat="1" applyFont="1" applyFill="1" applyBorder="1" applyAlignment="1">
      <alignment horizontal="right" wrapText="1"/>
    </xf>
    <xf numFmtId="169" fontId="18" fillId="31" borderId="10" xfId="65" applyNumberFormat="1" applyFont="1" applyFill="1" applyBorder="1" applyAlignment="1">
      <alignment horizontal="right" wrapText="1"/>
    </xf>
    <xf numFmtId="0" fontId="4" fillId="0" borderId="0" xfId="139"/>
    <xf numFmtId="0" fontId="53" fillId="2" borderId="0" xfId="0" applyFont="1" applyFill="1" applyAlignment="1">
      <alignment horizontal="left" vertical="center" wrapText="1"/>
    </xf>
    <xf numFmtId="164" fontId="0" fillId="2" borderId="0" xfId="0" applyNumberFormat="1" applyFill="1" applyAlignment="1">
      <alignment wrapText="1"/>
    </xf>
    <xf numFmtId="0" fontId="18" fillId="2" borderId="9" xfId="127" applyFont="1" applyFill="1" applyBorder="1" applyAlignment="1">
      <alignment horizontal="center" vertical="center" wrapText="1"/>
    </xf>
    <xf numFmtId="164" fontId="11" fillId="0" borderId="12" xfId="131" applyNumberFormat="1" applyBorder="1"/>
    <xf numFmtId="164" fontId="11" fillId="31" borderId="12" xfId="131" applyNumberFormat="1" applyFill="1" applyBorder="1"/>
    <xf numFmtId="0" fontId="6" fillId="0" borderId="0" xfId="0" applyFont="1" applyAlignment="1">
      <alignment vertical="center"/>
    </xf>
    <xf numFmtId="164" fontId="11" fillId="31" borderId="1" xfId="131" applyNumberFormat="1" applyFill="1" applyBorder="1" applyAlignment="1">
      <alignment horizontal="right" wrapText="1"/>
    </xf>
    <xf numFmtId="164" fontId="11" fillId="31" borderId="2" xfId="131" applyNumberFormat="1" applyFill="1" applyBorder="1" applyAlignment="1">
      <alignment horizontal="right" wrapText="1"/>
    </xf>
    <xf numFmtId="164" fontId="11" fillId="31" borderId="9" xfId="131" applyNumberFormat="1" applyFill="1" applyBorder="1" applyAlignment="1">
      <alignment horizontal="right" wrapText="1"/>
    </xf>
    <xf numFmtId="164" fontId="11" fillId="31" borderId="12" xfId="131" applyNumberFormat="1" applyFill="1" applyBorder="1" applyAlignment="1">
      <alignment horizontal="right" wrapText="1"/>
    </xf>
    <xf numFmtId="164" fontId="11" fillId="0" borderId="12" xfId="131" applyNumberFormat="1" applyBorder="1" applyAlignment="1">
      <alignment horizontal="right" wrapText="1"/>
    </xf>
    <xf numFmtId="164" fontId="0" fillId="2" borderId="2" xfId="0" applyNumberFormat="1" applyFill="1" applyBorder="1" applyAlignment="1">
      <alignment horizontal="right" wrapText="1"/>
    </xf>
    <xf numFmtId="164" fontId="0" fillId="2" borderId="2" xfId="0" quotePrefix="1" applyNumberFormat="1" applyFill="1" applyBorder="1" applyAlignment="1">
      <alignment horizontal="right" wrapText="1"/>
    </xf>
    <xf numFmtId="164" fontId="0" fillId="2" borderId="0" xfId="0" applyNumberFormat="1" applyFill="1" applyAlignment="1">
      <alignment horizontal="right" wrapText="1"/>
    </xf>
    <xf numFmtId="164" fontId="0" fillId="2" borderId="0" xfId="0" quotePrefix="1" applyNumberFormat="1" applyFill="1" applyAlignment="1">
      <alignment horizontal="right" wrapText="1"/>
    </xf>
    <xf numFmtId="164" fontId="0" fillId="2" borderId="14" xfId="0" quotePrefix="1" applyNumberFormat="1" applyFill="1" applyBorder="1" applyAlignment="1">
      <alignment horizontal="right"/>
    </xf>
    <xf numFmtId="164" fontId="0" fillId="2" borderId="15" xfId="0" quotePrefix="1" applyNumberFormat="1" applyFill="1" applyBorder="1" applyAlignment="1">
      <alignment horizontal="right" wrapText="1"/>
    </xf>
    <xf numFmtId="164" fontId="0" fillId="2" borderId="15" xfId="0" applyNumberFormat="1" applyFill="1" applyBorder="1" applyAlignment="1">
      <alignment horizontal="right" wrapText="1"/>
    </xf>
    <xf numFmtId="166" fontId="14" fillId="2" borderId="0" xfId="0" applyNumberFormat="1" applyFont="1" applyFill="1" applyAlignment="1">
      <alignment horizontal="right"/>
    </xf>
    <xf numFmtId="3" fontId="9" fillId="2" borderId="0" xfId="0" applyNumberFormat="1" applyFont="1" applyFill="1" applyAlignment="1">
      <alignment horizontal="right" wrapText="1"/>
    </xf>
    <xf numFmtId="3" fontId="9" fillId="2" borderId="1" xfId="0" applyNumberFormat="1" applyFont="1" applyFill="1" applyBorder="1" applyAlignment="1">
      <alignment horizontal="left"/>
    </xf>
    <xf numFmtId="3" fontId="9" fillId="2" borderId="11" xfId="0" applyNumberFormat="1" applyFont="1" applyFill="1" applyBorder="1" applyAlignment="1">
      <alignment horizontal="left"/>
    </xf>
    <xf numFmtId="171" fontId="14" fillId="2" borderId="1" xfId="0" applyNumberFormat="1" applyFont="1" applyFill="1" applyBorder="1" applyAlignment="1">
      <alignment horizontal="right"/>
    </xf>
    <xf numFmtId="171" fontId="14" fillId="2" borderId="2" xfId="0" applyNumberFormat="1" applyFont="1" applyFill="1" applyBorder="1" applyAlignment="1">
      <alignment horizontal="right"/>
    </xf>
    <xf numFmtId="171" fontId="14" fillId="2" borderId="11" xfId="0" applyNumberFormat="1" applyFont="1" applyFill="1" applyBorder="1" applyAlignment="1">
      <alignment horizontal="right"/>
    </xf>
    <xf numFmtId="171" fontId="14" fillId="2" borderId="0" xfId="0" applyNumberFormat="1" applyFont="1" applyFill="1" applyAlignment="1">
      <alignment horizontal="right"/>
    </xf>
    <xf numFmtId="171" fontId="14" fillId="2" borderId="14" xfId="0" applyNumberFormat="1" applyFont="1" applyFill="1" applyBorder="1" applyAlignment="1">
      <alignment horizontal="right"/>
    </xf>
    <xf numFmtId="171" fontId="14" fillId="2" borderId="15" xfId="0" applyNumberFormat="1" applyFont="1" applyFill="1" applyBorder="1" applyAlignment="1">
      <alignment horizontal="right"/>
    </xf>
    <xf numFmtId="171" fontId="14" fillId="2" borderId="1" xfId="0" applyNumberFormat="1" applyFont="1" applyFill="1" applyBorder="1"/>
    <xf numFmtId="171" fontId="14" fillId="2" borderId="2" xfId="0" applyNumberFormat="1" applyFont="1" applyFill="1" applyBorder="1"/>
    <xf numFmtId="171" fontId="14" fillId="2" borderId="11" xfId="0" applyNumberFormat="1" applyFont="1" applyFill="1" applyBorder="1"/>
    <xf numFmtId="171" fontId="14" fillId="2" borderId="0" xfId="0" applyNumberFormat="1" applyFont="1" applyFill="1"/>
    <xf numFmtId="171" fontId="14" fillId="2" borderId="14" xfId="0" applyNumberFormat="1" applyFont="1" applyFill="1" applyBorder="1"/>
    <xf numFmtId="171" fontId="14" fillId="2" borderId="15" xfId="0" applyNumberFormat="1" applyFont="1" applyFill="1" applyBorder="1"/>
    <xf numFmtId="0" fontId="18" fillId="2" borderId="0" xfId="0" applyFont="1" applyFill="1" applyAlignment="1">
      <alignment horizontal="center" vertical="center" wrapText="1"/>
    </xf>
    <xf numFmtId="0" fontId="18" fillId="2" borderId="5" xfId="0" applyFont="1" applyFill="1" applyBorder="1" applyAlignment="1">
      <alignment horizontal="center" vertical="center" wrapText="1"/>
    </xf>
    <xf numFmtId="1" fontId="18" fillId="2" borderId="10" xfId="0" applyNumberFormat="1" applyFont="1" applyFill="1" applyBorder="1" applyAlignment="1">
      <alignment horizontal="left"/>
    </xf>
    <xf numFmtId="3" fontId="18" fillId="2" borderId="10" xfId="0" applyNumberFormat="1" applyFont="1" applyFill="1" applyBorder="1" applyAlignment="1">
      <alignment horizontal="left" vertical="top"/>
    </xf>
    <xf numFmtId="3" fontId="5" fillId="32" borderId="1" xfId="0" quotePrefix="1" applyNumberFormat="1" applyFont="1" applyFill="1" applyBorder="1" applyAlignment="1">
      <alignment horizontal="right"/>
    </xf>
    <xf numFmtId="3" fontId="5" fillId="32" borderId="2" xfId="0" quotePrefix="1" applyNumberFormat="1" applyFont="1" applyFill="1" applyBorder="1" applyAlignment="1">
      <alignment horizontal="right"/>
    </xf>
    <xf numFmtId="3" fontId="5" fillId="32" borderId="9" xfId="0" quotePrefix="1" applyNumberFormat="1" applyFont="1" applyFill="1" applyBorder="1" applyAlignment="1">
      <alignment horizontal="right"/>
    </xf>
    <xf numFmtId="3" fontId="5" fillId="32" borderId="11" xfId="0" applyNumberFormat="1" applyFont="1" applyFill="1" applyBorder="1" applyAlignment="1">
      <alignment horizontal="right" vertical="center"/>
    </xf>
    <xf numFmtId="3" fontId="5" fillId="32" borderId="0" xfId="0" applyNumberFormat="1" applyFont="1" applyFill="1" applyAlignment="1">
      <alignment horizontal="right" vertical="center"/>
    </xf>
    <xf numFmtId="3" fontId="5" fillId="32" borderId="12" xfId="0" applyNumberFormat="1" applyFont="1" applyFill="1" applyBorder="1" applyAlignment="1">
      <alignment horizontal="right" vertical="center"/>
    </xf>
    <xf numFmtId="3" fontId="5" fillId="32" borderId="3" xfId="0" quotePrefix="1" applyNumberFormat="1" applyFont="1" applyFill="1" applyBorder="1" applyAlignment="1">
      <alignment horizontal="right"/>
    </xf>
    <xf numFmtId="3" fontId="5" fillId="32" borderId="10" xfId="0" quotePrefix="1" applyNumberFormat="1" applyFont="1" applyFill="1" applyBorder="1" applyAlignment="1">
      <alignment horizontal="right" vertical="center"/>
    </xf>
    <xf numFmtId="0" fontId="0" fillId="32" borderId="3" xfId="0" applyFill="1" applyBorder="1" applyAlignment="1">
      <alignment horizontal="right"/>
    </xf>
    <xf numFmtId="0" fontId="0" fillId="32" borderId="10" xfId="0" applyFill="1" applyBorder="1" applyAlignment="1">
      <alignment horizontal="right" vertical="center"/>
    </xf>
    <xf numFmtId="0" fontId="5" fillId="32" borderId="0" xfId="0" applyFont="1" applyFill="1" applyAlignment="1">
      <alignment horizontal="left"/>
    </xf>
    <xf numFmtId="170" fontId="54" fillId="2" borderId="4" xfId="68" applyFont="1" applyFill="1" applyBorder="1" applyAlignment="1">
      <alignment horizontal="left" wrapText="1"/>
    </xf>
    <xf numFmtId="169" fontId="5" fillId="2" borderId="11" xfId="65" applyNumberFormat="1" applyFont="1" applyFill="1" applyBorder="1"/>
    <xf numFmtId="169" fontId="0" fillId="2" borderId="11" xfId="65" applyNumberFormat="1" applyFont="1" applyFill="1" applyBorder="1"/>
    <xf numFmtId="169" fontId="0" fillId="2" borderId="14" xfId="65" applyNumberFormat="1" applyFont="1" applyFill="1" applyBorder="1"/>
    <xf numFmtId="3" fontId="6" fillId="0" borderId="0" xfId="0" applyNumberFormat="1" applyFont="1"/>
    <xf numFmtId="164" fontId="13" fillId="0" borderId="0" xfId="0" applyNumberFormat="1" applyFont="1" applyAlignment="1">
      <alignment horizontal="right"/>
    </xf>
    <xf numFmtId="164" fontId="9" fillId="0" borderId="0" xfId="0" applyNumberFormat="1" applyFont="1" applyAlignment="1">
      <alignment horizontal="right" vertical="center"/>
    </xf>
    <xf numFmtId="3" fontId="0" fillId="31" borderId="0" xfId="0" applyNumberFormat="1" applyFill="1"/>
    <xf numFmtId="3" fontId="8" fillId="31" borderId="3" xfId="0" applyNumberFormat="1" applyFont="1" applyFill="1" applyBorder="1"/>
    <xf numFmtId="3" fontId="0" fillId="31" borderId="1" xfId="0" applyNumberFormat="1" applyFill="1" applyBorder="1"/>
    <xf numFmtId="3" fontId="0" fillId="31" borderId="9" xfId="0" applyNumberFormat="1" applyFill="1" applyBorder="1"/>
    <xf numFmtId="3" fontId="0" fillId="0" borderId="11" xfId="0" applyNumberFormat="1" applyBorder="1"/>
    <xf numFmtId="3" fontId="8" fillId="31" borderId="10" xfId="0" applyNumberFormat="1" applyFont="1" applyFill="1" applyBorder="1"/>
    <xf numFmtId="3" fontId="0" fillId="31" borderId="11" xfId="0" applyNumberFormat="1" applyFill="1" applyBorder="1"/>
    <xf numFmtId="3" fontId="0" fillId="31" borderId="12" xfId="0" applyNumberFormat="1" applyFill="1" applyBorder="1"/>
    <xf numFmtId="3" fontId="0" fillId="31" borderId="15" xfId="0" applyNumberFormat="1" applyFill="1" applyBorder="1"/>
    <xf numFmtId="3" fontId="8" fillId="31" borderId="16" xfId="0" applyNumberFormat="1" applyFont="1" applyFill="1" applyBorder="1"/>
    <xf numFmtId="169" fontId="14" fillId="31" borderId="11" xfId="0" applyNumberFormat="1" applyFont="1" applyFill="1" applyBorder="1" applyAlignment="1">
      <alignment horizontal="right" wrapText="1"/>
    </xf>
    <xf numFmtId="1" fontId="15" fillId="2" borderId="0" xfId="0" quotePrefix="1" applyNumberFormat="1" applyFont="1" applyFill="1" applyAlignment="1">
      <alignment horizontal="right" wrapText="1"/>
    </xf>
    <xf numFmtId="164" fontId="11" fillId="31" borderId="1" xfId="66" applyNumberFormat="1" applyFill="1" applyBorder="1" applyAlignment="1">
      <alignment horizontal="right"/>
    </xf>
    <xf numFmtId="164" fontId="11" fillId="31" borderId="2" xfId="66" applyNumberFormat="1" applyFill="1" applyBorder="1" applyAlignment="1">
      <alignment horizontal="right"/>
    </xf>
    <xf numFmtId="164" fontId="11" fillId="31" borderId="2" xfId="66" applyNumberFormat="1" applyFill="1" applyBorder="1"/>
    <xf numFmtId="164" fontId="9" fillId="31" borderId="3" xfId="65" applyNumberFormat="1" applyFont="1" applyFill="1" applyBorder="1" applyAlignment="1"/>
    <xf numFmtId="164" fontId="11" fillId="2" borderId="11" xfId="66" applyNumberFormat="1" applyFill="1" applyBorder="1" applyAlignment="1">
      <alignment horizontal="right"/>
    </xf>
    <xf numFmtId="164" fontId="11" fillId="2" borderId="0" xfId="66" applyNumberFormat="1" applyFill="1" applyAlignment="1">
      <alignment horizontal="right"/>
    </xf>
    <xf numFmtId="164" fontId="11" fillId="2" borderId="0" xfId="66" applyNumberFormat="1" applyFill="1"/>
    <xf numFmtId="164" fontId="9" fillId="2" borderId="10" xfId="65" applyNumberFormat="1" applyFont="1" applyFill="1" applyBorder="1" applyAlignment="1"/>
    <xf numFmtId="164" fontId="11" fillId="31" borderId="11" xfId="66" applyNumberFormat="1" applyFill="1" applyBorder="1" applyAlignment="1">
      <alignment horizontal="right"/>
    </xf>
    <xf numFmtId="164" fontId="11" fillId="31" borderId="0" xfId="66" applyNumberFormat="1" applyFill="1" applyAlignment="1">
      <alignment horizontal="right"/>
    </xf>
    <xf numFmtId="164" fontId="11" fillId="31" borderId="0" xfId="66" applyNumberFormat="1" applyFill="1"/>
    <xf numFmtId="164" fontId="9" fillId="31" borderId="10" xfId="65" applyNumberFormat="1" applyFont="1" applyFill="1" applyBorder="1" applyAlignment="1"/>
    <xf numFmtId="164" fontId="11" fillId="0" borderId="11" xfId="66" applyNumberFormat="1" applyBorder="1" applyAlignment="1">
      <alignment horizontal="right"/>
    </xf>
    <xf numFmtId="164" fontId="11" fillId="0" borderId="0" xfId="66" applyNumberFormat="1" applyAlignment="1">
      <alignment horizontal="right"/>
    </xf>
    <xf numFmtId="164" fontId="11" fillId="0" borderId="0" xfId="66" applyNumberFormat="1"/>
    <xf numFmtId="164" fontId="9" fillId="2" borderId="5" xfId="0" applyNumberFormat="1" applyFont="1" applyFill="1" applyBorder="1" applyAlignment="1">
      <alignment horizontal="right" vertical="center" wrapText="1"/>
    </xf>
    <xf numFmtId="164" fontId="13" fillId="2" borderId="0" xfId="0" quotePrefix="1" applyNumberFormat="1" applyFont="1" applyFill="1" applyAlignment="1">
      <alignment horizontal="right" wrapText="1"/>
    </xf>
    <xf numFmtId="164" fontId="13" fillId="31" borderId="0" xfId="0" quotePrefix="1" applyNumberFormat="1" applyFont="1" applyFill="1" applyAlignment="1">
      <alignment horizontal="right" wrapText="1"/>
    </xf>
    <xf numFmtId="164" fontId="9" fillId="2" borderId="6" xfId="0" applyNumberFormat="1" applyFont="1" applyFill="1" applyBorder="1" applyAlignment="1">
      <alignment horizontal="right" vertical="center" wrapText="1"/>
    </xf>
    <xf numFmtId="164" fontId="13" fillId="2" borderId="12" xfId="0" quotePrefix="1" applyNumberFormat="1" applyFont="1" applyFill="1" applyBorder="1" applyAlignment="1">
      <alignment horizontal="right" wrapText="1"/>
    </xf>
    <xf numFmtId="164" fontId="13" fillId="31" borderId="12" xfId="0" quotePrefix="1" applyNumberFormat="1" applyFont="1" applyFill="1" applyBorder="1" applyAlignment="1">
      <alignment horizontal="right" wrapText="1"/>
    </xf>
    <xf numFmtId="164" fontId="9" fillId="2" borderId="7" xfId="0" applyNumberFormat="1" applyFont="1" applyFill="1" applyBorder="1" applyAlignment="1">
      <alignment horizontal="right" vertical="center" wrapText="1"/>
    </xf>
    <xf numFmtId="0" fontId="23" fillId="3" borderId="4" xfId="7" applyFont="1" applyFill="1" applyBorder="1" applyAlignment="1">
      <alignment horizontal="center" vertical="center" wrapText="1"/>
    </xf>
    <xf numFmtId="3" fontId="16" fillId="31" borderId="12" xfId="0" applyNumberFormat="1" applyFont="1" applyFill="1" applyBorder="1" applyAlignment="1">
      <alignment horizontal="right" wrapText="1"/>
    </xf>
    <xf numFmtId="3" fontId="16" fillId="2" borderId="12" xfId="0" applyNumberFormat="1" applyFont="1" applyFill="1" applyBorder="1" applyAlignment="1">
      <alignment horizontal="right" wrapText="1"/>
    </xf>
    <xf numFmtId="3" fontId="6" fillId="31" borderId="11" xfId="0" applyNumberFormat="1" applyFont="1" applyFill="1" applyBorder="1" applyAlignment="1">
      <alignment horizontal="right" wrapText="1"/>
    </xf>
    <xf numFmtId="3" fontId="6" fillId="31" borderId="0" xfId="0" applyNumberFormat="1" applyFont="1" applyFill="1" applyAlignment="1">
      <alignment horizontal="right" wrapText="1"/>
    </xf>
    <xf numFmtId="3" fontId="6" fillId="31" borderId="12" xfId="0" applyNumberFormat="1" applyFont="1" applyFill="1" applyBorder="1" applyAlignment="1">
      <alignment horizontal="right" wrapText="1"/>
    </xf>
    <xf numFmtId="3" fontId="9" fillId="2" borderId="7" xfId="0" applyNumberFormat="1" applyFont="1" applyFill="1" applyBorder="1" applyAlignment="1">
      <alignment horizontal="right" vertical="center" wrapText="1"/>
    </xf>
    <xf numFmtId="164" fontId="16" fillId="31" borderId="12" xfId="0" applyNumberFormat="1" applyFont="1" applyFill="1" applyBorder="1" applyAlignment="1">
      <alignment horizontal="right" wrapText="1"/>
    </xf>
    <xf numFmtId="164" fontId="16" fillId="2" borderId="12" xfId="0" applyNumberFormat="1" applyFont="1" applyFill="1" applyBorder="1" applyAlignment="1">
      <alignment horizontal="right" wrapText="1"/>
    </xf>
    <xf numFmtId="164" fontId="6" fillId="31" borderId="11" xfId="0" applyNumberFormat="1" applyFont="1" applyFill="1" applyBorder="1" applyAlignment="1">
      <alignment horizontal="right" wrapText="1"/>
    </xf>
    <xf numFmtId="164" fontId="6" fillId="31" borderId="0" xfId="0" applyNumberFormat="1" applyFont="1" applyFill="1" applyAlignment="1">
      <alignment horizontal="right" wrapText="1"/>
    </xf>
    <xf numFmtId="164" fontId="6" fillId="31" borderId="12" xfId="0" applyNumberFormat="1" applyFont="1" applyFill="1" applyBorder="1" applyAlignment="1">
      <alignment horizontal="right" wrapText="1"/>
    </xf>
    <xf numFmtId="164" fontId="9" fillId="31" borderId="10" xfId="0" applyNumberFormat="1" applyFont="1" applyFill="1" applyBorder="1" applyAlignment="1">
      <alignment horizontal="right" wrapText="1"/>
    </xf>
    <xf numFmtId="3" fontId="9" fillId="2" borderId="4" xfId="0" applyNumberFormat="1" applyFont="1" applyFill="1" applyBorder="1" applyAlignment="1">
      <alignment horizontal="right" vertical="center" wrapText="1"/>
    </xf>
    <xf numFmtId="167" fontId="14" fillId="2" borderId="1" xfId="0" applyNumberFormat="1" applyFont="1" applyFill="1" applyBorder="1"/>
    <xf numFmtId="167" fontId="14" fillId="2" borderId="14" xfId="0" applyNumberFormat="1" applyFont="1" applyFill="1" applyBorder="1"/>
    <xf numFmtId="167" fontId="15" fillId="2" borderId="3" xfId="0" applyNumberFormat="1" applyFont="1" applyFill="1" applyBorder="1"/>
    <xf numFmtId="164" fontId="13" fillId="2" borderId="1" xfId="0" quotePrefix="1" applyNumberFormat="1" applyFont="1" applyFill="1" applyBorder="1" applyAlignment="1">
      <alignment horizontal="right"/>
    </xf>
    <xf numFmtId="164" fontId="13" fillId="2" borderId="11" xfId="0" quotePrefix="1" applyNumberFormat="1" applyFont="1" applyFill="1" applyBorder="1" applyAlignment="1">
      <alignment horizontal="right"/>
    </xf>
    <xf numFmtId="0" fontId="85" fillId="0" borderId="0" xfId="0" applyFont="1"/>
    <xf numFmtId="3" fontId="20" fillId="2" borderId="11" xfId="4" applyNumberFormat="1" applyFill="1" applyBorder="1" applyAlignment="1" applyProtection="1"/>
    <xf numFmtId="3" fontId="9" fillId="31" borderId="16" xfId="0" applyNumberFormat="1" applyFont="1" applyFill="1" applyBorder="1" applyAlignment="1">
      <alignment horizontal="left"/>
    </xf>
    <xf numFmtId="1" fontId="18" fillId="31" borderId="3" xfId="0" applyNumberFormat="1" applyFont="1" applyFill="1" applyBorder="1" applyAlignment="1">
      <alignment horizontal="left"/>
    </xf>
    <xf numFmtId="3" fontId="11" fillId="31" borderId="11" xfId="0" applyNumberFormat="1" applyFont="1" applyFill="1" applyBorder="1" applyAlignment="1">
      <alignment horizontal="right" wrapText="1"/>
    </xf>
    <xf numFmtId="3" fontId="11" fillId="31" borderId="0" xfId="0" applyNumberFormat="1" applyFont="1" applyFill="1" applyAlignment="1">
      <alignment horizontal="right" wrapText="1"/>
    </xf>
    <xf numFmtId="3" fontId="11" fillId="31" borderId="12" xfId="0" applyNumberFormat="1" applyFont="1" applyFill="1" applyBorder="1" applyAlignment="1">
      <alignment horizontal="right" wrapText="1"/>
    </xf>
    <xf numFmtId="3" fontId="5" fillId="31" borderId="3" xfId="0" applyNumberFormat="1" applyFont="1" applyFill="1" applyBorder="1"/>
    <xf numFmtId="3" fontId="9" fillId="31" borderId="3" xfId="0" applyNumberFormat="1" applyFont="1" applyFill="1" applyBorder="1"/>
    <xf numFmtId="3" fontId="9" fillId="31" borderId="3" xfId="0" applyNumberFormat="1" applyFont="1" applyFill="1" applyBorder="1" applyAlignment="1">
      <alignment horizontal="right"/>
    </xf>
    <xf numFmtId="1" fontId="18" fillId="31" borderId="10" xfId="0" applyNumberFormat="1" applyFont="1" applyFill="1" applyBorder="1" applyAlignment="1">
      <alignment horizontal="left"/>
    </xf>
    <xf numFmtId="3" fontId="11" fillId="31" borderId="11" xfId="0" applyNumberFormat="1" applyFont="1" applyFill="1" applyBorder="1" applyAlignment="1">
      <alignment horizontal="right" vertical="center" wrapText="1"/>
    </xf>
    <xf numFmtId="3" fontId="11" fillId="31" borderId="0" xfId="0" applyNumberFormat="1" applyFont="1" applyFill="1" applyAlignment="1">
      <alignment horizontal="right" vertical="center" wrapText="1"/>
    </xf>
    <xf numFmtId="3" fontId="11" fillId="31" borderId="12" xfId="0" applyNumberFormat="1" applyFont="1" applyFill="1" applyBorder="1" applyAlignment="1">
      <alignment horizontal="right" vertical="center" wrapText="1"/>
    </xf>
    <xf numFmtId="3" fontId="5" fillId="31" borderId="10" xfId="0" applyNumberFormat="1" applyFont="1" applyFill="1" applyBorder="1" applyAlignment="1">
      <alignment vertical="center"/>
    </xf>
    <xf numFmtId="3" fontId="9" fillId="31" borderId="10" xfId="0" applyNumberFormat="1" applyFont="1" applyFill="1" applyBorder="1" applyAlignment="1">
      <alignment vertical="center"/>
    </xf>
    <xf numFmtId="3" fontId="9" fillId="31" borderId="10" xfId="0" applyNumberFormat="1" applyFont="1" applyFill="1" applyBorder="1" applyAlignment="1">
      <alignment horizontal="right" vertical="center"/>
    </xf>
    <xf numFmtId="3" fontId="11" fillId="31" borderId="1" xfId="0" applyNumberFormat="1" applyFont="1" applyFill="1" applyBorder="1" applyAlignment="1">
      <alignment horizontal="right" vertical="center" wrapText="1"/>
    </xf>
    <xf numFmtId="3" fontId="11" fillId="31" borderId="2" xfId="0" applyNumberFormat="1" applyFont="1" applyFill="1" applyBorder="1" applyAlignment="1">
      <alignment horizontal="right" vertical="center" wrapText="1"/>
    </xf>
    <xf numFmtId="3" fontId="5" fillId="31" borderId="3" xfId="0" applyNumberFormat="1" applyFont="1" applyFill="1" applyBorder="1" applyAlignment="1">
      <alignment vertical="center"/>
    </xf>
    <xf numFmtId="3" fontId="18" fillId="31" borderId="10" xfId="0" applyNumberFormat="1" applyFont="1" applyFill="1" applyBorder="1" applyAlignment="1">
      <alignment horizontal="left" vertical="top"/>
    </xf>
    <xf numFmtId="3" fontId="5" fillId="31" borderId="11" xfId="0" applyNumberFormat="1" applyFont="1" applyFill="1" applyBorder="1" applyAlignment="1">
      <alignment vertical="center"/>
    </xf>
    <xf numFmtId="3" fontId="5" fillId="31" borderId="0" xfId="0" applyNumberFormat="1" applyFont="1" applyFill="1" applyAlignment="1">
      <alignment vertical="center"/>
    </xf>
    <xf numFmtId="0" fontId="5" fillId="0" borderId="0" xfId="0" applyFont="1" applyAlignment="1">
      <alignment vertical="center"/>
    </xf>
    <xf numFmtId="3" fontId="5" fillId="0" borderId="0" xfId="0" applyNumberFormat="1" applyFont="1" applyAlignment="1">
      <alignment vertical="center"/>
    </xf>
    <xf numFmtId="0" fontId="18" fillId="0" borderId="0" xfId="0" applyFont="1" applyAlignment="1">
      <alignment horizontal="right"/>
    </xf>
    <xf numFmtId="3" fontId="5" fillId="0" borderId="0" xfId="0" quotePrefix="1" applyNumberFormat="1" applyFont="1"/>
    <xf numFmtId="3" fontId="5" fillId="0" borderId="0" xfId="0" applyNumberFormat="1" applyFont="1"/>
    <xf numFmtId="0" fontId="54" fillId="2" borderId="5" xfId="0" applyFont="1" applyFill="1" applyBorder="1" applyAlignment="1">
      <alignment horizontal="left" vertical="center" wrapText="1"/>
    </xf>
    <xf numFmtId="3" fontId="0" fillId="31" borderId="16" xfId="0" applyNumberFormat="1" applyFill="1" applyBorder="1"/>
    <xf numFmtId="3" fontId="8" fillId="26" borderId="5" xfId="0" applyNumberFormat="1" applyFont="1" applyFill="1" applyBorder="1" applyAlignment="1">
      <alignment vertical="center"/>
    </xf>
    <xf numFmtId="3" fontId="8" fillId="26" borderId="7" xfId="0" applyNumberFormat="1" applyFont="1" applyFill="1" applyBorder="1" applyAlignment="1">
      <alignment vertical="center"/>
    </xf>
    <xf numFmtId="167" fontId="16" fillId="2" borderId="1" xfId="0" applyNumberFormat="1" applyFont="1" applyFill="1" applyBorder="1"/>
    <xf numFmtId="167" fontId="16" fillId="2" borderId="2" xfId="0" applyNumberFormat="1" applyFont="1" applyFill="1" applyBorder="1"/>
    <xf numFmtId="167" fontId="16" fillId="2" borderId="9" xfId="0" applyNumberFormat="1" applyFont="1" applyFill="1" applyBorder="1"/>
    <xf numFmtId="166" fontId="16" fillId="2" borderId="1" xfId="0" applyNumberFormat="1" applyFont="1" applyFill="1" applyBorder="1"/>
    <xf numFmtId="166" fontId="16" fillId="2" borderId="2" xfId="0" applyNumberFormat="1" applyFont="1" applyFill="1" applyBorder="1"/>
    <xf numFmtId="166" fontId="16" fillId="2" borderId="9" xfId="0" applyNumberFormat="1" applyFont="1" applyFill="1" applyBorder="1"/>
    <xf numFmtId="166" fontId="15" fillId="2" borderId="3" xfId="0" applyNumberFormat="1" applyFont="1" applyFill="1" applyBorder="1"/>
    <xf numFmtId="164" fontId="18" fillId="31" borderId="16" xfId="92" applyNumberFormat="1" applyFont="1" applyFill="1" applyBorder="1" applyAlignment="1">
      <alignment horizontal="right" wrapText="1"/>
    </xf>
    <xf numFmtId="164" fontId="18" fillId="2" borderId="10" xfId="92" applyNumberFormat="1" applyFont="1" applyFill="1" applyBorder="1" applyAlignment="1">
      <alignment horizontal="right" wrapText="1"/>
    </xf>
    <xf numFmtId="3" fontId="5" fillId="31" borderId="8" xfId="0" quotePrefix="1" applyNumberFormat="1" applyFont="1" applyFill="1" applyBorder="1" applyAlignment="1">
      <alignment horizontal="right"/>
    </xf>
    <xf numFmtId="0" fontId="5" fillId="2" borderId="1" xfId="0" applyFont="1" applyFill="1" applyBorder="1"/>
    <xf numFmtId="164" fontId="18" fillId="2" borderId="5" xfId="67" applyNumberFormat="1" applyFont="1" applyFill="1" applyBorder="1" applyAlignment="1">
      <alignment horizontal="right" vertical="center" wrapText="1"/>
    </xf>
    <xf numFmtId="167" fontId="51" fillId="0" borderId="16" xfId="0" applyNumberFormat="1" applyFont="1" applyBorder="1" applyAlignment="1">
      <alignment vertical="center"/>
    </xf>
    <xf numFmtId="167" fontId="14" fillId="31" borderId="16" xfId="0" applyNumberFormat="1" applyFont="1" applyFill="1" applyBorder="1"/>
    <xf numFmtId="3" fontId="16" fillId="2" borderId="9" xfId="0" applyNumberFormat="1" applyFont="1" applyFill="1" applyBorder="1"/>
    <xf numFmtId="3" fontId="16" fillId="2" borderId="8" xfId="0" applyNumberFormat="1" applyFont="1" applyFill="1" applyBorder="1"/>
    <xf numFmtId="164" fontId="18" fillId="31" borderId="3" xfId="118" applyNumberFormat="1" applyFont="1" applyFill="1" applyBorder="1" applyAlignment="1">
      <alignment horizontal="right" wrapText="1"/>
    </xf>
    <xf numFmtId="164" fontId="18" fillId="31" borderId="10" xfId="118" applyNumberFormat="1" applyFont="1" applyFill="1" applyBorder="1" applyAlignment="1">
      <alignment horizontal="right" wrapText="1"/>
    </xf>
    <xf numFmtId="164" fontId="18" fillId="2" borderId="10" xfId="118" applyNumberFormat="1" applyFont="1" applyFill="1" applyBorder="1" applyAlignment="1">
      <alignment horizontal="right" wrapText="1"/>
    </xf>
    <xf numFmtId="3" fontId="8" fillId="2" borderId="10" xfId="0" applyNumberFormat="1" applyFont="1" applyFill="1" applyBorder="1" applyAlignment="1">
      <alignment horizontal="right"/>
    </xf>
    <xf numFmtId="3" fontId="8" fillId="2" borderId="16" xfId="0" applyNumberFormat="1" applyFont="1" applyFill="1" applyBorder="1" applyAlignment="1">
      <alignment horizontal="right"/>
    </xf>
    <xf numFmtId="169" fontId="9" fillId="31" borderId="16" xfId="65" applyNumberFormat="1" applyFont="1" applyFill="1" applyBorder="1" applyAlignment="1">
      <alignment horizontal="right"/>
    </xf>
    <xf numFmtId="169" fontId="18" fillId="2" borderId="10" xfId="65" applyNumberFormat="1" applyFont="1" applyFill="1" applyBorder="1" applyAlignment="1">
      <alignment horizontal="right" wrapText="1"/>
    </xf>
    <xf numFmtId="164" fontId="23" fillId="31" borderId="1" xfId="67" applyNumberFormat="1" applyFont="1" applyFill="1" applyBorder="1" applyAlignment="1">
      <alignment horizontal="right" wrapText="1"/>
    </xf>
    <xf numFmtId="164" fontId="23" fillId="2" borderId="11" xfId="67" applyNumberFormat="1" applyFont="1" applyFill="1" applyBorder="1" applyAlignment="1">
      <alignment horizontal="right" wrapText="1"/>
    </xf>
    <xf numFmtId="164" fontId="23" fillId="31" borderId="11" xfId="67" applyNumberFormat="1" applyFont="1" applyFill="1" applyBorder="1" applyAlignment="1">
      <alignment horizontal="right" wrapText="1"/>
    </xf>
    <xf numFmtId="164" fontId="18" fillId="31" borderId="3" xfId="121" applyNumberFormat="1" applyFont="1" applyFill="1" applyBorder="1" applyAlignment="1">
      <alignment horizontal="right" wrapText="1"/>
    </xf>
    <xf numFmtId="164" fontId="18" fillId="31" borderId="10" xfId="121" applyNumberFormat="1" applyFont="1" applyFill="1" applyBorder="1" applyAlignment="1">
      <alignment horizontal="right" wrapText="1"/>
    </xf>
    <xf numFmtId="164" fontId="18" fillId="2" borderId="10" xfId="121" applyNumberFormat="1" applyFont="1" applyFill="1" applyBorder="1" applyAlignment="1">
      <alignment horizontal="right" wrapText="1"/>
    </xf>
    <xf numFmtId="164" fontId="18" fillId="31" borderId="3" xfId="122" applyNumberFormat="1" applyFont="1" applyFill="1" applyBorder="1" applyAlignment="1">
      <alignment horizontal="right" wrapText="1"/>
    </xf>
    <xf numFmtId="164" fontId="18" fillId="31" borderId="10" xfId="122" applyNumberFormat="1" applyFont="1" applyFill="1" applyBorder="1" applyAlignment="1">
      <alignment horizontal="right" wrapText="1"/>
    </xf>
    <xf numFmtId="164" fontId="18" fillId="2" borderId="10" xfId="122" applyNumberFormat="1" applyFont="1" applyFill="1" applyBorder="1" applyAlignment="1">
      <alignment horizontal="right" wrapText="1"/>
    </xf>
    <xf numFmtId="3" fontId="16" fillId="31" borderId="11" xfId="0" applyNumberFormat="1" applyFont="1" applyFill="1" applyBorder="1"/>
    <xf numFmtId="3" fontId="9" fillId="31" borderId="10" xfId="0" applyNumberFormat="1" applyFont="1" applyFill="1" applyBorder="1"/>
    <xf numFmtId="164" fontId="0" fillId="2" borderId="2" xfId="0" quotePrefix="1" applyNumberFormat="1" applyFill="1" applyBorder="1" applyAlignment="1">
      <alignment horizontal="right"/>
    </xf>
    <xf numFmtId="164" fontId="0" fillId="2" borderId="15" xfId="0" quotePrefix="1" applyNumberFormat="1" applyFill="1" applyBorder="1" applyAlignment="1">
      <alignment horizontal="right"/>
    </xf>
    <xf numFmtId="164" fontId="9" fillId="2" borderId="16" xfId="0" applyNumberFormat="1" applyFont="1" applyFill="1" applyBorder="1" applyAlignment="1">
      <alignment horizontal="right" vertical="center"/>
    </xf>
    <xf numFmtId="164" fontId="11" fillId="0" borderId="2" xfId="127" quotePrefix="1" applyNumberFormat="1" applyBorder="1" applyAlignment="1">
      <alignment horizontal="right"/>
    </xf>
    <xf numFmtId="3" fontId="18" fillId="2" borderId="3" xfId="127" applyNumberFormat="1" applyFont="1" applyFill="1" applyBorder="1" applyAlignment="1">
      <alignment horizontal="right"/>
    </xf>
    <xf numFmtId="3" fontId="18" fillId="2" borderId="10" xfId="127" applyNumberFormat="1" applyFont="1" applyFill="1" applyBorder="1" applyAlignment="1">
      <alignment horizontal="right"/>
    </xf>
    <xf numFmtId="3" fontId="18" fillId="2" borderId="16" xfId="127" applyNumberFormat="1" applyFont="1" applyFill="1" applyBorder="1" applyAlignment="1">
      <alignment horizontal="right"/>
    </xf>
    <xf numFmtId="164" fontId="18" fillId="2" borderId="16" xfId="127" applyNumberFormat="1" applyFont="1" applyFill="1" applyBorder="1" applyAlignment="1">
      <alignment horizontal="right"/>
    </xf>
    <xf numFmtId="164" fontId="5" fillId="2" borderId="15" xfId="0" quotePrefix="1" applyNumberFormat="1" applyFont="1" applyFill="1" applyBorder="1" applyAlignment="1">
      <alignment horizontal="right"/>
    </xf>
    <xf numFmtId="164" fontId="9" fillId="2" borderId="6" xfId="0" quotePrefix="1" applyNumberFormat="1" applyFont="1" applyFill="1" applyBorder="1" applyAlignment="1">
      <alignment horizontal="right" vertical="center"/>
    </xf>
    <xf numFmtId="167" fontId="51" fillId="2" borderId="3" xfId="0" applyNumberFormat="1" applyFont="1" applyFill="1" applyBorder="1" applyAlignment="1">
      <alignment horizontal="right"/>
    </xf>
    <xf numFmtId="167" fontId="51" fillId="2" borderId="10" xfId="0" applyNumberFormat="1" applyFont="1" applyFill="1" applyBorder="1" applyAlignment="1">
      <alignment horizontal="right"/>
    </xf>
    <xf numFmtId="167" fontId="51" fillId="2" borderId="16" xfId="0" applyNumberFormat="1" applyFont="1" applyFill="1" applyBorder="1" applyAlignment="1">
      <alignment horizontal="right"/>
    </xf>
    <xf numFmtId="167" fontId="15" fillId="2" borderId="12" xfId="0" applyNumberFormat="1" applyFont="1" applyFill="1" applyBorder="1" applyAlignment="1">
      <alignment horizontal="right"/>
    </xf>
    <xf numFmtId="167" fontId="15" fillId="2" borderId="14" xfId="0" quotePrefix="1" applyNumberFormat="1" applyFont="1" applyFill="1" applyBorder="1" applyAlignment="1">
      <alignment horizontal="right" vertical="center"/>
    </xf>
    <xf numFmtId="167" fontId="15" fillId="2" borderId="15" xfId="0" quotePrefix="1" applyNumberFormat="1" applyFont="1" applyFill="1" applyBorder="1" applyAlignment="1">
      <alignment horizontal="right" vertical="center"/>
    </xf>
    <xf numFmtId="167" fontId="15" fillId="2" borderId="8" xfId="0" quotePrefix="1" applyNumberFormat="1" applyFont="1" applyFill="1" applyBorder="1" applyAlignment="1">
      <alignment horizontal="right" vertical="center"/>
    </xf>
    <xf numFmtId="167" fontId="16" fillId="2" borderId="1" xfId="0" quotePrefix="1" applyNumberFormat="1" applyFont="1" applyFill="1" applyBorder="1" applyAlignment="1">
      <alignment horizontal="right"/>
    </xf>
    <xf numFmtId="167" fontId="16" fillId="2" borderId="2" xfId="0" quotePrefix="1" applyNumberFormat="1" applyFont="1" applyFill="1" applyBorder="1" applyAlignment="1">
      <alignment horizontal="right"/>
    </xf>
    <xf numFmtId="167" fontId="16" fillId="2" borderId="9" xfId="0" quotePrefix="1" applyNumberFormat="1" applyFont="1" applyFill="1" applyBorder="1" applyAlignment="1">
      <alignment horizontal="right"/>
    </xf>
    <xf numFmtId="167" fontId="16" fillId="2" borderId="14" xfId="0" quotePrefix="1" applyNumberFormat="1" applyFont="1" applyFill="1" applyBorder="1" applyAlignment="1">
      <alignment horizontal="right"/>
    </xf>
    <xf numFmtId="167" fontId="16" fillId="2" borderId="15" xfId="0" quotePrefix="1" applyNumberFormat="1" applyFont="1" applyFill="1" applyBorder="1" applyAlignment="1">
      <alignment horizontal="right"/>
    </xf>
    <xf numFmtId="167" fontId="16" fillId="2" borderId="8" xfId="0" quotePrefix="1" applyNumberFormat="1" applyFont="1" applyFill="1" applyBorder="1" applyAlignment="1">
      <alignment horizontal="right"/>
    </xf>
    <xf numFmtId="166" fontId="14" fillId="2" borderId="1" xfId="0" applyNumberFormat="1" applyFont="1" applyFill="1" applyBorder="1"/>
    <xf numFmtId="166" fontId="14" fillId="2" borderId="2" xfId="0" applyNumberFormat="1" applyFont="1" applyFill="1" applyBorder="1"/>
    <xf numFmtId="166" fontId="14" fillId="2" borderId="9" xfId="0" applyNumberFormat="1" applyFont="1" applyFill="1" applyBorder="1"/>
    <xf numFmtId="164" fontId="18" fillId="2" borderId="10" xfId="131" applyNumberFormat="1" applyFont="1" applyFill="1" applyBorder="1" applyAlignment="1">
      <alignment horizontal="right" wrapText="1"/>
    </xf>
    <xf numFmtId="0" fontId="18" fillId="2" borderId="1" xfId="127" applyFont="1" applyFill="1" applyBorder="1"/>
    <xf numFmtId="1" fontId="16" fillId="32" borderId="1" xfId="0" applyNumberFormat="1" applyFont="1" applyFill="1" applyBorder="1" applyAlignment="1">
      <alignment horizontal="right"/>
    </xf>
    <xf numFmtId="1" fontId="16" fillId="32" borderId="2" xfId="0" applyNumberFormat="1" applyFont="1" applyFill="1" applyBorder="1" applyAlignment="1">
      <alignment horizontal="right"/>
    </xf>
    <xf numFmtId="1" fontId="16" fillId="32" borderId="9" xfId="0" applyNumberFormat="1" applyFont="1" applyFill="1" applyBorder="1" applyAlignment="1">
      <alignment horizontal="right"/>
    </xf>
    <xf numFmtId="164" fontId="0" fillId="2" borderId="2" xfId="0" quotePrefix="1" applyNumberFormat="1" applyFill="1" applyBorder="1" applyAlignment="1">
      <alignment wrapText="1"/>
    </xf>
    <xf numFmtId="164" fontId="0" fillId="2" borderId="0" xfId="0" quotePrefix="1" applyNumberFormat="1" applyFill="1" applyAlignment="1">
      <alignment wrapText="1"/>
    </xf>
    <xf numFmtId="164" fontId="0" fillId="0" borderId="15" xfId="0" applyNumberFormat="1" applyBorder="1"/>
    <xf numFmtId="3" fontId="0" fillId="2" borderId="2" xfId="0" quotePrefix="1" applyNumberFormat="1" applyFill="1" applyBorder="1" applyAlignment="1">
      <alignment horizontal="right" wrapText="1"/>
    </xf>
    <xf numFmtId="164" fontId="11" fillId="0" borderId="0" xfId="137" applyNumberFormat="1" applyAlignment="1">
      <alignment horizontal="right" wrapText="1"/>
    </xf>
    <xf numFmtId="164" fontId="11" fillId="0" borderId="15" xfId="137" applyNumberFormat="1" applyBorder="1" applyAlignment="1">
      <alignment horizontal="right" wrapText="1"/>
    </xf>
    <xf numFmtId="3" fontId="9" fillId="2" borderId="16" xfId="0" quotePrefix="1" applyNumberFormat="1" applyFont="1" applyFill="1" applyBorder="1" applyAlignment="1">
      <alignment horizontal="right" wrapText="1"/>
    </xf>
    <xf numFmtId="0" fontId="9" fillId="2" borderId="3" xfId="0" applyFont="1" applyFill="1" applyBorder="1" applyAlignment="1">
      <alignment horizontal="left"/>
    </xf>
    <xf numFmtId="166" fontId="8" fillId="2" borderId="3" xfId="0" applyNumberFormat="1" applyFont="1" applyFill="1" applyBorder="1"/>
    <xf numFmtId="166" fontId="8" fillId="2" borderId="10" xfId="0" applyNumberFormat="1" applyFont="1" applyFill="1" applyBorder="1"/>
    <xf numFmtId="166" fontId="8" fillId="2" borderId="16" xfId="0" applyNumberFormat="1" applyFont="1" applyFill="1" applyBorder="1"/>
    <xf numFmtId="3" fontId="5" fillId="2" borderId="3" xfId="0" applyNumberFormat="1" applyFont="1" applyFill="1" applyBorder="1"/>
    <xf numFmtId="3" fontId="5" fillId="2" borderId="10" xfId="0" applyNumberFormat="1" applyFont="1" applyFill="1" applyBorder="1"/>
    <xf numFmtId="3" fontId="5" fillId="2" borderId="16" xfId="0" applyNumberFormat="1" applyFont="1" applyFill="1" applyBorder="1"/>
    <xf numFmtId="3" fontId="0" fillId="2" borderId="16" xfId="0" applyNumberFormat="1" applyFill="1" applyBorder="1"/>
    <xf numFmtId="167" fontId="51" fillId="2" borderId="3" xfId="0" applyNumberFormat="1" applyFont="1" applyFill="1" applyBorder="1"/>
    <xf numFmtId="167" fontId="51" fillId="2" borderId="10" xfId="0" applyNumberFormat="1" applyFont="1" applyFill="1" applyBorder="1"/>
    <xf numFmtId="167" fontId="51" fillId="2" borderId="16" xfId="0" applyNumberFormat="1" applyFont="1" applyFill="1" applyBorder="1"/>
    <xf numFmtId="3" fontId="0" fillId="2" borderId="3" xfId="0" applyNumberFormat="1" applyFill="1" applyBorder="1"/>
    <xf numFmtId="3" fontId="0" fillId="2" borderId="10" xfId="0" applyNumberFormat="1" applyFill="1" applyBorder="1"/>
    <xf numFmtId="3" fontId="5" fillId="2" borderId="10" xfId="105" applyNumberFormat="1" applyFont="1" applyFill="1" applyBorder="1"/>
    <xf numFmtId="3" fontId="9" fillId="31" borderId="3" xfId="135" applyNumberFormat="1" applyFont="1" applyFill="1" applyBorder="1"/>
    <xf numFmtId="3" fontId="9" fillId="31" borderId="10" xfId="135" applyNumberFormat="1" applyFont="1" applyFill="1" applyBorder="1"/>
    <xf numFmtId="3" fontId="6" fillId="31" borderId="16" xfId="0" applyNumberFormat="1" applyFont="1" applyFill="1" applyBorder="1" applyAlignment="1">
      <alignment horizontal="right"/>
    </xf>
    <xf numFmtId="3" fontId="9" fillId="2" borderId="10" xfId="135" applyNumberFormat="1" applyFont="1" applyFill="1" applyBorder="1"/>
    <xf numFmtId="0" fontId="9" fillId="2" borderId="16" xfId="0" applyFont="1" applyFill="1" applyBorder="1" applyAlignment="1">
      <alignment horizontal="left"/>
    </xf>
    <xf numFmtId="3" fontId="5" fillId="31" borderId="1" xfId="0" applyNumberFormat="1" applyFont="1" applyFill="1" applyBorder="1"/>
    <xf numFmtId="3" fontId="5" fillId="0" borderId="11" xfId="0" applyNumberFormat="1" applyFont="1" applyBorder="1"/>
    <xf numFmtId="0" fontId="18" fillId="31" borderId="1" xfId="0" applyFont="1" applyFill="1" applyBorder="1" applyAlignment="1">
      <alignment horizontal="left" wrapText="1"/>
    </xf>
    <xf numFmtId="3" fontId="5" fillId="31" borderId="9" xfId="0" applyNumberFormat="1" applyFont="1" applyFill="1" applyBorder="1" applyAlignment="1">
      <alignment vertical="center"/>
    </xf>
    <xf numFmtId="3" fontId="5" fillId="32" borderId="3" xfId="0" applyNumberFormat="1" applyFont="1" applyFill="1" applyBorder="1" applyAlignment="1">
      <alignment vertical="center"/>
    </xf>
    <xf numFmtId="3" fontId="9" fillId="32" borderId="9" xfId="0" applyNumberFormat="1" applyFont="1" applyFill="1" applyBorder="1" applyAlignment="1">
      <alignment vertical="center"/>
    </xf>
    <xf numFmtId="3" fontId="9" fillId="31" borderId="3" xfId="0" applyNumberFormat="1" applyFont="1" applyFill="1" applyBorder="1" applyAlignment="1">
      <alignment horizontal="right" vertical="center"/>
    </xf>
    <xf numFmtId="3" fontId="9" fillId="2" borderId="10" xfId="0" quotePrefix="1" applyNumberFormat="1" applyFont="1" applyFill="1" applyBorder="1" applyAlignment="1">
      <alignment horizontal="right" vertical="center"/>
    </xf>
    <xf numFmtId="3" fontId="9" fillId="31" borderId="10" xfId="0" quotePrefix="1" applyNumberFormat="1" applyFont="1" applyFill="1" applyBorder="1" applyAlignment="1">
      <alignment horizontal="right" vertical="center"/>
    </xf>
    <xf numFmtId="3" fontId="5" fillId="2" borderId="11" xfId="0" quotePrefix="1" applyNumberFormat="1" applyFont="1" applyFill="1" applyBorder="1" applyAlignment="1">
      <alignment horizontal="right" vertical="center"/>
    </xf>
    <xf numFmtId="3" fontId="5" fillId="2" borderId="0" xfId="0" quotePrefix="1" applyNumberFormat="1" applyFont="1" applyFill="1" applyAlignment="1">
      <alignment horizontal="right" vertical="center"/>
    </xf>
    <xf numFmtId="3" fontId="9" fillId="32" borderId="1" xfId="0" applyNumberFormat="1" applyFont="1" applyFill="1" applyBorder="1" applyAlignment="1">
      <alignment horizontal="right" vertical="center"/>
    </xf>
    <xf numFmtId="3" fontId="9" fillId="32" borderId="2" xfId="0" applyNumberFormat="1" applyFont="1" applyFill="1" applyBorder="1" applyAlignment="1">
      <alignment horizontal="right" vertical="center"/>
    </xf>
    <xf numFmtId="3" fontId="9" fillId="32" borderId="10" xfId="0" applyNumberFormat="1" applyFont="1" applyFill="1" applyBorder="1" applyAlignment="1">
      <alignment vertical="center"/>
    </xf>
    <xf numFmtId="3" fontId="5" fillId="2" borderId="10" xfId="0" quotePrefix="1" applyNumberFormat="1" applyFont="1" applyFill="1" applyBorder="1" applyAlignment="1">
      <alignment horizontal="right" vertical="center"/>
    </xf>
    <xf numFmtId="3" fontId="9" fillId="0" borderId="8" xfId="0" applyNumberFormat="1" applyFont="1" applyBorder="1" applyAlignment="1">
      <alignment horizontal="right"/>
    </xf>
    <xf numFmtId="3" fontId="9" fillId="2" borderId="8" xfId="0" applyNumberFormat="1" applyFont="1" applyFill="1" applyBorder="1"/>
    <xf numFmtId="3" fontId="9" fillId="2" borderId="9" xfId="0" applyNumberFormat="1" applyFont="1" applyFill="1" applyBorder="1"/>
    <xf numFmtId="3" fontId="0" fillId="31" borderId="0" xfId="0" applyNumberFormat="1" applyFill="1" applyAlignment="1">
      <alignment horizontal="right" wrapText="1"/>
    </xf>
    <xf numFmtId="3" fontId="86" fillId="2" borderId="5" xfId="0" applyNumberFormat="1" applyFont="1" applyFill="1" applyBorder="1" applyAlignment="1">
      <alignment horizontal="center" wrapText="1"/>
    </xf>
    <xf numFmtId="3" fontId="86" fillId="2" borderId="4" xfId="0" applyNumberFormat="1" applyFont="1" applyFill="1" applyBorder="1" applyAlignment="1">
      <alignment horizontal="center" wrapText="1"/>
    </xf>
    <xf numFmtId="37" fontId="102" fillId="0" borderId="0" xfId="0" applyNumberFormat="1" applyFont="1" applyAlignment="1">
      <alignment horizontal="right"/>
    </xf>
    <xf numFmtId="37" fontId="102" fillId="0" borderId="12" xfId="0" applyNumberFormat="1" applyFont="1" applyBorder="1" applyAlignment="1">
      <alignment horizontal="right"/>
    </xf>
    <xf numFmtId="169" fontId="5" fillId="2" borderId="14" xfId="65" applyNumberFormat="1" applyFont="1" applyFill="1" applyBorder="1"/>
    <xf numFmtId="169" fontId="0" fillId="0" borderId="0" xfId="0" applyNumberFormat="1"/>
    <xf numFmtId="169" fontId="0" fillId="2" borderId="15" xfId="0" applyNumberFormat="1" applyFill="1" applyBorder="1"/>
    <xf numFmtId="0" fontId="8" fillId="0" borderId="3" xfId="0" applyFont="1" applyBorder="1"/>
    <xf numFmtId="0" fontId="8" fillId="0" borderId="10" xfId="0" applyFont="1" applyBorder="1"/>
    <xf numFmtId="164" fontId="5" fillId="2" borderId="2" xfId="0" quotePrefix="1" applyNumberFormat="1" applyFont="1" applyFill="1" applyBorder="1" applyAlignment="1">
      <alignment horizontal="right"/>
    </xf>
    <xf numFmtId="164" fontId="0" fillId="2" borderId="16" xfId="0" quotePrefix="1" applyNumberFormat="1" applyFill="1" applyBorder="1" applyAlignment="1">
      <alignment horizontal="right"/>
    </xf>
    <xf numFmtId="0" fontId="9" fillId="2" borderId="16" xfId="0" quotePrefix="1" applyFont="1" applyFill="1" applyBorder="1" applyAlignment="1">
      <alignment horizontal="right"/>
    </xf>
    <xf numFmtId="167" fontId="14" fillId="2" borderId="3" xfId="0" applyNumberFormat="1" applyFont="1" applyFill="1" applyBorder="1" applyAlignment="1">
      <alignment horizontal="right"/>
    </xf>
    <xf numFmtId="164" fontId="9" fillId="2" borderId="3" xfId="0" applyNumberFormat="1" applyFont="1" applyFill="1" applyBorder="1" applyAlignment="1">
      <alignment horizontal="right"/>
    </xf>
    <xf numFmtId="164" fontId="11" fillId="2" borderId="12" xfId="131" applyNumberFormat="1" applyFill="1" applyBorder="1"/>
    <xf numFmtId="171" fontId="51" fillId="2" borderId="9" xfId="0" applyNumberFormat="1" applyFont="1" applyFill="1" applyBorder="1" applyAlignment="1">
      <alignment horizontal="right"/>
    </xf>
    <xf numFmtId="171" fontId="51" fillId="2" borderId="12" xfId="0" applyNumberFormat="1" applyFont="1" applyFill="1" applyBorder="1" applyAlignment="1">
      <alignment horizontal="right"/>
    </xf>
    <xf numFmtId="171" fontId="51" fillId="2" borderId="8" xfId="0" applyNumberFormat="1" applyFont="1" applyFill="1" applyBorder="1" applyAlignment="1">
      <alignment horizontal="right"/>
    </xf>
    <xf numFmtId="171" fontId="14" fillId="2" borderId="9" xfId="0" applyNumberFormat="1" applyFont="1" applyFill="1" applyBorder="1" applyAlignment="1">
      <alignment horizontal="right"/>
    </xf>
    <xf numFmtId="171" fontId="14" fillId="2" borderId="12" xfId="0" applyNumberFormat="1" applyFont="1" applyFill="1" applyBorder="1" applyAlignment="1">
      <alignment horizontal="right"/>
    </xf>
    <xf numFmtId="171" fontId="14" fillId="2" borderId="8" xfId="0" applyNumberFormat="1" applyFont="1" applyFill="1" applyBorder="1" applyAlignment="1">
      <alignment horizontal="right"/>
    </xf>
    <xf numFmtId="171" fontId="51" fillId="2" borderId="9" xfId="0" applyNumberFormat="1" applyFont="1" applyFill="1" applyBorder="1"/>
    <xf numFmtId="171" fontId="51" fillId="2" borderId="12" xfId="0" applyNumberFormat="1" applyFont="1" applyFill="1" applyBorder="1"/>
    <xf numFmtId="171" fontId="51" fillId="2" borderId="8" xfId="0" applyNumberFormat="1" applyFont="1" applyFill="1" applyBorder="1"/>
    <xf numFmtId="171" fontId="14" fillId="2" borderId="9" xfId="0" applyNumberFormat="1" applyFont="1" applyFill="1" applyBorder="1"/>
    <xf numFmtId="171" fontId="14" fillId="2" borderId="12" xfId="0" applyNumberFormat="1" applyFont="1" applyFill="1" applyBorder="1"/>
    <xf numFmtId="171" fontId="14" fillId="2" borderId="8" xfId="0" applyNumberFormat="1" applyFont="1" applyFill="1" applyBorder="1"/>
    <xf numFmtId="3" fontId="5" fillId="2" borderId="9" xfId="0" applyNumberFormat="1" applyFont="1" applyFill="1" applyBorder="1"/>
    <xf numFmtId="0" fontId="14" fillId="2" borderId="12" xfId="0" applyFont="1" applyFill="1" applyBorder="1"/>
    <xf numFmtId="164" fontId="5" fillId="2" borderId="11" xfId="0" applyNumberFormat="1" applyFont="1" applyFill="1" applyBorder="1"/>
    <xf numFmtId="164" fontId="5" fillId="2" borderId="12" xfId="0" applyNumberFormat="1" applyFont="1" applyFill="1" applyBorder="1"/>
    <xf numFmtId="164" fontId="5" fillId="2" borderId="14" xfId="0" applyNumberFormat="1" applyFont="1" applyFill="1" applyBorder="1"/>
    <xf numFmtId="3" fontId="0" fillId="2" borderId="26" xfId="0" applyNumberFormat="1" applyFill="1" applyBorder="1"/>
    <xf numFmtId="166" fontId="16" fillId="2" borderId="28" xfId="0" applyNumberFormat="1" applyFont="1" applyFill="1" applyBorder="1"/>
    <xf numFmtId="3" fontId="13" fillId="2" borderId="28" xfId="0" applyNumberFormat="1" applyFont="1" applyFill="1" applyBorder="1"/>
    <xf numFmtId="3" fontId="0" fillId="2" borderId="27" xfId="0" applyNumberFormat="1" applyFill="1" applyBorder="1"/>
    <xf numFmtId="3" fontId="0" fillId="2" borderId="27" xfId="0" applyNumberFormat="1" applyFill="1" applyBorder="1" applyAlignment="1">
      <alignment horizontal="right"/>
    </xf>
    <xf numFmtId="3" fontId="9" fillId="2" borderId="25" xfId="0" applyNumberFormat="1" applyFont="1" applyFill="1" applyBorder="1"/>
    <xf numFmtId="167" fontId="14" fillId="2" borderId="26" xfId="0" applyNumberFormat="1" applyFont="1" applyFill="1" applyBorder="1"/>
    <xf numFmtId="167" fontId="51" fillId="2" borderId="25" xfId="0" applyNumberFormat="1" applyFont="1" applyFill="1" applyBorder="1"/>
    <xf numFmtId="164" fontId="0" fillId="2" borderId="26" xfId="0" applyNumberFormat="1" applyFill="1" applyBorder="1"/>
    <xf numFmtId="164" fontId="0" fillId="2" borderId="27" xfId="0" applyNumberFormat="1" applyFill="1" applyBorder="1"/>
    <xf numFmtId="3" fontId="8" fillId="2" borderId="25" xfId="0" applyNumberFormat="1" applyFont="1" applyFill="1" applyBorder="1"/>
    <xf numFmtId="167" fontId="5" fillId="2" borderId="11" xfId="0" applyNumberFormat="1" applyFont="1" applyFill="1" applyBorder="1"/>
    <xf numFmtId="167" fontId="14" fillId="2" borderId="26" xfId="0" applyNumberFormat="1" applyFont="1" applyFill="1" applyBorder="1" applyAlignment="1">
      <alignment horizontal="right"/>
    </xf>
    <xf numFmtId="167" fontId="14" fillId="2" borderId="27" xfId="0" applyNumberFormat="1" applyFont="1" applyFill="1" applyBorder="1" applyAlignment="1">
      <alignment horizontal="right"/>
    </xf>
    <xf numFmtId="167" fontId="51" fillId="2" borderId="25" xfId="0" applyNumberFormat="1" applyFont="1" applyFill="1" applyBorder="1" applyAlignment="1">
      <alignment horizontal="right"/>
    </xf>
    <xf numFmtId="3" fontId="0" fillId="2" borderId="27" xfId="0" applyNumberFormat="1" applyFill="1" applyBorder="1" applyAlignment="1">
      <alignment wrapText="1"/>
    </xf>
    <xf numFmtId="164" fontId="0" fillId="2" borderId="27" xfId="0" quotePrefix="1" applyNumberFormat="1" applyFill="1" applyBorder="1" applyAlignment="1">
      <alignment horizontal="right"/>
    </xf>
    <xf numFmtId="3" fontId="9" fillId="2" borderId="25" xfId="0" quotePrefix="1" applyNumberFormat="1" applyFont="1" applyFill="1" applyBorder="1" applyAlignment="1">
      <alignment horizontal="right" wrapText="1"/>
    </xf>
    <xf numFmtId="171" fontId="14" fillId="2" borderId="26" xfId="0" applyNumberFormat="1" applyFont="1" applyFill="1" applyBorder="1"/>
    <xf numFmtId="171" fontId="14" fillId="2" borderId="27" xfId="0" applyNumberFormat="1" applyFont="1" applyFill="1" applyBorder="1"/>
    <xf numFmtId="171" fontId="14" fillId="2" borderId="28" xfId="0" applyNumberFormat="1" applyFont="1" applyFill="1" applyBorder="1"/>
    <xf numFmtId="171" fontId="51" fillId="2" borderId="28" xfId="0" applyNumberFormat="1" applyFont="1" applyFill="1" applyBorder="1"/>
    <xf numFmtId="37" fontId="102" fillId="31" borderId="0" xfId="0" applyNumberFormat="1" applyFont="1" applyFill="1" applyAlignment="1">
      <alignment horizontal="right"/>
    </xf>
    <xf numFmtId="37" fontId="102" fillId="31" borderId="12" xfId="0" applyNumberFormat="1" applyFont="1" applyFill="1" applyBorder="1" applyAlignment="1">
      <alignment horizontal="right"/>
    </xf>
    <xf numFmtId="37" fontId="87" fillId="31" borderId="0" xfId="0" applyNumberFormat="1" applyFont="1" applyFill="1" applyAlignment="1">
      <alignment horizontal="right"/>
    </xf>
    <xf numFmtId="37" fontId="87" fillId="31" borderId="12" xfId="0" applyNumberFormat="1" applyFont="1" applyFill="1" applyBorder="1" applyAlignment="1">
      <alignment horizontal="right"/>
    </xf>
    <xf numFmtId="3" fontId="9" fillId="2" borderId="3" xfId="0" applyNumberFormat="1" applyFont="1" applyFill="1" applyBorder="1" applyAlignment="1">
      <alignment horizontal="left" wrapText="1"/>
    </xf>
    <xf numFmtId="3" fontId="9" fillId="2" borderId="16" xfId="0" applyNumberFormat="1" applyFont="1" applyFill="1" applyBorder="1" applyAlignment="1">
      <alignment horizontal="left" wrapText="1"/>
    </xf>
    <xf numFmtId="0" fontId="9" fillId="2" borderId="6"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5" xfId="0" applyFont="1" applyFill="1" applyBorder="1" applyAlignment="1">
      <alignment horizontal="center" wrapText="1"/>
    </xf>
    <xf numFmtId="0" fontId="9" fillId="2" borderId="6" xfId="0" applyFont="1" applyFill="1" applyBorder="1" applyAlignment="1">
      <alignment horizontal="center" wrapText="1"/>
    </xf>
    <xf numFmtId="0" fontId="9" fillId="2" borderId="7" xfId="0" applyFont="1" applyFill="1" applyBorder="1" applyAlignment="1">
      <alignment horizontal="center" wrapText="1"/>
    </xf>
    <xf numFmtId="0" fontId="0" fillId="0" borderId="0" xfId="0" applyAlignment="1">
      <alignment vertical="top"/>
    </xf>
    <xf numFmtId="3" fontId="5" fillId="2" borderId="44" xfId="0" applyNumberFormat="1" applyFont="1" applyFill="1" applyBorder="1"/>
    <xf numFmtId="3" fontId="5" fillId="2" borderId="45" xfId="0" applyNumberFormat="1" applyFont="1" applyFill="1" applyBorder="1"/>
    <xf numFmtId="3" fontId="9" fillId="2" borderId="46" xfId="0" applyNumberFormat="1" applyFont="1" applyFill="1" applyBorder="1"/>
    <xf numFmtId="3" fontId="9" fillId="2" borderId="46" xfId="0" applyNumberFormat="1" applyFont="1" applyFill="1" applyBorder="1" applyAlignment="1">
      <alignment horizontal="right"/>
    </xf>
    <xf numFmtId="166" fontId="15" fillId="2" borderId="25" xfId="0" applyNumberFormat="1" applyFont="1" applyFill="1" applyBorder="1"/>
    <xf numFmtId="3" fontId="14" fillId="31" borderId="1" xfId="0" applyNumberFormat="1" applyFont="1" applyFill="1" applyBorder="1"/>
    <xf numFmtId="3" fontId="14" fillId="2" borderId="11" xfId="0" applyNumberFormat="1" applyFont="1" applyFill="1" applyBorder="1"/>
    <xf numFmtId="3" fontId="14" fillId="31" borderId="11" xfId="0" applyNumberFormat="1" applyFont="1" applyFill="1" applyBorder="1"/>
    <xf numFmtId="3" fontId="9" fillId="2" borderId="28" xfId="0" applyNumberFormat="1" applyFont="1" applyFill="1" applyBorder="1"/>
    <xf numFmtId="3" fontId="8" fillId="0" borderId="0" xfId="0" applyNumberFormat="1" applyFont="1" applyAlignment="1">
      <alignment horizontal="right"/>
    </xf>
    <xf numFmtId="3" fontId="9" fillId="2" borderId="14" xfId="0" applyNumberFormat="1" applyFont="1" applyFill="1" applyBorder="1"/>
    <xf numFmtId="3" fontId="8" fillId="0" borderId="15" xfId="0" applyNumberFormat="1" applyFont="1" applyBorder="1" applyAlignment="1">
      <alignment horizontal="right"/>
    </xf>
    <xf numFmtId="3" fontId="9" fillId="2" borderId="11" xfId="0" applyNumberFormat="1" applyFont="1" applyFill="1" applyBorder="1" applyAlignment="1">
      <alignment horizontal="right"/>
    </xf>
    <xf numFmtId="3" fontId="13" fillId="0" borderId="0" xfId="0" quotePrefix="1" applyNumberFormat="1" applyFont="1" applyAlignment="1">
      <alignment horizontal="right"/>
    </xf>
    <xf numFmtId="3" fontId="13" fillId="2" borderId="0" xfId="0" quotePrefix="1" applyNumberFormat="1" applyFont="1" applyFill="1" applyAlignment="1">
      <alignment horizontal="right"/>
    </xf>
    <xf numFmtId="0" fontId="9" fillId="2" borderId="4" xfId="0" applyFont="1" applyFill="1" applyBorder="1" applyAlignment="1">
      <alignment horizontal="right" wrapText="1"/>
    </xf>
    <xf numFmtId="3" fontId="9" fillId="31" borderId="12" xfId="65" applyNumberFormat="1" applyFont="1" applyFill="1" applyBorder="1" applyAlignment="1">
      <alignment horizontal="right" wrapText="1"/>
    </xf>
    <xf numFmtId="3" fontId="16" fillId="31" borderId="10" xfId="65" applyNumberFormat="1" applyFont="1" applyFill="1" applyBorder="1" applyAlignment="1">
      <alignment horizontal="right" wrapText="1"/>
    </xf>
    <xf numFmtId="3" fontId="11" fillId="0" borderId="10" xfId="123" applyNumberFormat="1" applyBorder="1" applyAlignment="1">
      <alignment horizontal="right" wrapText="1"/>
    </xf>
    <xf numFmtId="3" fontId="9" fillId="2" borderId="12" xfId="65" applyNumberFormat="1" applyFont="1" applyFill="1" applyBorder="1" applyAlignment="1">
      <alignment horizontal="right" wrapText="1"/>
    </xf>
    <xf numFmtId="3" fontId="11" fillId="31" borderId="10" xfId="123" applyNumberFormat="1" applyFill="1" applyBorder="1" applyAlignment="1">
      <alignment horizontal="right" wrapText="1"/>
    </xf>
    <xf numFmtId="3" fontId="11" fillId="31" borderId="10" xfId="123" applyNumberFormat="1" applyFill="1" applyBorder="1"/>
    <xf numFmtId="3" fontId="5" fillId="31" borderId="10" xfId="65" applyNumberFormat="1" applyFont="1" applyFill="1" applyBorder="1" applyAlignment="1">
      <alignment horizontal="right" wrapText="1"/>
    </xf>
    <xf numFmtId="3" fontId="5" fillId="31" borderId="12" xfId="65" applyNumberFormat="1" applyFont="1" applyFill="1" applyBorder="1" applyAlignment="1">
      <alignment horizontal="right" wrapText="1"/>
    </xf>
    <xf numFmtId="3" fontId="9" fillId="2" borderId="4" xfId="65" applyNumberFormat="1" applyFont="1" applyFill="1" applyBorder="1" applyAlignment="1">
      <alignment horizontal="right" vertical="center" wrapText="1"/>
    </xf>
    <xf numFmtId="3" fontId="9" fillId="2" borderId="7" xfId="65" applyNumberFormat="1" applyFont="1" applyFill="1" applyBorder="1" applyAlignment="1">
      <alignment horizontal="right" vertical="center" wrapText="1"/>
    </xf>
    <xf numFmtId="3" fontId="14" fillId="2" borderId="9" xfId="0" applyNumberFormat="1" applyFont="1" applyFill="1" applyBorder="1"/>
    <xf numFmtId="3" fontId="14" fillId="2" borderId="28" xfId="0" applyNumberFormat="1" applyFont="1" applyFill="1" applyBorder="1"/>
    <xf numFmtId="3" fontId="16" fillId="2" borderId="28" xfId="0" applyNumberFormat="1" applyFont="1" applyFill="1" applyBorder="1"/>
    <xf numFmtId="3" fontId="14" fillId="2" borderId="12" xfId="0" applyNumberFormat="1" applyFont="1" applyFill="1" applyBorder="1"/>
    <xf numFmtId="3" fontId="14" fillId="2" borderId="8" xfId="0" applyNumberFormat="1" applyFont="1" applyFill="1" applyBorder="1"/>
    <xf numFmtId="164" fontId="9" fillId="31" borderId="11" xfId="0" applyNumberFormat="1" applyFont="1" applyFill="1" applyBorder="1" applyAlignment="1">
      <alignment horizontal="right" wrapText="1"/>
    </xf>
    <xf numFmtId="164" fontId="9" fillId="31" borderId="0" xfId="0" applyNumberFormat="1" applyFont="1" applyFill="1" applyAlignment="1">
      <alignment horizontal="right" wrapText="1"/>
    </xf>
    <xf numFmtId="164" fontId="9" fillId="31" borderId="12" xfId="0" applyNumberFormat="1" applyFont="1" applyFill="1" applyBorder="1" applyAlignment="1">
      <alignment horizontal="right" wrapText="1"/>
    </xf>
    <xf numFmtId="164" fontId="9" fillId="2" borderId="11" xfId="0" applyNumberFormat="1" applyFont="1" applyFill="1" applyBorder="1" applyAlignment="1">
      <alignment horizontal="right" wrapText="1"/>
    </xf>
    <xf numFmtId="164" fontId="9" fillId="2" borderId="0" xfId="0" applyNumberFormat="1" applyFont="1" applyFill="1" applyAlignment="1">
      <alignment horizontal="right" wrapText="1"/>
    </xf>
    <xf numFmtId="164" fontId="9" fillId="2" borderId="12" xfId="0" applyNumberFormat="1" applyFont="1" applyFill="1" applyBorder="1" applyAlignment="1">
      <alignment horizontal="right" wrapText="1"/>
    </xf>
    <xf numFmtId="164" fontId="9" fillId="0" borderId="12" xfId="0" applyNumberFormat="1" applyFont="1" applyBorder="1" applyAlignment="1">
      <alignment horizontal="right" wrapText="1"/>
    </xf>
    <xf numFmtId="164" fontId="0" fillId="32" borderId="47" xfId="0" applyNumberFormat="1" applyFill="1" applyBorder="1"/>
    <xf numFmtId="164" fontId="0" fillId="32" borderId="45" xfId="0" applyNumberFormat="1" applyFill="1" applyBorder="1"/>
    <xf numFmtId="164" fontId="0" fillId="32" borderId="48" xfId="0" applyNumberFormat="1" applyFill="1" applyBorder="1"/>
    <xf numFmtId="3" fontId="8" fillId="2" borderId="46" xfId="0" applyNumberFormat="1" applyFont="1" applyFill="1" applyBorder="1"/>
    <xf numFmtId="3" fontId="8" fillId="2" borderId="49" xfId="0" applyNumberFormat="1" applyFont="1" applyFill="1" applyBorder="1"/>
    <xf numFmtId="3" fontId="9" fillId="2" borderId="10" xfId="0" quotePrefix="1" applyNumberFormat="1" applyFont="1" applyFill="1" applyBorder="1" applyAlignment="1">
      <alignment horizontal="right"/>
    </xf>
    <xf numFmtId="3" fontId="54" fillId="2" borderId="5" xfId="0" applyNumberFormat="1" applyFont="1" applyFill="1" applyBorder="1" applyAlignment="1">
      <alignment horizontal="left" vertical="center" wrapText="1"/>
    </xf>
    <xf numFmtId="3" fontId="70" fillId="2" borderId="0" xfId="0" applyNumberFormat="1" applyFont="1" applyFill="1" applyAlignment="1">
      <alignment horizontal="left"/>
    </xf>
    <xf numFmtId="3" fontId="9" fillId="2" borderId="5" xfId="0" applyNumberFormat="1" applyFont="1" applyFill="1" applyBorder="1" applyAlignment="1">
      <alignment horizontal="center" vertical="center" wrapText="1"/>
    </xf>
    <xf numFmtId="3" fontId="9" fillId="2" borderId="6" xfId="0" applyNumberFormat="1" applyFont="1" applyFill="1" applyBorder="1" applyAlignment="1">
      <alignment horizontal="center" vertical="center" wrapText="1"/>
    </xf>
    <xf numFmtId="3" fontId="9" fillId="2" borderId="7" xfId="0" applyNumberFormat="1" applyFont="1" applyFill="1" applyBorder="1" applyAlignment="1">
      <alignment horizontal="center" vertical="center" wrapText="1"/>
    </xf>
    <xf numFmtId="3" fontId="9" fillId="2" borderId="4" xfId="0" applyNumberFormat="1" applyFont="1" applyFill="1" applyBorder="1" applyAlignment="1">
      <alignment horizontal="center" vertical="center"/>
    </xf>
    <xf numFmtId="3" fontId="9" fillId="2" borderId="8" xfId="0" applyNumberFormat="1" applyFont="1" applyFill="1" applyBorder="1" applyAlignment="1">
      <alignment horizontal="center" vertical="center" wrapText="1"/>
    </xf>
    <xf numFmtId="3" fontId="9" fillId="2" borderId="11" xfId="0" applyNumberFormat="1" applyFont="1" applyFill="1" applyBorder="1" applyAlignment="1">
      <alignment horizontal="left" wrapText="1"/>
    </xf>
    <xf numFmtId="3" fontId="8" fillId="2" borderId="5" xfId="0" applyNumberFormat="1" applyFont="1" applyFill="1" applyBorder="1" applyAlignment="1">
      <alignment vertical="center"/>
    </xf>
    <xf numFmtId="3" fontId="8" fillId="2" borderId="6" xfId="0" applyNumberFormat="1" applyFont="1" applyFill="1" applyBorder="1" applyAlignment="1">
      <alignment vertical="center"/>
    </xf>
    <xf numFmtId="3" fontId="8" fillId="2" borderId="7" xfId="0" applyNumberFormat="1" applyFont="1" applyFill="1" applyBorder="1" applyAlignment="1">
      <alignment vertical="center"/>
    </xf>
    <xf numFmtId="164" fontId="11" fillId="0" borderId="8" xfId="127" quotePrefix="1" applyNumberFormat="1" applyBorder="1" applyAlignment="1">
      <alignment horizontal="right"/>
    </xf>
    <xf numFmtId="0" fontId="9" fillId="2" borderId="46" xfId="0" applyFont="1" applyFill="1" applyBorder="1" applyAlignment="1">
      <alignment horizontal="left"/>
    </xf>
    <xf numFmtId="164" fontId="9" fillId="2" borderId="46" xfId="0" applyNumberFormat="1" applyFont="1" applyFill="1" applyBorder="1"/>
    <xf numFmtId="172" fontId="0" fillId="0" borderId="1" xfId="0" applyNumberFormat="1" applyBorder="1"/>
    <xf numFmtId="172" fontId="0" fillId="0" borderId="2" xfId="0" applyNumberFormat="1" applyBorder="1"/>
    <xf numFmtId="172" fontId="0" fillId="2" borderId="11" xfId="0" applyNumberFormat="1" applyFill="1" applyBorder="1"/>
    <xf numFmtId="172" fontId="0" fillId="2" borderId="0" xfId="0" applyNumberFormat="1" applyFill="1"/>
    <xf numFmtId="172" fontId="0" fillId="2" borderId="12" xfId="0" quotePrefix="1" applyNumberFormat="1" applyFill="1" applyBorder="1" applyAlignment="1">
      <alignment horizontal="right"/>
    </xf>
    <xf numFmtId="172" fontId="0" fillId="2" borderId="44" xfId="0" applyNumberFormat="1" applyFill="1" applyBorder="1"/>
    <xf numFmtId="172" fontId="0" fillId="2" borderId="45" xfId="0" applyNumberFormat="1" applyFill="1" applyBorder="1"/>
    <xf numFmtId="172" fontId="0" fillId="2" borderId="48" xfId="0" quotePrefix="1" applyNumberFormat="1" applyFill="1" applyBorder="1" applyAlignment="1">
      <alignment horizontal="right"/>
    </xf>
    <xf numFmtId="172" fontId="0" fillId="0" borderId="11" xfId="0" applyNumberFormat="1" applyBorder="1"/>
    <xf numFmtId="172" fontId="0" fillId="0" borderId="0" xfId="0" applyNumberFormat="1"/>
    <xf numFmtId="172" fontId="0" fillId="0" borderId="14" xfId="0" applyNumberFormat="1" applyBorder="1"/>
    <xf numFmtId="172" fontId="0" fillId="0" borderId="15" xfId="0" applyNumberFormat="1" applyBorder="1"/>
    <xf numFmtId="172" fontId="0" fillId="0" borderId="2" xfId="0" applyNumberFormat="1" applyBorder="1" applyAlignment="1">
      <alignment horizontal="right"/>
    </xf>
    <xf numFmtId="172" fontId="0" fillId="0" borderId="26" xfId="0" applyNumberFormat="1" applyBorder="1"/>
    <xf numFmtId="172" fontId="0" fillId="0" borderId="27" xfId="0" applyNumberFormat="1" applyBorder="1"/>
    <xf numFmtId="172" fontId="0" fillId="2" borderId="14" xfId="0" applyNumberFormat="1" applyFill="1" applyBorder="1"/>
    <xf numFmtId="172" fontId="0" fillId="2" borderId="15" xfId="0" applyNumberFormat="1" applyFill="1" applyBorder="1"/>
    <xf numFmtId="0" fontId="8" fillId="2" borderId="6" xfId="0" applyFont="1" applyFill="1" applyBorder="1" applyAlignment="1">
      <alignment horizontal="right"/>
    </xf>
    <xf numFmtId="0" fontId="8" fillId="2" borderId="7" xfId="0" applyFont="1" applyFill="1" applyBorder="1" applyAlignment="1">
      <alignment horizontal="right"/>
    </xf>
    <xf numFmtId="3" fontId="9" fillId="2" borderId="5" xfId="0" applyNumberFormat="1" applyFont="1" applyFill="1" applyBorder="1" applyAlignment="1">
      <alignment horizontal="right" wrapText="1"/>
    </xf>
    <xf numFmtId="3" fontId="9" fillId="2" borderId="6" xfId="0" applyNumberFormat="1" applyFont="1" applyFill="1" applyBorder="1" applyAlignment="1">
      <alignment horizontal="right" wrapText="1"/>
    </xf>
    <xf numFmtId="3" fontId="9" fillId="2" borderId="7" xfId="0" applyNumberFormat="1" applyFont="1" applyFill="1" applyBorder="1" applyAlignment="1">
      <alignment horizontal="right" wrapText="1"/>
    </xf>
    <xf numFmtId="0" fontId="18" fillId="2" borderId="6" xfId="126" applyFont="1" applyFill="1" applyBorder="1" applyAlignment="1">
      <alignment horizontal="center" vertical="center" wrapText="1"/>
    </xf>
    <xf numFmtId="0" fontId="18" fillId="2" borderId="6" xfId="126" applyFont="1" applyFill="1" applyBorder="1" applyAlignment="1">
      <alignment horizontal="center" vertical="center"/>
    </xf>
    <xf numFmtId="3" fontId="16" fillId="2" borderId="7" xfId="0" applyNumberFormat="1" applyFont="1" applyFill="1" applyBorder="1" applyAlignment="1">
      <alignment horizontal="center" vertical="center" wrapText="1"/>
    </xf>
    <xf numFmtId="0" fontId="15" fillId="2" borderId="7" xfId="0" applyFont="1" applyFill="1" applyBorder="1" applyAlignment="1">
      <alignment horizontal="center" wrapText="1"/>
    </xf>
    <xf numFmtId="169" fontId="16" fillId="2" borderId="12" xfId="65" applyNumberFormat="1" applyFont="1" applyFill="1" applyBorder="1"/>
    <xf numFmtId="169" fontId="16" fillId="2" borderId="8" xfId="65" applyNumberFormat="1" applyFont="1" applyFill="1" applyBorder="1"/>
    <xf numFmtId="3" fontId="15" fillId="31" borderId="12" xfId="65" applyNumberFormat="1" applyFont="1" applyFill="1" applyBorder="1" applyAlignment="1">
      <alignment horizontal="right" wrapText="1"/>
    </xf>
    <xf numFmtId="0" fontId="9" fillId="2" borderId="52" xfId="0" applyFont="1" applyFill="1" applyBorder="1" applyAlignment="1">
      <alignment horizontal="left"/>
    </xf>
    <xf numFmtId="3" fontId="9" fillId="2" borderId="53" xfId="0" applyNumberFormat="1" applyFont="1" applyFill="1" applyBorder="1"/>
    <xf numFmtId="3" fontId="9" fillId="2" borderId="54" xfId="0" applyNumberFormat="1" applyFont="1" applyFill="1" applyBorder="1"/>
    <xf numFmtId="0" fontId="9" fillId="2" borderId="55" xfId="0" applyFont="1" applyFill="1" applyBorder="1" applyAlignment="1">
      <alignment horizontal="left"/>
    </xf>
    <xf numFmtId="3" fontId="9" fillId="2" borderId="55" xfId="0" applyNumberFormat="1" applyFont="1" applyFill="1" applyBorder="1"/>
    <xf numFmtId="3" fontId="9" fillId="2" borderId="52" xfId="0" applyNumberFormat="1" applyFont="1" applyFill="1" applyBorder="1"/>
    <xf numFmtId="0" fontId="9" fillId="2" borderId="7" xfId="0" applyFont="1" applyFill="1" applyBorder="1" applyAlignment="1">
      <alignment horizontal="right" wrapText="1"/>
    </xf>
    <xf numFmtId="167" fontId="51" fillId="0" borderId="7" xfId="0" applyNumberFormat="1" applyFont="1" applyBorder="1" applyAlignment="1">
      <alignment vertical="center"/>
    </xf>
    <xf numFmtId="167" fontId="14" fillId="31" borderId="9" xfId="0" applyNumberFormat="1" applyFont="1" applyFill="1" applyBorder="1"/>
    <xf numFmtId="167" fontId="14" fillId="31" borderId="8" xfId="0" applyNumberFormat="1" applyFont="1" applyFill="1" applyBorder="1"/>
    <xf numFmtId="0" fontId="18" fillId="3" borderId="5" xfId="7" applyFont="1" applyFill="1" applyBorder="1" applyAlignment="1">
      <alignment horizontal="center" vertical="center" wrapText="1"/>
    </xf>
    <xf numFmtId="0" fontId="18" fillId="3" borderId="6" xfId="7" applyFont="1" applyFill="1" applyBorder="1" applyAlignment="1">
      <alignment horizontal="center" vertical="center" wrapText="1"/>
    </xf>
    <xf numFmtId="0" fontId="18" fillId="3" borderId="7" xfId="7" applyFont="1" applyFill="1" applyBorder="1" applyAlignment="1">
      <alignment horizontal="center" vertical="center" wrapText="1"/>
    </xf>
    <xf numFmtId="0" fontId="18" fillId="3" borderId="5" xfId="7" applyFont="1" applyFill="1" applyBorder="1" applyAlignment="1">
      <alignment horizontal="center" wrapText="1"/>
    </xf>
    <xf numFmtId="0" fontId="18" fillId="3" borderId="6" xfId="7" applyFont="1" applyFill="1" applyBorder="1" applyAlignment="1">
      <alignment horizontal="center" wrapText="1"/>
    </xf>
    <xf numFmtId="0" fontId="18" fillId="3" borderId="7" xfId="7" applyFont="1" applyFill="1" applyBorder="1" applyAlignment="1">
      <alignment horizontal="center" wrapText="1"/>
    </xf>
    <xf numFmtId="164" fontId="18" fillId="2" borderId="5" xfId="7" applyNumberFormat="1" applyFont="1" applyFill="1" applyBorder="1" applyAlignment="1">
      <alignment horizontal="right" vertical="center" wrapText="1"/>
    </xf>
    <xf numFmtId="164" fontId="18" fillId="2" borderId="7" xfId="7" applyNumberFormat="1" applyFont="1" applyFill="1" applyBorder="1" applyAlignment="1">
      <alignment horizontal="right" vertical="center" wrapText="1"/>
    </xf>
    <xf numFmtId="168" fontId="51" fillId="2" borderId="7" xfId="65" applyNumberFormat="1" applyFont="1" applyFill="1" applyBorder="1" applyAlignment="1">
      <alignment horizontal="right" vertical="center" wrapText="1"/>
    </xf>
    <xf numFmtId="3" fontId="9" fillId="2" borderId="5" xfId="0" applyNumberFormat="1" applyFont="1" applyFill="1" applyBorder="1" applyAlignment="1">
      <alignment horizontal="center" vertical="center"/>
    </xf>
    <xf numFmtId="3" fontId="9" fillId="2" borderId="6" xfId="0" applyNumberFormat="1" applyFont="1" applyFill="1" applyBorder="1" applyAlignment="1">
      <alignment horizontal="center" vertical="center"/>
    </xf>
    <xf numFmtId="3" fontId="8" fillId="2" borderId="5" xfId="0" applyNumberFormat="1" applyFont="1" applyFill="1" applyBorder="1" applyAlignment="1">
      <alignment horizontal="center" vertical="center"/>
    </xf>
    <xf numFmtId="3" fontId="8" fillId="2" borderId="6" xfId="0" applyNumberFormat="1" applyFont="1" applyFill="1" applyBorder="1" applyAlignment="1">
      <alignment horizontal="center" vertical="center"/>
    </xf>
    <xf numFmtId="3" fontId="8" fillId="2" borderId="7" xfId="0" applyNumberFormat="1" applyFont="1" applyFill="1" applyBorder="1" applyAlignment="1">
      <alignment horizontal="center" vertical="center" wrapText="1"/>
    </xf>
    <xf numFmtId="0" fontId="18" fillId="2" borderId="5" xfId="127" applyFont="1" applyFill="1" applyBorder="1" applyAlignment="1">
      <alignment horizontal="center" vertical="center" wrapText="1"/>
    </xf>
    <xf numFmtId="0" fontId="18" fillId="2" borderId="6" xfId="127"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2" borderId="5" xfId="0" applyFont="1" applyFill="1" applyBorder="1" applyAlignment="1">
      <alignment horizontal="right"/>
    </xf>
    <xf numFmtId="0" fontId="9" fillId="2" borderId="6" xfId="0" applyFont="1" applyFill="1" applyBorder="1" applyAlignment="1">
      <alignment horizontal="right"/>
    </xf>
    <xf numFmtId="0" fontId="9" fillId="2" borderId="7" xfId="0" applyFont="1" applyFill="1" applyBorder="1" applyAlignment="1">
      <alignment horizontal="right"/>
    </xf>
    <xf numFmtId="3" fontId="8" fillId="2" borderId="5" xfId="0" applyNumberFormat="1" applyFont="1" applyFill="1" applyBorder="1" applyAlignment="1">
      <alignment horizontal="right"/>
    </xf>
    <xf numFmtId="3" fontId="8" fillId="2" borderId="6" xfId="0" applyNumberFormat="1" applyFont="1" applyFill="1" applyBorder="1" applyAlignment="1">
      <alignment horizontal="right"/>
    </xf>
    <xf numFmtId="3" fontId="8" fillId="2" borderId="7" xfId="0" applyNumberFormat="1" applyFont="1" applyFill="1" applyBorder="1" applyAlignment="1">
      <alignment horizontal="right"/>
    </xf>
    <xf numFmtId="0" fontId="9" fillId="2" borderId="5" xfId="0" applyFont="1" applyFill="1" applyBorder="1" applyAlignment="1">
      <alignment horizontal="right" vertical="center" wrapText="1"/>
    </xf>
    <xf numFmtId="0" fontId="9" fillId="2" borderId="6" xfId="0" applyFont="1" applyFill="1" applyBorder="1" applyAlignment="1">
      <alignment horizontal="right" vertical="center" wrapText="1"/>
    </xf>
    <xf numFmtId="0" fontId="9" fillId="2" borderId="7" xfId="0" applyFont="1" applyFill="1" applyBorder="1" applyAlignment="1">
      <alignment horizontal="right" vertical="center" wrapText="1"/>
    </xf>
    <xf numFmtId="0" fontId="18" fillId="2" borderId="6" xfId="0" applyFont="1" applyFill="1" applyBorder="1" applyAlignment="1">
      <alignment horizontal="center" vertical="center" wrapText="1"/>
    </xf>
    <xf numFmtId="0" fontId="18" fillId="2" borderId="7" xfId="0" applyFont="1" applyFill="1" applyBorder="1" applyAlignment="1">
      <alignment horizontal="center" vertical="center" wrapText="1"/>
    </xf>
    <xf numFmtId="3" fontId="18" fillId="31" borderId="12" xfId="0" applyNumberFormat="1" applyFont="1" applyFill="1" applyBorder="1" applyAlignment="1">
      <alignment horizontal="right" wrapText="1"/>
    </xf>
    <xf numFmtId="3" fontId="18" fillId="2" borderId="12" xfId="0" applyNumberFormat="1" applyFont="1" applyFill="1" applyBorder="1" applyAlignment="1">
      <alignment horizontal="right" vertical="center" wrapText="1"/>
    </xf>
    <xf numFmtId="3" fontId="18" fillId="31" borderId="12" xfId="0" applyNumberFormat="1" applyFont="1" applyFill="1" applyBorder="1" applyAlignment="1">
      <alignment horizontal="right" vertical="center" wrapText="1"/>
    </xf>
    <xf numFmtId="3" fontId="18" fillId="31" borderId="3" xfId="0" applyNumberFormat="1" applyFont="1" applyFill="1" applyBorder="1" applyAlignment="1">
      <alignment horizontal="right" vertical="center" wrapText="1"/>
    </xf>
    <xf numFmtId="0" fontId="2" fillId="0" borderId="0" xfId="139" applyFont="1"/>
    <xf numFmtId="0" fontId="0" fillId="32" borderId="10" xfId="0" applyFill="1" applyBorder="1" applyAlignment="1">
      <alignment horizontal="right"/>
    </xf>
    <xf numFmtId="3" fontId="5" fillId="2" borderId="10" xfId="0" applyNumberFormat="1" applyFont="1" applyFill="1" applyBorder="1" applyAlignment="1">
      <alignment horizontal="right" vertical="center"/>
    </xf>
    <xf numFmtId="3" fontId="5" fillId="31" borderId="10" xfId="0" applyNumberFormat="1" applyFont="1" applyFill="1" applyBorder="1" applyAlignment="1">
      <alignment horizontal="right" vertical="center"/>
    </xf>
    <xf numFmtId="166" fontId="0" fillId="0" borderId="0" xfId="0" applyNumberFormat="1"/>
    <xf numFmtId="0" fontId="104" fillId="0" borderId="0" xfId="0" applyFont="1"/>
    <xf numFmtId="0" fontId="103" fillId="0" borderId="0" xfId="0" applyFont="1" applyAlignment="1">
      <alignment wrapText="1"/>
    </xf>
    <xf numFmtId="3" fontId="9" fillId="2" borderId="16" xfId="0" applyNumberFormat="1" applyFont="1" applyFill="1" applyBorder="1" applyAlignment="1">
      <alignment horizontal="left"/>
    </xf>
    <xf numFmtId="0" fontId="20" fillId="2" borderId="8" xfId="4" applyFill="1" applyBorder="1" applyAlignment="1" applyProtection="1">
      <alignment vertical="center"/>
    </xf>
    <xf numFmtId="0" fontId="9" fillId="2" borderId="5" xfId="0" applyFont="1" applyFill="1" applyBorder="1" applyAlignment="1">
      <alignment horizontal="left"/>
    </xf>
    <xf numFmtId="0" fontId="75" fillId="2" borderId="0" xfId="0" applyFont="1" applyFill="1" applyAlignment="1">
      <alignment horizontal="left" vertical="center"/>
    </xf>
    <xf numFmtId="0" fontId="8" fillId="2" borderId="0" xfId="0" applyFont="1" applyFill="1" applyAlignment="1">
      <alignment horizontal="left" vertical="center" wrapText="1"/>
    </xf>
    <xf numFmtId="0" fontId="47" fillId="2" borderId="58" xfId="0" applyFont="1" applyFill="1" applyBorder="1"/>
    <xf numFmtId="0" fontId="47" fillId="2" borderId="61" xfId="0" applyFont="1" applyFill="1" applyBorder="1"/>
    <xf numFmtId="0" fontId="47" fillId="2" borderId="63" xfId="0" applyFont="1" applyFill="1" applyBorder="1"/>
    <xf numFmtId="0" fontId="47" fillId="2" borderId="66" xfId="0" applyFont="1" applyFill="1" applyBorder="1"/>
    <xf numFmtId="0" fontId="105" fillId="0" borderId="56" xfId="0" applyFont="1" applyBorder="1" applyAlignment="1">
      <alignment horizontal="left" vertical="top" wrapText="1"/>
    </xf>
    <xf numFmtId="0" fontId="106" fillId="0" borderId="0" xfId="4" applyFont="1" applyFill="1" applyAlignment="1" applyProtection="1">
      <alignment wrapText="1"/>
    </xf>
    <xf numFmtId="0" fontId="105" fillId="0" borderId="0" xfId="0" applyFont="1" applyAlignment="1">
      <alignment horizontal="left" vertical="top" wrapText="1"/>
    </xf>
    <xf numFmtId="0" fontId="48" fillId="2" borderId="57" xfId="4" applyFont="1" applyFill="1" applyBorder="1" applyAlignment="1" applyProtection="1"/>
    <xf numFmtId="0" fontId="48" fillId="2" borderId="0" xfId="4" applyFont="1" applyFill="1" applyAlignment="1" applyProtection="1"/>
    <xf numFmtId="0" fontId="48" fillId="2" borderId="60" xfId="4" applyFont="1" applyFill="1" applyBorder="1" applyAlignment="1" applyProtection="1"/>
    <xf numFmtId="0" fontId="47" fillId="0" borderId="61" xfId="0" applyFont="1" applyBorder="1"/>
    <xf numFmtId="0" fontId="48" fillId="2" borderId="0" xfId="4" applyFont="1" applyFill="1" applyBorder="1" applyAlignment="1" applyProtection="1"/>
    <xf numFmtId="0" fontId="47" fillId="0" borderId="63" xfId="0" applyFont="1" applyBorder="1"/>
    <xf numFmtId="0" fontId="48" fillId="2" borderId="65" xfId="4" applyFont="1" applyFill="1" applyBorder="1" applyAlignment="1" applyProtection="1"/>
    <xf numFmtId="0" fontId="47" fillId="0" borderId="0" xfId="0" applyFont="1"/>
    <xf numFmtId="170" fontId="54" fillId="2" borderId="4" xfId="68" applyFont="1" applyFill="1" applyBorder="1" applyAlignment="1">
      <alignment horizontal="right" wrapText="1"/>
    </xf>
    <xf numFmtId="0" fontId="46" fillId="0" borderId="4" xfId="0" applyFont="1" applyBorder="1" applyAlignment="1">
      <alignment horizontal="right"/>
    </xf>
    <xf numFmtId="164" fontId="18" fillId="31" borderId="0" xfId="118" applyNumberFormat="1" applyFont="1" applyFill="1" applyAlignment="1">
      <alignment horizontal="right" wrapText="1"/>
    </xf>
    <xf numFmtId="164" fontId="18" fillId="2" borderId="0" xfId="118" applyNumberFormat="1" applyFont="1" applyFill="1" applyAlignment="1">
      <alignment horizontal="right" wrapText="1"/>
    </xf>
    <xf numFmtId="3" fontId="9" fillId="31" borderId="0" xfId="0" applyNumberFormat="1" applyFont="1" applyFill="1"/>
    <xf numFmtId="167" fontId="9" fillId="31" borderId="0" xfId="0" applyNumberFormat="1" applyFont="1" applyFill="1"/>
    <xf numFmtId="0" fontId="107" fillId="2" borderId="0" xfId="0" applyFont="1" applyFill="1"/>
    <xf numFmtId="3" fontId="5" fillId="0" borderId="15" xfId="0" quotePrefix="1" applyNumberFormat="1" applyFont="1" applyBorder="1"/>
    <xf numFmtId="3" fontId="18" fillId="0" borderId="16" xfId="0" applyNumberFormat="1" applyFont="1" applyBorder="1" applyAlignment="1">
      <alignment horizontal="left" vertical="top"/>
    </xf>
    <xf numFmtId="3" fontId="11" fillId="0" borderId="14" xfId="0" applyNumberFormat="1" applyFont="1" applyBorder="1" applyAlignment="1">
      <alignment horizontal="right" vertical="center" wrapText="1"/>
    </xf>
    <xf numFmtId="3" fontId="11" fillId="0" borderId="15" xfId="0" applyNumberFormat="1" applyFont="1" applyBorder="1" applyAlignment="1">
      <alignment horizontal="right" vertical="center" wrapText="1"/>
    </xf>
    <xf numFmtId="3" fontId="11" fillId="0" borderId="8" xfId="0" applyNumberFormat="1" applyFont="1" applyBorder="1" applyAlignment="1">
      <alignment horizontal="right" vertical="center" wrapText="1"/>
    </xf>
    <xf numFmtId="3" fontId="18" fillId="0" borderId="8" xfId="0" applyNumberFormat="1" applyFont="1" applyBorder="1" applyAlignment="1">
      <alignment horizontal="right" vertical="center" wrapText="1"/>
    </xf>
    <xf numFmtId="3" fontId="5" fillId="0" borderId="16" xfId="0" applyNumberFormat="1" applyFont="1" applyBorder="1" applyAlignment="1">
      <alignment vertical="center"/>
    </xf>
    <xf numFmtId="3" fontId="9" fillId="0" borderId="16" xfId="0" applyNumberFormat="1" applyFont="1" applyBorder="1" applyAlignment="1">
      <alignment vertical="center"/>
    </xf>
    <xf numFmtId="0" fontId="0" fillId="0" borderId="15" xfId="0" applyBorder="1" applyAlignment="1">
      <alignment vertical="center"/>
    </xf>
    <xf numFmtId="3" fontId="5" fillId="0" borderId="14" xfId="0" applyNumberFormat="1" applyFont="1" applyBorder="1" applyAlignment="1">
      <alignment vertical="center"/>
    </xf>
    <xf numFmtId="3" fontId="5" fillId="0" borderId="15" xfId="0" applyNumberFormat="1" applyFont="1" applyBorder="1" applyAlignment="1">
      <alignment vertical="center"/>
    </xf>
    <xf numFmtId="3" fontId="9" fillId="0" borderId="16" xfId="0" quotePrefix="1" applyNumberFormat="1" applyFont="1" applyBorder="1" applyAlignment="1">
      <alignment horizontal="right" vertical="center"/>
    </xf>
    <xf numFmtId="0" fontId="0" fillId="0" borderId="0" xfId="0" pivotButton="1"/>
    <xf numFmtId="0" fontId="0" fillId="0" borderId="0" xfId="0" applyAlignment="1">
      <alignment horizontal="left"/>
    </xf>
    <xf numFmtId="0" fontId="45" fillId="2" borderId="0" xfId="0" applyFont="1" applyFill="1" applyAlignment="1">
      <alignment vertical="center"/>
    </xf>
    <xf numFmtId="3" fontId="9" fillId="2" borderId="14" xfId="0" applyNumberFormat="1" applyFont="1" applyFill="1" applyBorder="1" applyAlignment="1">
      <alignment horizontal="left"/>
    </xf>
    <xf numFmtId="9" fontId="5" fillId="2" borderId="0" xfId="1" applyFont="1" applyFill="1" applyBorder="1"/>
    <xf numFmtId="164" fontId="11" fillId="31" borderId="0" xfId="116" applyNumberFormat="1" applyFill="1" applyAlignment="1">
      <alignment horizontal="right" wrapText="1"/>
    </xf>
    <xf numFmtId="164" fontId="11" fillId="31" borderId="14" xfId="116" applyNumberFormat="1" applyFill="1" applyBorder="1" applyAlignment="1">
      <alignment horizontal="right" wrapText="1"/>
    </xf>
    <xf numFmtId="164" fontId="11" fillId="31" borderId="16" xfId="116" applyNumberFormat="1" applyFill="1" applyBorder="1" applyAlignment="1">
      <alignment horizontal="right" wrapText="1"/>
    </xf>
    <xf numFmtId="164" fontId="11" fillId="31" borderId="8" xfId="116" applyNumberFormat="1" applyFill="1" applyBorder="1" applyAlignment="1">
      <alignment horizontal="right" wrapText="1"/>
    </xf>
    <xf numFmtId="0" fontId="9" fillId="2" borderId="2" xfId="0" applyFont="1" applyFill="1" applyBorder="1" applyAlignment="1">
      <alignment horizontal="center" vertical="center"/>
    </xf>
    <xf numFmtId="3" fontId="5" fillId="31" borderId="8" xfId="0" applyNumberFormat="1" applyFont="1" applyFill="1" applyBorder="1"/>
    <xf numFmtId="164" fontId="5" fillId="0" borderId="0" xfId="120" applyNumberFormat="1" applyFont="1" applyAlignment="1">
      <alignment horizontal="right" wrapText="1"/>
    </xf>
    <xf numFmtId="164" fontId="16" fillId="0" borderId="11" xfId="67" applyNumberFormat="1" applyFont="1" applyBorder="1" applyAlignment="1">
      <alignment horizontal="right" wrapText="1"/>
    </xf>
    <xf numFmtId="164" fontId="11" fillId="31" borderId="9" xfId="120" applyNumberFormat="1" applyFill="1" applyBorder="1" applyAlignment="1">
      <alignment horizontal="right" wrapText="1"/>
    </xf>
    <xf numFmtId="164" fontId="5" fillId="0" borderId="12" xfId="120" applyNumberFormat="1" applyFont="1" applyBorder="1" applyAlignment="1">
      <alignment horizontal="right" wrapText="1"/>
    </xf>
    <xf numFmtId="164" fontId="11" fillId="31" borderId="12" xfId="120" applyNumberFormat="1" applyFill="1" applyBorder="1" applyAlignment="1">
      <alignment horizontal="right" wrapText="1"/>
    </xf>
    <xf numFmtId="166" fontId="15" fillId="31" borderId="3" xfId="0" applyNumberFormat="1" applyFont="1" applyFill="1" applyBorder="1"/>
    <xf numFmtId="164" fontId="13" fillId="31" borderId="1" xfId="0" applyNumberFormat="1" applyFont="1" applyFill="1" applyBorder="1" applyAlignment="1">
      <alignment horizontal="right" wrapText="1"/>
    </xf>
    <xf numFmtId="165" fontId="15" fillId="2" borderId="5" xfId="65" applyFont="1" applyFill="1" applyBorder="1" applyAlignment="1">
      <alignment horizontal="right" vertical="center" wrapText="1"/>
    </xf>
    <xf numFmtId="0" fontId="53" fillId="0" borderId="0" xfId="0" applyFont="1" applyAlignment="1">
      <alignment vertical="center"/>
    </xf>
    <xf numFmtId="3" fontId="53" fillId="2" borderId="0" xfId="0" applyNumberFormat="1" applyFont="1" applyFill="1" applyAlignment="1">
      <alignment vertical="center"/>
    </xf>
    <xf numFmtId="164" fontId="0" fillId="2" borderId="3" xfId="0" applyNumberFormat="1" applyFill="1" applyBorder="1" applyAlignment="1">
      <alignment horizontal="right"/>
    </xf>
    <xf numFmtId="164" fontId="0" fillId="2" borderId="16" xfId="0" applyNumberFormat="1" applyFill="1" applyBorder="1" applyAlignment="1">
      <alignment horizontal="right"/>
    </xf>
    <xf numFmtId="164" fontId="11" fillId="2" borderId="9" xfId="127" quotePrefix="1" applyNumberFormat="1" applyFill="1" applyBorder="1" applyAlignment="1">
      <alignment horizontal="right"/>
    </xf>
    <xf numFmtId="167" fontId="14" fillId="2" borderId="16" xfId="0" quotePrefix="1" applyNumberFormat="1" applyFont="1" applyFill="1" applyBorder="1" applyAlignment="1">
      <alignment horizontal="right"/>
    </xf>
    <xf numFmtId="167" fontId="14" fillId="2" borderId="3" xfId="0" quotePrefix="1" applyNumberFormat="1" applyFont="1" applyFill="1" applyBorder="1" applyAlignment="1">
      <alignment horizontal="right"/>
    </xf>
    <xf numFmtId="167" fontId="14" fillId="2" borderId="10" xfId="0" quotePrefix="1" applyNumberFormat="1" applyFont="1" applyFill="1" applyBorder="1" applyAlignment="1">
      <alignment horizontal="right"/>
    </xf>
    <xf numFmtId="166" fontId="23" fillId="2" borderId="3" xfId="127" applyNumberFormat="1" applyFont="1" applyFill="1" applyBorder="1" applyAlignment="1">
      <alignment horizontal="right"/>
    </xf>
    <xf numFmtId="166" fontId="23" fillId="2" borderId="10" xfId="127" applyNumberFormat="1" applyFont="1" applyFill="1" applyBorder="1" applyAlignment="1">
      <alignment horizontal="right"/>
    </xf>
    <xf numFmtId="166" fontId="23" fillId="2" borderId="16" xfId="127" applyNumberFormat="1" applyFont="1" applyFill="1" applyBorder="1" applyAlignment="1">
      <alignment horizontal="right"/>
    </xf>
    <xf numFmtId="0" fontId="0" fillId="0" borderId="0" xfId="0" quotePrefix="1"/>
    <xf numFmtId="0" fontId="47" fillId="2" borderId="0" xfId="0" applyFont="1" applyFill="1" applyAlignment="1">
      <alignment horizontal="center"/>
    </xf>
    <xf numFmtId="0" fontId="49" fillId="2" borderId="0" xfId="0" applyFont="1" applyFill="1" applyAlignment="1">
      <alignment horizontal="center"/>
    </xf>
    <xf numFmtId="0" fontId="9" fillId="0" borderId="1" xfId="0" applyFont="1" applyBorder="1" applyAlignment="1">
      <alignment horizontal="center" wrapText="1"/>
    </xf>
    <xf numFmtId="164" fontId="0" fillId="0" borderId="2" xfId="0" applyNumberFormat="1" applyBorder="1"/>
    <xf numFmtId="164" fontId="5" fillId="31" borderId="9" xfId="0" applyNumberFormat="1" applyFont="1" applyFill="1" applyBorder="1" applyAlignment="1">
      <alignment horizontal="right"/>
    </xf>
    <xf numFmtId="165" fontId="0" fillId="2" borderId="0" xfId="0" applyNumberFormat="1" applyFill="1"/>
    <xf numFmtId="3" fontId="8" fillId="2" borderId="8" xfId="0" applyNumberFormat="1" applyFont="1" applyFill="1" applyBorder="1"/>
    <xf numFmtId="0" fontId="5" fillId="2" borderId="0" xfId="128" applyFont="1" applyFill="1" applyAlignment="1">
      <alignment horizontal="left"/>
    </xf>
    <xf numFmtId="0" fontId="0" fillId="2" borderId="11" xfId="0" applyFill="1" applyBorder="1" applyAlignment="1">
      <alignment horizontal="left"/>
    </xf>
    <xf numFmtId="3" fontId="0" fillId="0" borderId="0" xfId="0" quotePrefix="1" applyNumberFormat="1"/>
    <xf numFmtId="167" fontId="14" fillId="2" borderId="2" xfId="65" applyNumberFormat="1" applyFont="1" applyFill="1" applyBorder="1" applyAlignment="1">
      <alignment horizontal="right" wrapText="1"/>
    </xf>
    <xf numFmtId="167" fontId="14" fillId="2" borderId="9" xfId="65" applyNumberFormat="1" applyFont="1" applyFill="1" applyBorder="1" applyAlignment="1">
      <alignment horizontal="right" wrapText="1"/>
    </xf>
    <xf numFmtId="167" fontId="23" fillId="2" borderId="0" xfId="65" applyNumberFormat="1" applyFont="1" applyFill="1" applyBorder="1" applyAlignment="1">
      <alignment horizontal="right" wrapText="1"/>
    </xf>
    <xf numFmtId="167" fontId="23" fillId="2" borderId="12" xfId="65" applyNumberFormat="1" applyFont="1" applyFill="1" applyBorder="1" applyAlignment="1">
      <alignment horizontal="right" wrapText="1"/>
    </xf>
    <xf numFmtId="173" fontId="9" fillId="2" borderId="15" xfId="65" applyNumberFormat="1" applyFont="1" applyFill="1" applyBorder="1" applyAlignment="1">
      <alignment horizontal="right" vertical="center" wrapText="1"/>
    </xf>
    <xf numFmtId="173" fontId="9" fillId="2" borderId="8" xfId="65" applyNumberFormat="1" applyFont="1" applyFill="1" applyBorder="1" applyAlignment="1">
      <alignment horizontal="right" vertical="center" wrapText="1"/>
    </xf>
    <xf numFmtId="0" fontId="0" fillId="2" borderId="2" xfId="0" applyFill="1" applyBorder="1" applyAlignment="1">
      <alignment horizontal="right" wrapText="1"/>
    </xf>
    <xf numFmtId="3" fontId="11" fillId="2" borderId="2" xfId="127" applyNumberFormat="1" applyFill="1" applyBorder="1" applyAlignment="1">
      <alignment horizontal="right" wrapText="1"/>
    </xf>
    <xf numFmtId="3" fontId="11" fillId="2" borderId="0" xfId="127" applyNumberFormat="1" applyFill="1" applyAlignment="1">
      <alignment horizontal="right" wrapText="1"/>
    </xf>
    <xf numFmtId="3" fontId="11" fillId="2" borderId="15" xfId="127" applyNumberFormat="1" applyFill="1" applyBorder="1" applyAlignment="1">
      <alignment horizontal="right" wrapText="1"/>
    </xf>
    <xf numFmtId="3" fontId="18" fillId="2" borderId="15" xfId="127" applyNumberFormat="1" applyFont="1" applyFill="1" applyBorder="1" applyAlignment="1">
      <alignment horizontal="right" wrapText="1"/>
    </xf>
    <xf numFmtId="0" fontId="108" fillId="0" borderId="0" xfId="0" applyFont="1" applyAlignment="1">
      <alignment vertical="center"/>
    </xf>
    <xf numFmtId="2" fontId="11" fillId="2" borderId="0" xfId="0" applyNumberFormat="1" applyFont="1" applyFill="1" applyAlignment="1">
      <alignment horizontal="right" vertical="top" wrapText="1"/>
    </xf>
    <xf numFmtId="2" fontId="0" fillId="2" borderId="0" xfId="1" applyNumberFormat="1" applyFont="1" applyFill="1"/>
    <xf numFmtId="3" fontId="5" fillId="31" borderId="43" xfId="0" applyNumberFormat="1" applyFont="1" applyFill="1" applyBorder="1" applyAlignment="1">
      <alignment vertical="center"/>
    </xf>
    <xf numFmtId="164" fontId="11" fillId="31" borderId="2" xfId="92" applyNumberFormat="1" applyFill="1" applyBorder="1" applyAlignment="1">
      <alignment horizontal="right"/>
    </xf>
    <xf numFmtId="164" fontId="11" fillId="0" borderId="0" xfId="92" applyNumberFormat="1" applyAlignment="1">
      <alignment horizontal="right"/>
    </xf>
    <xf numFmtId="164" fontId="11" fillId="31" borderId="11" xfId="92" applyNumberFormat="1" applyFill="1" applyBorder="1" applyAlignment="1">
      <alignment horizontal="right"/>
    </xf>
    <xf numFmtId="164" fontId="11" fillId="31" borderId="0" xfId="92" applyNumberFormat="1" applyFill="1" applyAlignment="1">
      <alignment horizontal="right"/>
    </xf>
    <xf numFmtId="164" fontId="11" fillId="31" borderId="1" xfId="92" applyNumberFormat="1" applyFill="1" applyBorder="1" applyAlignment="1">
      <alignment horizontal="right"/>
    </xf>
    <xf numFmtId="164" fontId="11" fillId="0" borderId="11" xfId="92" applyNumberFormat="1" applyBorder="1" applyAlignment="1">
      <alignment horizontal="right"/>
    </xf>
    <xf numFmtId="166" fontId="23" fillId="31" borderId="0" xfId="116" applyNumberFormat="1" applyFont="1" applyFill="1" applyAlignment="1">
      <alignment horizontal="right" wrapText="1"/>
    </xf>
    <xf numFmtId="0" fontId="6" fillId="0" borderId="10" xfId="0" applyFont="1" applyBorder="1"/>
    <xf numFmtId="167" fontId="14" fillId="31" borderId="11" xfId="1" applyNumberFormat="1" applyFont="1" applyFill="1" applyBorder="1" applyAlignment="1">
      <alignment horizontal="right"/>
    </xf>
    <xf numFmtId="167" fontId="14" fillId="31" borderId="0" xfId="1" applyNumberFormat="1" applyFont="1" applyFill="1" applyBorder="1" applyAlignment="1">
      <alignment horizontal="right"/>
    </xf>
    <xf numFmtId="167" fontId="14" fillId="31" borderId="12" xfId="1" applyNumberFormat="1" applyFont="1" applyFill="1" applyBorder="1" applyAlignment="1">
      <alignment horizontal="right"/>
    </xf>
    <xf numFmtId="167" fontId="14" fillId="2" borderId="11" xfId="1" applyNumberFormat="1" applyFont="1" applyFill="1" applyBorder="1" applyAlignment="1">
      <alignment horizontal="right"/>
    </xf>
    <xf numFmtId="167" fontId="14" fillId="2" borderId="0" xfId="1" applyNumberFormat="1" applyFont="1" applyFill="1" applyBorder="1" applyAlignment="1">
      <alignment horizontal="right"/>
    </xf>
    <xf numFmtId="167" fontId="14" fillId="2" borderId="12" xfId="1" applyNumberFormat="1" applyFont="1" applyFill="1" applyBorder="1" applyAlignment="1">
      <alignment horizontal="right"/>
    </xf>
    <xf numFmtId="168" fontId="14" fillId="31" borderId="11" xfId="0" applyNumberFormat="1" applyFont="1" applyFill="1" applyBorder="1" applyAlignment="1">
      <alignment horizontal="right" wrapText="1"/>
    </xf>
    <xf numFmtId="168" fontId="14" fillId="31" borderId="12" xfId="0" applyNumberFormat="1" applyFont="1" applyFill="1" applyBorder="1" applyAlignment="1">
      <alignment horizontal="right"/>
    </xf>
    <xf numFmtId="168" fontId="14" fillId="2" borderId="11" xfId="0" applyNumberFormat="1" applyFont="1" applyFill="1" applyBorder="1" applyAlignment="1">
      <alignment horizontal="right" wrapText="1"/>
    </xf>
    <xf numFmtId="168" fontId="14" fillId="2" borderId="12" xfId="0" applyNumberFormat="1" applyFont="1" applyFill="1" applyBorder="1" applyAlignment="1">
      <alignment horizontal="right"/>
    </xf>
    <xf numFmtId="168" fontId="14" fillId="2" borderId="12" xfId="0" applyNumberFormat="1" applyFont="1" applyFill="1" applyBorder="1" applyAlignment="1">
      <alignment horizontal="right" wrapText="1"/>
    </xf>
    <xf numFmtId="168" fontId="14" fillId="31" borderId="12" xfId="0" applyNumberFormat="1" applyFont="1" applyFill="1" applyBorder="1" applyAlignment="1">
      <alignment horizontal="right" wrapText="1"/>
    </xf>
    <xf numFmtId="167" fontId="51" fillId="2" borderId="5" xfId="0" applyNumberFormat="1" applyFont="1" applyFill="1" applyBorder="1" applyAlignment="1">
      <alignment horizontal="right" vertical="center" wrapText="1"/>
    </xf>
    <xf numFmtId="167" fontId="51" fillId="2" borderId="7" xfId="0" applyNumberFormat="1" applyFont="1" applyFill="1" applyBorder="1" applyAlignment="1">
      <alignment horizontal="right" vertical="center"/>
    </xf>
    <xf numFmtId="166" fontId="15" fillId="2" borderId="4" xfId="65" applyNumberFormat="1" applyFont="1" applyFill="1" applyBorder="1" applyAlignment="1">
      <alignment horizontal="right" vertical="center" wrapText="1"/>
    </xf>
    <xf numFmtId="166" fontId="15" fillId="2" borderId="7" xfId="65" applyNumberFormat="1" applyFont="1" applyFill="1" applyBorder="1" applyAlignment="1">
      <alignment horizontal="right" vertical="center" wrapText="1"/>
    </xf>
    <xf numFmtId="173" fontId="16" fillId="2" borderId="1" xfId="0" applyNumberFormat="1" applyFont="1" applyFill="1" applyBorder="1"/>
    <xf numFmtId="173" fontId="16" fillId="2" borderId="2" xfId="0" applyNumberFormat="1" applyFont="1" applyFill="1" applyBorder="1"/>
    <xf numFmtId="173" fontId="16" fillId="2" borderId="9" xfId="0" quotePrefix="1" applyNumberFormat="1" applyFont="1" applyFill="1" applyBorder="1" applyAlignment="1">
      <alignment horizontal="right"/>
    </xf>
    <xf numFmtId="173" fontId="16" fillId="2" borderId="11" xfId="0" applyNumberFormat="1" applyFont="1" applyFill="1" applyBorder="1"/>
    <xf numFmtId="173" fontId="16" fillId="2" borderId="0" xfId="0" applyNumberFormat="1" applyFont="1" applyFill="1"/>
    <xf numFmtId="173" fontId="16" fillId="2" borderId="12" xfId="0" quotePrefix="1" applyNumberFormat="1" applyFont="1" applyFill="1" applyBorder="1" applyAlignment="1">
      <alignment horizontal="right"/>
    </xf>
    <xf numFmtId="173" fontId="16" fillId="2" borderId="44" xfId="0" applyNumberFormat="1" applyFont="1" applyFill="1" applyBorder="1" applyAlignment="1">
      <alignment horizontal="right"/>
    </xf>
    <xf numFmtId="173" fontId="16" fillId="2" borderId="45" xfId="0" applyNumberFormat="1" applyFont="1" applyFill="1" applyBorder="1" applyAlignment="1">
      <alignment horizontal="right"/>
    </xf>
    <xf numFmtId="173" fontId="16" fillId="2" borderId="48" xfId="0" applyNumberFormat="1" applyFont="1" applyFill="1" applyBorder="1" applyAlignment="1">
      <alignment horizontal="right"/>
    </xf>
    <xf numFmtId="173" fontId="16" fillId="2" borderId="14" xfId="0" applyNumberFormat="1" applyFont="1" applyFill="1" applyBorder="1"/>
    <xf numFmtId="173" fontId="16" fillId="2" borderId="15" xfId="0" applyNumberFormat="1" applyFont="1" applyFill="1" applyBorder="1"/>
    <xf numFmtId="173" fontId="16" fillId="2" borderId="8" xfId="0" quotePrefix="1" applyNumberFormat="1" applyFont="1" applyFill="1" applyBorder="1" applyAlignment="1">
      <alignment horizontal="right"/>
    </xf>
    <xf numFmtId="171" fontId="16" fillId="2" borderId="1" xfId="0" applyNumberFormat="1" applyFont="1" applyFill="1" applyBorder="1"/>
    <xf numFmtId="171" fontId="16" fillId="2" borderId="2" xfId="0" applyNumberFormat="1" applyFont="1" applyFill="1" applyBorder="1"/>
    <xf numFmtId="171" fontId="16" fillId="2" borderId="9" xfId="0" quotePrefix="1" applyNumberFormat="1" applyFont="1" applyFill="1" applyBorder="1" applyAlignment="1">
      <alignment horizontal="right"/>
    </xf>
    <xf numFmtId="171" fontId="16" fillId="2" borderId="47" xfId="0" applyNumberFormat="1" applyFont="1" applyFill="1" applyBorder="1"/>
    <xf numFmtId="171" fontId="16" fillId="2" borderId="50" xfId="0" applyNumberFormat="1" applyFont="1" applyFill="1" applyBorder="1"/>
    <xf numFmtId="171" fontId="16" fillId="2" borderId="51" xfId="0" quotePrefix="1" applyNumberFormat="1" applyFont="1" applyFill="1" applyBorder="1" applyAlignment="1">
      <alignment horizontal="right"/>
    </xf>
    <xf numFmtId="171" fontId="16" fillId="2" borderId="11" xfId="0" applyNumberFormat="1" applyFont="1" applyFill="1" applyBorder="1"/>
    <xf numFmtId="171" fontId="16" fillId="2" borderId="0" xfId="0" applyNumberFormat="1" applyFont="1" applyFill="1"/>
    <xf numFmtId="171" fontId="16" fillId="2" borderId="12" xfId="0" quotePrefix="1" applyNumberFormat="1" applyFont="1" applyFill="1" applyBorder="1" applyAlignment="1">
      <alignment horizontal="right"/>
    </xf>
    <xf numFmtId="171" fontId="16" fillId="2" borderId="14" xfId="0" applyNumberFormat="1" applyFont="1" applyFill="1" applyBorder="1"/>
    <xf numFmtId="171" fontId="16" fillId="2" borderId="15" xfId="0" applyNumberFormat="1" applyFont="1" applyFill="1" applyBorder="1"/>
    <xf numFmtId="171" fontId="16" fillId="2" borderId="8" xfId="0" quotePrefix="1" applyNumberFormat="1" applyFont="1" applyFill="1" applyBorder="1" applyAlignment="1">
      <alignment horizontal="right"/>
    </xf>
    <xf numFmtId="171" fontId="16" fillId="2" borderId="26" xfId="0" applyNumberFormat="1" applyFont="1" applyFill="1" applyBorder="1"/>
    <xf numFmtId="171" fontId="16" fillId="2" borderId="27" xfId="0" applyNumberFormat="1" applyFont="1" applyFill="1" applyBorder="1"/>
    <xf numFmtId="171" fontId="16" fillId="2" borderId="28" xfId="0" quotePrefix="1" applyNumberFormat="1" applyFont="1" applyFill="1" applyBorder="1" applyAlignment="1">
      <alignment horizontal="right"/>
    </xf>
    <xf numFmtId="171" fontId="16" fillId="2" borderId="12" xfId="0" applyNumberFormat="1" applyFont="1" applyFill="1" applyBorder="1"/>
    <xf numFmtId="168" fontId="14" fillId="31" borderId="11" xfId="0" applyNumberFormat="1" applyFont="1" applyFill="1" applyBorder="1" applyAlignment="1">
      <alignment horizontal="right"/>
    </xf>
    <xf numFmtId="168" fontId="14" fillId="31" borderId="0" xfId="0" applyNumberFormat="1" applyFont="1" applyFill="1" applyAlignment="1">
      <alignment horizontal="right"/>
    </xf>
    <xf numFmtId="168" fontId="14" fillId="2" borderId="11" xfId="0" applyNumberFormat="1" applyFont="1" applyFill="1" applyBorder="1" applyAlignment="1">
      <alignment horizontal="right"/>
    </xf>
    <xf numFmtId="168" fontId="14" fillId="2" borderId="0" xfId="0" applyNumberFormat="1" applyFont="1" applyFill="1" applyAlignment="1">
      <alignment horizontal="right"/>
    </xf>
    <xf numFmtId="168" fontId="15" fillId="2" borderId="5" xfId="0" applyNumberFormat="1" applyFont="1" applyFill="1" applyBorder="1" applyAlignment="1">
      <alignment horizontal="right" vertical="center"/>
    </xf>
    <xf numFmtId="168" fontId="15" fillId="2" borderId="6" xfId="0" applyNumberFormat="1" applyFont="1" applyFill="1" applyBorder="1" applyAlignment="1">
      <alignment horizontal="right" vertical="center"/>
    </xf>
    <xf numFmtId="168" fontId="15" fillId="2" borderId="7" xfId="0" applyNumberFormat="1" applyFont="1" applyFill="1" applyBorder="1" applyAlignment="1">
      <alignment horizontal="right" vertical="center"/>
    </xf>
    <xf numFmtId="168" fontId="14" fillId="31" borderId="1" xfId="0" applyNumberFormat="1" applyFont="1" applyFill="1" applyBorder="1" applyAlignment="1">
      <alignment horizontal="right"/>
    </xf>
    <xf numFmtId="168" fontId="14" fillId="31" borderId="2" xfId="0" applyNumberFormat="1" applyFont="1" applyFill="1" applyBorder="1" applyAlignment="1">
      <alignment horizontal="right"/>
    </xf>
    <xf numFmtId="168" fontId="14" fillId="31" borderId="9" xfId="0" applyNumberFormat="1" applyFont="1" applyFill="1" applyBorder="1" applyAlignment="1">
      <alignment horizontal="right"/>
    </xf>
    <xf numFmtId="168" fontId="9" fillId="2" borderId="5" xfId="0" applyNumberFormat="1" applyFont="1" applyFill="1" applyBorder="1" applyAlignment="1">
      <alignment horizontal="right" vertical="center"/>
    </xf>
    <xf numFmtId="168" fontId="9" fillId="2" borderId="6" xfId="0" applyNumberFormat="1" applyFont="1" applyFill="1" applyBorder="1" applyAlignment="1">
      <alignment horizontal="right" vertical="center"/>
    </xf>
    <xf numFmtId="168" fontId="9" fillId="2" borderId="7" xfId="0" applyNumberFormat="1" applyFont="1" applyFill="1" applyBorder="1" applyAlignment="1">
      <alignment horizontal="right" vertical="center"/>
    </xf>
    <xf numFmtId="168" fontId="14" fillId="0" borderId="11" xfId="0" applyNumberFormat="1" applyFont="1" applyBorder="1" applyAlignment="1">
      <alignment horizontal="right"/>
    </xf>
    <xf numFmtId="168" fontId="14" fillId="0" borderId="0" xfId="0" applyNumberFormat="1" applyFont="1" applyAlignment="1">
      <alignment horizontal="right"/>
    </xf>
    <xf numFmtId="168" fontId="14" fillId="0" borderId="12" xfId="0" applyNumberFormat="1" applyFont="1" applyBorder="1" applyAlignment="1">
      <alignment horizontal="right"/>
    </xf>
    <xf numFmtId="168" fontId="51" fillId="0" borderId="5" xfId="0" applyNumberFormat="1" applyFont="1" applyBorder="1" applyAlignment="1">
      <alignment horizontal="right" vertical="center"/>
    </xf>
    <xf numFmtId="168" fontId="51" fillId="0" borderId="6" xfId="0" applyNumberFormat="1" applyFont="1" applyBorder="1" applyAlignment="1">
      <alignment horizontal="right" vertical="center"/>
    </xf>
    <xf numFmtId="168" fontId="51" fillId="0" borderId="7" xfId="0" applyNumberFormat="1" applyFont="1" applyBorder="1" applyAlignment="1">
      <alignment horizontal="right" vertical="center"/>
    </xf>
    <xf numFmtId="167" fontId="16" fillId="2" borderId="1" xfId="0" applyNumberFormat="1" applyFont="1" applyFill="1" applyBorder="1" applyAlignment="1">
      <alignment horizontal="right"/>
    </xf>
    <xf numFmtId="167" fontId="16" fillId="2" borderId="2" xfId="0" applyNumberFormat="1" applyFont="1" applyFill="1" applyBorder="1" applyAlignment="1">
      <alignment horizontal="right"/>
    </xf>
    <xf numFmtId="167" fontId="16" fillId="2" borderId="9" xfId="0" applyNumberFormat="1" applyFont="1" applyFill="1" applyBorder="1" applyAlignment="1">
      <alignment horizontal="right"/>
    </xf>
    <xf numFmtId="167" fontId="16" fillId="2" borderId="11" xfId="0" applyNumberFormat="1" applyFont="1" applyFill="1" applyBorder="1" applyAlignment="1">
      <alignment horizontal="right"/>
    </xf>
    <xf numFmtId="167" fontId="16" fillId="2" borderId="12" xfId="0" applyNumberFormat="1" applyFont="1" applyFill="1" applyBorder="1" applyAlignment="1">
      <alignment horizontal="right"/>
    </xf>
    <xf numFmtId="167" fontId="16" fillId="2" borderId="14" xfId="0" applyNumberFormat="1" applyFont="1" applyFill="1" applyBorder="1" applyAlignment="1">
      <alignment horizontal="right"/>
    </xf>
    <xf numFmtId="167" fontId="16" fillId="2" borderId="15" xfId="0" applyNumberFormat="1" applyFont="1" applyFill="1" applyBorder="1" applyAlignment="1">
      <alignment horizontal="right"/>
    </xf>
    <xf numFmtId="167" fontId="16" fillId="2" borderId="8" xfId="0" applyNumberFormat="1" applyFont="1" applyFill="1" applyBorder="1" applyAlignment="1">
      <alignment horizontal="right"/>
    </xf>
    <xf numFmtId="168" fontId="16" fillId="31" borderId="11" xfId="0" applyNumberFormat="1" applyFont="1" applyFill="1" applyBorder="1" applyAlignment="1">
      <alignment horizontal="right"/>
    </xf>
    <xf numFmtId="168" fontId="16" fillId="31" borderId="0" xfId="0" applyNumberFormat="1" applyFont="1" applyFill="1" applyAlignment="1">
      <alignment horizontal="right"/>
    </xf>
    <xf numFmtId="168" fontId="16" fillId="31" borderId="12" xfId="0" applyNumberFormat="1" applyFont="1" applyFill="1" applyBorder="1" applyAlignment="1">
      <alignment horizontal="right"/>
    </xf>
    <xf numFmtId="168" fontId="16" fillId="2" borderId="11" xfId="0" applyNumberFormat="1" applyFont="1" applyFill="1" applyBorder="1" applyAlignment="1">
      <alignment horizontal="right"/>
    </xf>
    <xf numFmtId="168" fontId="16" fillId="2" borderId="0" xfId="0" applyNumberFormat="1" applyFont="1" applyFill="1" applyAlignment="1">
      <alignment horizontal="right"/>
    </xf>
    <xf numFmtId="168" fontId="16" fillId="2" borderId="12" xfId="0" applyNumberFormat="1" applyFont="1" applyFill="1" applyBorder="1" applyAlignment="1">
      <alignment horizontal="right"/>
    </xf>
    <xf numFmtId="0" fontId="20" fillId="0" borderId="0" xfId="4" applyFill="1" applyBorder="1" applyAlignment="1" applyProtection="1">
      <alignment wrapText="1"/>
    </xf>
    <xf numFmtId="0" fontId="9" fillId="0" borderId="0" xfId="0" applyFont="1" applyAlignment="1">
      <alignment wrapText="1"/>
    </xf>
    <xf numFmtId="0" fontId="0" fillId="0" borderId="0" xfId="0" applyAlignment="1">
      <alignment wrapText="1"/>
    </xf>
    <xf numFmtId="168" fontId="16" fillId="2" borderId="1" xfId="0" applyNumberFormat="1" applyFont="1" applyFill="1" applyBorder="1"/>
    <xf numFmtId="168" fontId="16" fillId="2" borderId="2" xfId="0" applyNumberFormat="1" applyFont="1" applyFill="1" applyBorder="1"/>
    <xf numFmtId="168" fontId="14" fillId="2" borderId="9" xfId="0" applyNumberFormat="1" applyFont="1" applyFill="1" applyBorder="1"/>
    <xf numFmtId="168" fontId="16" fillId="2" borderId="11" xfId="0" applyNumberFormat="1" applyFont="1" applyFill="1" applyBorder="1"/>
    <xf numFmtId="168" fontId="16" fillId="2" borderId="0" xfId="0" applyNumberFormat="1" applyFont="1" applyFill="1"/>
    <xf numFmtId="168" fontId="14" fillId="2" borderId="12" xfId="0" applyNumberFormat="1" applyFont="1" applyFill="1" applyBorder="1"/>
    <xf numFmtId="168" fontId="16" fillId="2" borderId="14" xfId="0" applyNumberFormat="1" applyFont="1" applyFill="1" applyBorder="1"/>
    <xf numFmtId="168" fontId="16" fillId="2" borderId="15" xfId="0" applyNumberFormat="1" applyFont="1" applyFill="1" applyBorder="1"/>
    <xf numFmtId="168" fontId="14" fillId="2" borderId="8" xfId="0" applyNumberFormat="1" applyFont="1" applyFill="1" applyBorder="1"/>
    <xf numFmtId="168" fontId="14" fillId="0" borderId="2" xfId="0" applyNumberFormat="1" applyFont="1" applyBorder="1"/>
    <xf numFmtId="168" fontId="14" fillId="0" borderId="9" xfId="0" applyNumberFormat="1" applyFont="1" applyBorder="1"/>
    <xf numFmtId="168" fontId="14" fillId="0" borderId="0" xfId="0" applyNumberFormat="1" applyFont="1"/>
    <xf numFmtId="168" fontId="14" fillId="0" borderId="12" xfId="0" applyNumberFormat="1" applyFont="1" applyBorder="1"/>
    <xf numFmtId="168" fontId="14" fillId="0" borderId="15" xfId="0" applyNumberFormat="1" applyFont="1" applyBorder="1"/>
    <xf numFmtId="168" fontId="14" fillId="0" borderId="8" xfId="0" applyNumberFormat="1" applyFont="1" applyBorder="1"/>
    <xf numFmtId="168" fontId="14" fillId="31" borderId="9" xfId="0" applyNumberFormat="1" applyFont="1" applyFill="1" applyBorder="1"/>
    <xf numFmtId="168" fontId="14" fillId="31" borderId="12" xfId="0" applyNumberFormat="1" applyFont="1" applyFill="1" applyBorder="1"/>
    <xf numFmtId="168" fontId="14" fillId="31" borderId="14" xfId="0" applyNumberFormat="1" applyFont="1" applyFill="1" applyBorder="1" applyAlignment="1">
      <alignment horizontal="right"/>
    </xf>
    <xf numFmtId="168" fontId="14" fillId="31" borderId="15" xfId="0" applyNumberFormat="1" applyFont="1" applyFill="1" applyBorder="1" applyAlignment="1">
      <alignment horizontal="right"/>
    </xf>
    <xf numFmtId="168" fontId="14" fillId="31" borderId="8" xfId="0" applyNumberFormat="1" applyFont="1" applyFill="1" applyBorder="1"/>
    <xf numFmtId="168" fontId="51" fillId="2" borderId="14" xfId="0" applyNumberFormat="1" applyFont="1" applyFill="1" applyBorder="1" applyAlignment="1">
      <alignment horizontal="right" vertical="center"/>
    </xf>
    <xf numFmtId="168" fontId="51" fillId="2" borderId="15" xfId="0" applyNumberFormat="1" applyFont="1" applyFill="1" applyBorder="1" applyAlignment="1">
      <alignment horizontal="right" vertical="center"/>
    </xf>
    <xf numFmtId="168" fontId="51" fillId="2" borderId="8" xfId="0" applyNumberFormat="1" applyFont="1" applyFill="1" applyBorder="1" applyAlignment="1">
      <alignment horizontal="right" vertical="center"/>
    </xf>
    <xf numFmtId="168" fontId="16" fillId="31" borderId="2" xfId="0" applyNumberFormat="1" applyFont="1" applyFill="1" applyBorder="1"/>
    <xf numFmtId="168" fontId="16" fillId="31" borderId="0" xfId="0" applyNumberFormat="1" applyFont="1" applyFill="1"/>
    <xf numFmtId="168" fontId="16" fillId="31" borderId="15" xfId="0" applyNumberFormat="1" applyFont="1" applyFill="1" applyBorder="1"/>
    <xf numFmtId="168" fontId="51" fillId="2" borderId="5" xfId="0" applyNumberFormat="1" applyFont="1" applyFill="1" applyBorder="1" applyAlignment="1">
      <alignment horizontal="right" vertical="center"/>
    </xf>
    <xf numFmtId="168" fontId="51" fillId="2" borderId="6" xfId="0" applyNumberFormat="1" applyFont="1" applyFill="1" applyBorder="1" applyAlignment="1">
      <alignment horizontal="right" vertical="center"/>
    </xf>
    <xf numFmtId="168" fontId="15" fillId="2" borderId="6" xfId="0" applyNumberFormat="1" applyFont="1" applyFill="1" applyBorder="1" applyAlignment="1">
      <alignment vertical="center"/>
    </xf>
    <xf numFmtId="168" fontId="51" fillId="2" borderId="7" xfId="0" applyNumberFormat="1" applyFont="1" applyFill="1" applyBorder="1" applyAlignment="1">
      <alignment vertical="center"/>
    </xf>
    <xf numFmtId="0" fontId="109" fillId="0" borderId="0" xfId="0" applyFont="1" applyAlignment="1">
      <alignment horizontal="center" vertical="center" readingOrder="1"/>
    </xf>
    <xf numFmtId="0" fontId="53" fillId="0" borderId="0" xfId="0" applyFont="1" applyAlignment="1">
      <alignment horizontal="left" vertical="center"/>
    </xf>
    <xf numFmtId="0" fontId="53" fillId="0" borderId="0" xfId="0" applyFont="1" applyAlignment="1">
      <alignment horizontal="left" vertical="center" wrapText="1"/>
    </xf>
    <xf numFmtId="0" fontId="9" fillId="0" borderId="5" xfId="0" applyFont="1" applyBorder="1" applyAlignment="1">
      <alignment horizontal="center" wrapText="1"/>
    </xf>
    <xf numFmtId="164" fontId="16" fillId="2" borderId="12" xfId="65" applyNumberFormat="1" applyFont="1" applyFill="1" applyBorder="1"/>
    <xf numFmtId="0" fontId="9" fillId="0" borderId="5" xfId="0" applyFont="1" applyBorder="1"/>
    <xf numFmtId="0" fontId="15" fillId="0" borderId="7" xfId="0" applyFont="1" applyBorder="1" applyAlignment="1">
      <alignment horizontal="center" wrapText="1"/>
    </xf>
    <xf numFmtId="0" fontId="9" fillId="0" borderId="3" xfId="0" applyFont="1" applyBorder="1"/>
    <xf numFmtId="3" fontId="9" fillId="0" borderId="16" xfId="0" applyNumberFormat="1" applyFont="1" applyBorder="1" applyAlignment="1">
      <alignment horizontal="left"/>
    </xf>
    <xf numFmtId="0" fontId="72" fillId="0" borderId="0" xfId="0" applyFont="1"/>
    <xf numFmtId="0" fontId="13" fillId="0" borderId="0" xfId="0" applyFont="1"/>
    <xf numFmtId="3" fontId="9" fillId="0" borderId="11" xfId="0" applyNumberFormat="1" applyFont="1" applyBorder="1" applyAlignment="1">
      <alignment horizontal="left" wrapText="1"/>
    </xf>
    <xf numFmtId="3" fontId="9" fillId="0" borderId="11" xfId="0" applyNumberFormat="1" applyFont="1" applyBorder="1"/>
    <xf numFmtId="168" fontId="14" fillId="2" borderId="1" xfId="0" applyNumberFormat="1" applyFont="1" applyFill="1" applyBorder="1" applyAlignment="1">
      <alignment horizontal="right"/>
    </xf>
    <xf numFmtId="168" fontId="23" fillId="2" borderId="1" xfId="127" quotePrefix="1" applyNumberFormat="1" applyFont="1" applyFill="1" applyBorder="1" applyAlignment="1">
      <alignment horizontal="right"/>
    </xf>
    <xf numFmtId="168" fontId="23" fillId="2" borderId="11" xfId="127" quotePrefix="1" applyNumberFormat="1" applyFont="1" applyFill="1" applyBorder="1" applyAlignment="1">
      <alignment horizontal="right"/>
    </xf>
    <xf numFmtId="168" fontId="14" fillId="2" borderId="14" xfId="0" applyNumberFormat="1" applyFont="1" applyFill="1" applyBorder="1" applyAlignment="1">
      <alignment horizontal="right"/>
    </xf>
    <xf numFmtId="168" fontId="23" fillId="2" borderId="14" xfId="127" quotePrefix="1" applyNumberFormat="1" applyFont="1" applyFill="1" applyBorder="1" applyAlignment="1">
      <alignment horizontal="right"/>
    </xf>
    <xf numFmtId="168" fontId="83" fillId="2" borderId="3" xfId="127" applyNumberFormat="1" applyFont="1" applyFill="1" applyBorder="1" applyAlignment="1">
      <alignment horizontal="right"/>
    </xf>
    <xf numFmtId="168" fontId="83" fillId="2" borderId="10" xfId="127" applyNumberFormat="1" applyFont="1" applyFill="1" applyBorder="1" applyAlignment="1">
      <alignment horizontal="right"/>
    </xf>
    <xf numFmtId="168" fontId="83" fillId="2" borderId="16" xfId="127" applyNumberFormat="1" applyFont="1" applyFill="1" applyBorder="1" applyAlignment="1">
      <alignment horizontal="right"/>
    </xf>
    <xf numFmtId="0" fontId="9" fillId="0" borderId="5" xfId="0" applyFont="1" applyBorder="1" applyAlignment="1">
      <alignment horizontal="center"/>
    </xf>
    <xf numFmtId="0" fontId="9" fillId="0" borderId="6" xfId="0" applyFont="1" applyBorder="1" applyAlignment="1">
      <alignment horizontal="center"/>
    </xf>
    <xf numFmtId="0" fontId="9" fillId="0" borderId="2" xfId="0" applyFont="1" applyBorder="1" applyAlignment="1">
      <alignment horizontal="center"/>
    </xf>
    <xf numFmtId="0" fontId="9" fillId="0" borderId="7" xfId="0" applyFont="1" applyBorder="1" applyAlignment="1">
      <alignment horizontal="center"/>
    </xf>
    <xf numFmtId="0" fontId="9" fillId="0" borderId="3" xfId="0" applyFont="1" applyBorder="1" applyAlignment="1">
      <alignment horizontal="center"/>
    </xf>
    <xf numFmtId="3" fontId="5" fillId="0" borderId="2" xfId="0" applyNumberFormat="1" applyFont="1" applyBorder="1"/>
    <xf numFmtId="3" fontId="9" fillId="0" borderId="3" xfId="0" applyNumberFormat="1" applyFont="1" applyBorder="1"/>
    <xf numFmtId="3" fontId="9" fillId="0" borderId="10" xfId="0" applyNumberFormat="1" applyFont="1" applyBorder="1"/>
    <xf numFmtId="0" fontId="9" fillId="0" borderId="16" xfId="0" applyFont="1" applyBorder="1" applyAlignment="1">
      <alignment horizontal="left"/>
    </xf>
    <xf numFmtId="3" fontId="5" fillId="0" borderId="15" xfId="0" applyNumberFormat="1" applyFont="1" applyBorder="1"/>
    <xf numFmtId="3" fontId="9" fillId="0" borderId="16" xfId="0" applyNumberFormat="1" applyFont="1" applyBorder="1"/>
    <xf numFmtId="0" fontId="9" fillId="0" borderId="1" xfId="0" applyFont="1" applyBorder="1"/>
    <xf numFmtId="3" fontId="5" fillId="0" borderId="1" xfId="0" applyNumberFormat="1" applyFont="1" applyBorder="1"/>
    <xf numFmtId="0" fontId="9" fillId="0" borderId="14" xfId="0" applyFont="1" applyBorder="1" applyAlignment="1">
      <alignment horizontal="left"/>
    </xf>
    <xf numFmtId="3" fontId="5" fillId="0" borderId="14" xfId="0" applyNumberFormat="1" applyFont="1" applyBorder="1"/>
    <xf numFmtId="3" fontId="5" fillId="0" borderId="8" xfId="0" applyNumberFormat="1" applyFont="1" applyBorder="1"/>
    <xf numFmtId="37" fontId="87" fillId="31" borderId="15" xfId="0" applyNumberFormat="1" applyFont="1" applyFill="1" applyBorder="1" applyAlignment="1">
      <alignment horizontal="right"/>
    </xf>
    <xf numFmtId="37" fontId="87" fillId="31" borderId="8" xfId="0" applyNumberFormat="1" applyFont="1" applyFill="1" applyBorder="1" applyAlignment="1">
      <alignment horizontal="right"/>
    </xf>
    <xf numFmtId="167" fontId="11" fillId="2" borderId="0" xfId="0" applyNumberFormat="1" applyFont="1" applyFill="1" applyAlignment="1">
      <alignment horizontal="right" vertical="top" wrapText="1"/>
    </xf>
    <xf numFmtId="0" fontId="72" fillId="2" borderId="0" xfId="0" applyFont="1" applyFill="1" applyAlignment="1">
      <alignment horizontal="left" wrapText="1"/>
    </xf>
    <xf numFmtId="0" fontId="0" fillId="0" borderId="0" xfId="0" applyAlignment="1">
      <alignment horizontal="left" wrapText="1"/>
    </xf>
    <xf numFmtId="166" fontId="16" fillId="31" borderId="10" xfId="65" applyNumberFormat="1" applyFont="1" applyFill="1" applyBorder="1" applyAlignment="1">
      <alignment horizontal="right" wrapText="1"/>
    </xf>
    <xf numFmtId="166" fontId="15" fillId="31" borderId="12" xfId="65" applyNumberFormat="1" applyFont="1" applyFill="1" applyBorder="1" applyAlignment="1">
      <alignment horizontal="right" wrapText="1"/>
    </xf>
    <xf numFmtId="166" fontId="16" fillId="2" borderId="10" xfId="65" applyNumberFormat="1" applyFont="1" applyFill="1" applyBorder="1" applyAlignment="1">
      <alignment horizontal="right" wrapText="1"/>
    </xf>
    <xf numFmtId="166" fontId="15" fillId="2" borderId="12" xfId="65" applyNumberFormat="1" applyFont="1" applyFill="1" applyBorder="1" applyAlignment="1">
      <alignment horizontal="right" wrapText="1"/>
    </xf>
    <xf numFmtId="0" fontId="112" fillId="0" borderId="0" xfId="0" applyFont="1" applyAlignment="1">
      <alignment horizontal="center" vertical="center"/>
    </xf>
    <xf numFmtId="0" fontId="113" fillId="0" borderId="0" xfId="0" applyFont="1" applyAlignment="1">
      <alignment horizontal="center"/>
    </xf>
    <xf numFmtId="0" fontId="114" fillId="0" borderId="0" xfId="0" applyFont="1" applyAlignment="1">
      <alignment horizontal="center"/>
    </xf>
    <xf numFmtId="0" fontId="115" fillId="0" borderId="0" xfId="4" applyFont="1" applyFill="1" applyBorder="1" applyAlignment="1" applyProtection="1">
      <alignment horizontal="center"/>
    </xf>
    <xf numFmtId="0" fontId="116" fillId="0" borderId="0" xfId="0" applyFont="1"/>
    <xf numFmtId="0" fontId="117" fillId="0" borderId="0" xfId="0" applyFont="1"/>
    <xf numFmtId="0" fontId="113" fillId="0" borderId="0" xfId="0" applyFont="1"/>
    <xf numFmtId="0" fontId="113" fillId="0" borderId="0" xfId="0" applyFont="1" applyAlignment="1">
      <alignment horizontal="left"/>
    </xf>
    <xf numFmtId="0" fontId="113" fillId="65" borderId="0" xfId="0" applyFont="1" applyFill="1"/>
    <xf numFmtId="0" fontId="115" fillId="0" borderId="0" xfId="4" applyFont="1" applyAlignment="1" applyProtection="1"/>
    <xf numFmtId="0" fontId="113" fillId="0" borderId="0" xfId="0" applyFont="1" applyAlignment="1">
      <alignment horizontal="left" vertical="center" wrapText="1"/>
    </xf>
    <xf numFmtId="0" fontId="117" fillId="0" borderId="0" xfId="0" applyFont="1" applyAlignment="1">
      <alignment vertical="center"/>
    </xf>
    <xf numFmtId="0" fontId="113" fillId="0" borderId="0" xfId="0" applyFont="1" applyAlignment="1">
      <alignment wrapText="1"/>
    </xf>
    <xf numFmtId="0" fontId="117" fillId="0" borderId="0" xfId="0" applyFont="1" applyAlignment="1">
      <alignment horizontal="left"/>
    </xf>
    <xf numFmtId="0" fontId="117" fillId="0" borderId="0" xfId="0" applyFont="1" applyAlignment="1">
      <alignment wrapText="1"/>
    </xf>
    <xf numFmtId="0" fontId="117" fillId="0" borderId="0" xfId="0" applyFont="1" applyAlignment="1">
      <alignment horizontal="left" wrapText="1"/>
    </xf>
    <xf numFmtId="0" fontId="115" fillId="2" borderId="0" xfId="4" applyFont="1" applyFill="1" applyAlignment="1" applyProtection="1">
      <alignment horizontal="left"/>
    </xf>
    <xf numFmtId="0" fontId="5" fillId="0" borderId="0" xfId="0" applyFont="1" applyAlignment="1">
      <alignment wrapText="1"/>
    </xf>
    <xf numFmtId="0" fontId="5" fillId="2" borderId="0" xfId="0" applyFont="1" applyFill="1" applyAlignment="1">
      <alignment wrapText="1"/>
    </xf>
    <xf numFmtId="0" fontId="5" fillId="2" borderId="0" xfId="0" quotePrefix="1" applyFont="1" applyFill="1" applyAlignment="1">
      <alignment horizontal="left"/>
    </xf>
    <xf numFmtId="0" fontId="20" fillId="2" borderId="0" xfId="4" applyFill="1" applyAlignment="1" applyProtection="1">
      <alignment horizontal="right"/>
    </xf>
    <xf numFmtId="0" fontId="20" fillId="0" borderId="0" xfId="4" applyAlignment="1" applyProtection="1">
      <alignment vertical="center"/>
    </xf>
    <xf numFmtId="0" fontId="8" fillId="2" borderId="0" xfId="0" applyFont="1" applyFill="1" applyAlignment="1">
      <alignment horizontal="left"/>
    </xf>
    <xf numFmtId="0" fontId="20" fillId="0" borderId="0" xfId="4" applyFill="1" applyAlignment="1" applyProtection="1"/>
    <xf numFmtId="167" fontId="16" fillId="0" borderId="12" xfId="0" applyNumberFormat="1" applyFont="1" applyBorder="1"/>
    <xf numFmtId="3" fontId="13" fillId="0" borderId="11" xfId="0" applyNumberFormat="1" applyFont="1" applyBorder="1"/>
    <xf numFmtId="0" fontId="5" fillId="0" borderId="14" xfId="0" applyFont="1" applyBorder="1"/>
    <xf numFmtId="167" fontId="16" fillId="0" borderId="8" xfId="0" applyNumberFormat="1" applyFont="1" applyBorder="1"/>
    <xf numFmtId="3" fontId="13" fillId="0" borderId="14" xfId="0" applyNumberFormat="1" applyFont="1" applyBorder="1"/>
    <xf numFmtId="0" fontId="9" fillId="0" borderId="0" xfId="0" applyFont="1" applyAlignment="1">
      <alignment horizontal="left"/>
    </xf>
    <xf numFmtId="0" fontId="20" fillId="0" borderId="0" xfId="4" applyFill="1" applyAlignment="1" applyProtection="1">
      <alignment horizontal="left" wrapText="1"/>
    </xf>
    <xf numFmtId="0" fontId="14" fillId="0" borderId="0" xfId="0" applyFont="1" applyAlignment="1">
      <alignment horizontal="left" wrapText="1"/>
    </xf>
    <xf numFmtId="0" fontId="9" fillId="0" borderId="0" xfId="0" applyFont="1"/>
    <xf numFmtId="3" fontId="13" fillId="0" borderId="1" xfId="0" applyNumberFormat="1" applyFont="1" applyBorder="1"/>
    <xf numFmtId="167" fontId="16" fillId="0" borderId="9" xfId="0" applyNumberFormat="1" applyFont="1" applyBorder="1"/>
    <xf numFmtId="3" fontId="0" fillId="0" borderId="1" xfId="0" applyNumberFormat="1" applyBorder="1"/>
    <xf numFmtId="0" fontId="13" fillId="0" borderId="1" xfId="0" applyFont="1" applyBorder="1"/>
    <xf numFmtId="3" fontId="13" fillId="0" borderId="26" xfId="0" applyNumberFormat="1" applyFont="1" applyBorder="1"/>
    <xf numFmtId="167" fontId="16" fillId="0" borderId="28" xfId="0" applyNumberFormat="1" applyFont="1" applyBorder="1"/>
    <xf numFmtId="3" fontId="13" fillId="0" borderId="67" xfId="0" applyNumberFormat="1" applyFont="1" applyBorder="1"/>
    <xf numFmtId="0" fontId="13" fillId="0" borderId="11" xfId="0" applyFont="1" applyBorder="1"/>
    <xf numFmtId="0" fontId="0" fillId="0" borderId="14" xfId="0" applyBorder="1"/>
    <xf numFmtId="0" fontId="17" fillId="0" borderId="0" xfId="0" applyFont="1"/>
    <xf numFmtId="0" fontId="72" fillId="0" borderId="0" xfId="0" applyFont="1" applyAlignment="1">
      <alignment horizontal="left"/>
    </xf>
    <xf numFmtId="3" fontId="0" fillId="2" borderId="0" xfId="0" applyNumberFormat="1" applyFill="1" applyAlignment="1">
      <alignment horizontal="left"/>
    </xf>
    <xf numFmtId="0" fontId="5" fillId="0" borderId="0" xfId="0" quotePrefix="1" applyFont="1" applyAlignment="1">
      <alignment horizontal="left"/>
    </xf>
    <xf numFmtId="0" fontId="72" fillId="2" borderId="0" xfId="4" applyFont="1" applyFill="1" applyBorder="1" applyAlignment="1" applyProtection="1">
      <alignment wrapText="1"/>
    </xf>
    <xf numFmtId="0" fontId="5" fillId="0" borderId="0" xfId="0" quotePrefix="1" applyFont="1" applyAlignment="1">
      <alignment wrapText="1"/>
    </xf>
    <xf numFmtId="0" fontId="5" fillId="2" borderId="0" xfId="4" applyFont="1" applyFill="1" applyBorder="1" applyAlignment="1" applyProtection="1">
      <alignment wrapText="1"/>
    </xf>
    <xf numFmtId="0" fontId="5" fillId="2" borderId="0" xfId="4" applyFont="1" applyFill="1" applyBorder="1" applyAlignment="1" applyProtection="1">
      <alignment horizontal="left" wrapText="1"/>
    </xf>
    <xf numFmtId="0" fontId="45" fillId="0" borderId="15" xfId="0" applyFont="1" applyBorder="1" applyAlignment="1">
      <alignment horizontal="right"/>
    </xf>
    <xf numFmtId="0" fontId="87" fillId="31" borderId="11" xfId="0" applyFont="1" applyFill="1" applyBorder="1" applyAlignment="1">
      <alignment horizontal="right"/>
    </xf>
    <xf numFmtId="0" fontId="87" fillId="0" borderId="11" xfId="0" applyFont="1" applyBorder="1" applyAlignment="1">
      <alignment horizontal="right"/>
    </xf>
    <xf numFmtId="0" fontId="87" fillId="31" borderId="14" xfId="0" applyFont="1" applyFill="1" applyBorder="1" applyAlignment="1">
      <alignment horizontal="right"/>
    </xf>
    <xf numFmtId="0" fontId="0" fillId="0" borderId="4" xfId="0" applyBorder="1" applyAlignment="1">
      <alignment horizontal="right" wrapText="1"/>
    </xf>
    <xf numFmtId="0" fontId="87" fillId="31" borderId="1" xfId="0" applyFont="1" applyFill="1" applyBorder="1" applyAlignment="1">
      <alignment horizontal="right"/>
    </xf>
    <xf numFmtId="3" fontId="86" fillId="2" borderId="3" xfId="0" applyNumberFormat="1" applyFont="1" applyFill="1" applyBorder="1" applyAlignment="1">
      <alignment horizontal="center" wrapText="1"/>
    </xf>
    <xf numFmtId="3" fontId="87" fillId="31" borderId="0" xfId="0" applyNumberFormat="1" applyFont="1" applyFill="1" applyAlignment="1">
      <alignment horizontal="right"/>
    </xf>
    <xf numFmtId="3" fontId="87" fillId="0" borderId="0" xfId="0" applyNumberFormat="1" applyFont="1" applyAlignment="1">
      <alignment horizontal="right"/>
    </xf>
    <xf numFmtId="3" fontId="87" fillId="31" borderId="2" xfId="0" applyNumberFormat="1" applyFont="1" applyFill="1" applyBorder="1" applyAlignment="1">
      <alignment horizontal="right"/>
    </xf>
    <xf numFmtId="3" fontId="87" fillId="31" borderId="9" xfId="0" applyNumberFormat="1" applyFont="1" applyFill="1" applyBorder="1" applyAlignment="1">
      <alignment horizontal="right"/>
    </xf>
    <xf numFmtId="3" fontId="87" fillId="0" borderId="12" xfId="0" applyNumberFormat="1" applyFont="1" applyBorder="1" applyAlignment="1">
      <alignment horizontal="right"/>
    </xf>
    <xf numFmtId="3" fontId="87" fillId="31" borderId="12" xfId="0" applyNumberFormat="1" applyFont="1" applyFill="1" applyBorder="1" applyAlignment="1">
      <alignment horizontal="right"/>
    </xf>
    <xf numFmtId="3" fontId="87" fillId="31" borderId="15" xfId="0" applyNumberFormat="1" applyFont="1" applyFill="1" applyBorder="1" applyAlignment="1">
      <alignment horizontal="right"/>
    </xf>
    <xf numFmtId="3" fontId="87" fillId="31" borderId="8" xfId="0" applyNumberFormat="1" applyFont="1" applyFill="1" applyBorder="1" applyAlignment="1">
      <alignment horizontal="right"/>
    </xf>
    <xf numFmtId="166" fontId="51" fillId="0" borderId="4" xfId="0" applyNumberFormat="1" applyFont="1" applyBorder="1" applyAlignment="1">
      <alignment vertical="center"/>
    </xf>
    <xf numFmtId="166" fontId="0" fillId="0" borderId="14" xfId="0" applyNumberFormat="1" applyBorder="1"/>
    <xf numFmtId="0" fontId="5" fillId="0" borderId="0" xfId="0" applyFont="1" applyAlignment="1">
      <alignment horizontal="left"/>
    </xf>
    <xf numFmtId="0" fontId="8" fillId="0" borderId="0" xfId="0" applyFont="1" applyAlignment="1">
      <alignment horizontal="left"/>
    </xf>
    <xf numFmtId="0" fontId="5" fillId="0" borderId="0" xfId="0" applyFont="1" applyAlignment="1">
      <alignment horizontal="left" vertical="top" wrapText="1"/>
    </xf>
    <xf numFmtId="166" fontId="16" fillId="0" borderId="0" xfId="0" applyNumberFormat="1" applyFont="1"/>
    <xf numFmtId="3" fontId="8" fillId="0" borderId="10" xfId="0" applyNumberFormat="1" applyFont="1" applyBorder="1"/>
    <xf numFmtId="0" fontId="105" fillId="0" borderId="59" xfId="0" applyFont="1" applyBorder="1" applyAlignment="1">
      <alignment horizontal="left" vertical="top" wrapText="1"/>
    </xf>
    <xf numFmtId="0" fontId="105" fillId="0" borderId="64" xfId="0" applyFont="1" applyBorder="1" applyAlignment="1">
      <alignment horizontal="left" vertical="top" wrapText="1"/>
    </xf>
    <xf numFmtId="0" fontId="105" fillId="0" borderId="62" xfId="0" applyFont="1" applyBorder="1" applyAlignment="1">
      <alignment horizontal="left" vertical="top" wrapText="1"/>
    </xf>
    <xf numFmtId="0" fontId="117" fillId="67" borderId="0" xfId="0" applyFont="1" applyFill="1"/>
    <xf numFmtId="0" fontId="118" fillId="67" borderId="0" xfId="0" applyFont="1" applyFill="1"/>
    <xf numFmtId="0" fontId="117" fillId="68" borderId="0" xfId="0" applyFont="1" applyFill="1"/>
    <xf numFmtId="0" fontId="48" fillId="0" borderId="0" xfId="4" applyFont="1" applyFill="1" applyBorder="1" applyAlignment="1" applyProtection="1"/>
    <xf numFmtId="0" fontId="113" fillId="0" borderId="0" xfId="0" applyFont="1" applyAlignment="1">
      <alignment vertical="center" wrapText="1"/>
    </xf>
    <xf numFmtId="0" fontId="46" fillId="0" borderId="59" xfId="0" applyFont="1" applyBorder="1" applyAlignment="1">
      <alignment vertical="top" wrapText="1"/>
    </xf>
    <xf numFmtId="0" fontId="47" fillId="2" borderId="60" xfId="0" applyFont="1" applyFill="1" applyBorder="1"/>
    <xf numFmtId="3" fontId="17" fillId="0" borderId="0" xfId="0" applyNumberFormat="1" applyFont="1"/>
    <xf numFmtId="0" fontId="8" fillId="2" borderId="0" xfId="0" applyFont="1" applyFill="1" applyAlignment="1">
      <alignment horizontal="center" vertical="center"/>
    </xf>
    <xf numFmtId="164" fontId="9" fillId="2" borderId="0" xfId="0" applyNumberFormat="1" applyFont="1" applyFill="1" applyAlignment="1">
      <alignment vertical="center"/>
    </xf>
    <xf numFmtId="0" fontId="53" fillId="0" borderId="0" xfId="0" applyFont="1" applyAlignment="1">
      <alignment vertical="center" wrapText="1"/>
    </xf>
    <xf numFmtId="0" fontId="0" fillId="69" borderId="68" xfId="0" applyFill="1" applyBorder="1"/>
    <xf numFmtId="0" fontId="0" fillId="0" borderId="68" xfId="0" applyBorder="1" applyAlignment="1">
      <alignment vertical="top"/>
    </xf>
    <xf numFmtId="0" fontId="0" fillId="0" borderId="68" xfId="0" applyBorder="1"/>
    <xf numFmtId="0" fontId="0" fillId="69" borderId="68" xfId="0" quotePrefix="1" applyFill="1" applyBorder="1"/>
    <xf numFmtId="0" fontId="0" fillId="0" borderId="68" xfId="0" quotePrefix="1" applyBorder="1"/>
    <xf numFmtId="0" fontId="0" fillId="0" borderId="0" xfId="0" applyAlignment="1">
      <alignment horizontal="center" wrapText="1"/>
    </xf>
    <xf numFmtId="0" fontId="117" fillId="0" borderId="0" xfId="0" applyFont="1" applyAlignment="1">
      <alignment horizontal="left" wrapText="1"/>
    </xf>
    <xf numFmtId="0" fontId="113" fillId="0" borderId="0" xfId="0" applyFont="1" applyAlignment="1">
      <alignment horizontal="left" vertical="center" wrapText="1"/>
    </xf>
    <xf numFmtId="0" fontId="118" fillId="66" borderId="0" xfId="0" applyFont="1" applyFill="1" applyAlignment="1">
      <alignment horizontal="left"/>
    </xf>
    <xf numFmtId="0" fontId="119" fillId="2" borderId="0" xfId="0" applyFont="1" applyFill="1" applyAlignment="1">
      <alignment horizontal="left" wrapText="1"/>
    </xf>
    <xf numFmtId="0" fontId="117" fillId="0" borderId="0" xfId="0" applyFont="1" applyAlignment="1">
      <alignment horizontal="left"/>
    </xf>
    <xf numFmtId="0" fontId="105" fillId="0" borderId="59" xfId="0" applyFont="1" applyBorder="1" applyAlignment="1">
      <alignment horizontal="left" vertical="top" wrapText="1"/>
    </xf>
    <xf numFmtId="0" fontId="105" fillId="0" borderId="64" xfId="0" applyFont="1" applyBorder="1" applyAlignment="1">
      <alignment horizontal="left" vertical="top" wrapText="1"/>
    </xf>
    <xf numFmtId="0" fontId="105" fillId="0" borderId="62" xfId="0" applyFont="1" applyBorder="1" applyAlignment="1">
      <alignment horizontal="left" vertical="top" wrapText="1"/>
    </xf>
    <xf numFmtId="0" fontId="18" fillId="2" borderId="3" xfId="0" applyFont="1" applyFill="1" applyBorder="1" applyAlignment="1">
      <alignment horizontal="center" vertical="center" wrapText="1"/>
    </xf>
    <xf numFmtId="0" fontId="18" fillId="2" borderId="16" xfId="0" applyFont="1" applyFill="1" applyBorder="1" applyAlignment="1">
      <alignment horizontal="center" vertical="center" wrapText="1"/>
    </xf>
    <xf numFmtId="3" fontId="18" fillId="2" borderId="0" xfId="0" applyNumberFormat="1" applyFont="1" applyFill="1" applyAlignment="1">
      <alignment horizontal="center" vertical="center"/>
    </xf>
    <xf numFmtId="3" fontId="18" fillId="2" borderId="5" xfId="0" applyNumberFormat="1" applyFont="1" applyFill="1" applyBorder="1" applyAlignment="1">
      <alignment horizontal="center" vertical="center"/>
    </xf>
    <xf numFmtId="3" fontId="18" fillId="2" borderId="6" xfId="0" applyNumberFormat="1" applyFont="1" applyFill="1" applyBorder="1" applyAlignment="1">
      <alignment horizontal="center" vertical="center"/>
    </xf>
    <xf numFmtId="3" fontId="18" fillId="2" borderId="1" xfId="0" applyNumberFormat="1" applyFont="1" applyFill="1" applyBorder="1" applyAlignment="1">
      <alignment horizontal="center" vertical="center"/>
    </xf>
    <xf numFmtId="3" fontId="18" fillId="2" borderId="9" xfId="0" applyNumberFormat="1" applyFont="1" applyFill="1" applyBorder="1" applyAlignment="1">
      <alignment horizontal="center" vertical="center"/>
    </xf>
    <xf numFmtId="3" fontId="18" fillId="2" borderId="7" xfId="0" applyNumberFormat="1" applyFont="1" applyFill="1" applyBorder="1" applyAlignment="1">
      <alignment horizontal="center" vertical="center"/>
    </xf>
    <xf numFmtId="0" fontId="53" fillId="0" borderId="0" xfId="0" applyFont="1" applyAlignment="1">
      <alignment horizontal="left" vertical="center"/>
    </xf>
    <xf numFmtId="0" fontId="9" fillId="2" borderId="3" xfId="0" applyFont="1" applyFill="1" applyBorder="1" applyAlignment="1">
      <alignment horizontal="left"/>
    </xf>
    <xf numFmtId="0" fontId="9" fillId="2" borderId="16" xfId="0" applyFont="1" applyFill="1" applyBorder="1" applyAlignment="1">
      <alignment horizontal="left"/>
    </xf>
    <xf numFmtId="0" fontId="18" fillId="2" borderId="10" xfId="0" applyFont="1" applyFill="1" applyBorder="1" applyAlignment="1">
      <alignment horizontal="center" vertical="center" wrapText="1"/>
    </xf>
    <xf numFmtId="0" fontId="103" fillId="0" borderId="0" xfId="0" applyFont="1" applyAlignment="1">
      <alignment horizontal="left" wrapText="1"/>
    </xf>
    <xf numFmtId="0" fontId="45" fillId="2" borderId="0" xfId="0" applyFont="1" applyFill="1" applyAlignment="1">
      <alignment horizontal="left" vertical="center"/>
    </xf>
    <xf numFmtId="0" fontId="73" fillId="33" borderId="0" xfId="4" applyFont="1" applyFill="1" applyAlignment="1" applyProtection="1">
      <alignment horizontal="left"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4" xfId="0" applyFont="1" applyFill="1" applyBorder="1" applyAlignment="1">
      <alignment horizontal="center" vertical="center"/>
    </xf>
    <xf numFmtId="0" fontId="0" fillId="2" borderId="0" xfId="0" applyFill="1" applyAlignment="1">
      <alignment horizontal="left"/>
    </xf>
    <xf numFmtId="0" fontId="9"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3" xfId="0" applyFont="1" applyFill="1" applyBorder="1" applyAlignment="1">
      <alignment horizontal="center" vertical="center"/>
    </xf>
    <xf numFmtId="0" fontId="45" fillId="0" borderId="0" xfId="0" applyFont="1" applyAlignment="1">
      <alignment vertical="center"/>
    </xf>
    <xf numFmtId="0" fontId="5" fillId="2" borderId="0" xfId="0" applyFont="1" applyFill="1" applyAlignment="1">
      <alignment horizontal="left"/>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53" fillId="2" borderId="0" xfId="0" applyFont="1" applyFill="1" applyAlignment="1">
      <alignment vertical="center"/>
    </xf>
    <xf numFmtId="0" fontId="5" fillId="0" borderId="0" xfId="0" applyFont="1" applyAlignment="1">
      <alignment horizontal="left" wrapText="1"/>
    </xf>
    <xf numFmtId="0" fontId="53" fillId="2" borderId="0" xfId="0" applyFont="1" applyFill="1" applyAlignment="1">
      <alignment horizontal="left" vertical="center"/>
    </xf>
    <xf numFmtId="0" fontId="9" fillId="2" borderId="15" xfId="0" applyFont="1" applyFill="1" applyBorder="1" applyAlignment="1">
      <alignment horizontal="center" vertical="center" wrapText="1"/>
    </xf>
    <xf numFmtId="0" fontId="9" fillId="2" borderId="1" xfId="0" applyFont="1" applyFill="1" applyBorder="1" applyAlignment="1">
      <alignment horizontal="left"/>
    </xf>
    <xf numFmtId="0" fontId="9" fillId="2" borderId="14" xfId="0" applyFont="1" applyFill="1" applyBorder="1" applyAlignment="1">
      <alignment horizontal="left"/>
    </xf>
    <xf numFmtId="0" fontId="9" fillId="2" borderId="3" xfId="0" applyFont="1" applyFill="1" applyBorder="1" applyAlignment="1">
      <alignment horizontal="center" wrapText="1"/>
    </xf>
    <xf numFmtId="0" fontId="9" fillId="2" borderId="10" xfId="0" applyFont="1" applyFill="1" applyBorder="1" applyAlignment="1">
      <alignment horizontal="center" wrapTex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5" fillId="2" borderId="0" xfId="0" applyFont="1" applyFill="1" applyAlignment="1">
      <alignment wrapText="1"/>
    </xf>
    <xf numFmtId="0" fontId="9" fillId="2" borderId="0" xfId="0" applyFont="1" applyFill="1" applyAlignment="1">
      <alignment horizontal="center"/>
    </xf>
    <xf numFmtId="0" fontId="9" fillId="2" borderId="16" xfId="0" applyFont="1" applyFill="1" applyBorder="1" applyAlignment="1">
      <alignment horizontal="center" wrapText="1"/>
    </xf>
    <xf numFmtId="0" fontId="5" fillId="0" borderId="0" xfId="0" applyFont="1" applyAlignment="1">
      <alignment wrapText="1"/>
    </xf>
    <xf numFmtId="0" fontId="0" fillId="2" borderId="0" xfId="0" applyFill="1"/>
    <xf numFmtId="0" fontId="20" fillId="0" borderId="0" xfId="4" applyAlignment="1" applyProtection="1">
      <alignment horizontal="left"/>
    </xf>
    <xf numFmtId="0" fontId="45" fillId="0" borderId="0" xfId="0" applyFont="1" applyAlignment="1">
      <alignment horizontal="left" vertical="center"/>
    </xf>
    <xf numFmtId="0" fontId="53" fillId="2" borderId="0" xfId="0" applyFont="1" applyFill="1" applyAlignment="1">
      <alignment horizontal="left" vertical="top" wrapText="1"/>
    </xf>
    <xf numFmtId="0" fontId="53" fillId="2" borderId="0" xfId="0" applyFont="1" applyFill="1" applyAlignment="1">
      <alignment horizontal="left" vertical="center" wrapText="1"/>
    </xf>
    <xf numFmtId="0" fontId="5" fillId="2" borderId="0" xfId="0" applyFont="1" applyFill="1" applyAlignment="1">
      <alignment horizontal="left" wrapText="1"/>
    </xf>
    <xf numFmtId="0" fontId="72" fillId="2" borderId="0" xfId="0" applyFont="1" applyFill="1" applyAlignment="1">
      <alignment horizontal="left"/>
    </xf>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2" borderId="7" xfId="0" applyFont="1" applyFill="1" applyBorder="1" applyAlignment="1">
      <alignment horizontal="center"/>
    </xf>
    <xf numFmtId="0" fontId="9" fillId="2" borderId="6" xfId="0" applyFont="1" applyFill="1" applyBorder="1" applyAlignment="1">
      <alignment horizontal="center" vertical="center"/>
    </xf>
    <xf numFmtId="0" fontId="5" fillId="2" borderId="0" xfId="0" applyFont="1" applyFill="1" applyAlignment="1">
      <alignment horizontal="left" vertical="center" wrapText="1"/>
    </xf>
    <xf numFmtId="0" fontId="9" fillId="2" borderId="3" xfId="0" applyFont="1" applyFill="1" applyBorder="1" applyAlignment="1">
      <alignment horizontal="left" wrapText="1"/>
    </xf>
    <xf numFmtId="0" fontId="9" fillId="2" borderId="16" xfId="0" applyFont="1" applyFill="1" applyBorder="1" applyAlignment="1">
      <alignment horizontal="left" wrapText="1"/>
    </xf>
    <xf numFmtId="0" fontId="9" fillId="2" borderId="9" xfId="0" applyFont="1" applyFill="1" applyBorder="1" applyAlignment="1">
      <alignment horizontal="center" vertical="center"/>
    </xf>
    <xf numFmtId="3" fontId="9" fillId="2" borderId="3" xfId="0" applyNumberFormat="1" applyFont="1" applyFill="1" applyBorder="1" applyAlignment="1">
      <alignment horizontal="center" vertical="center" wrapText="1"/>
    </xf>
    <xf numFmtId="3" fontId="9" fillId="2" borderId="10" xfId="0" applyNumberFormat="1" applyFont="1" applyFill="1" applyBorder="1" applyAlignment="1">
      <alignment horizontal="center" vertical="center" wrapText="1"/>
    </xf>
    <xf numFmtId="3" fontId="9" fillId="2" borderId="16" xfId="0" applyNumberFormat="1" applyFont="1" applyFill="1" applyBorder="1" applyAlignment="1">
      <alignment horizontal="center" vertical="center" wrapText="1"/>
    </xf>
    <xf numFmtId="0" fontId="5" fillId="2" borderId="0" xfId="0" applyFont="1" applyFill="1" applyAlignment="1">
      <alignment horizontal="left" vertical="center"/>
    </xf>
    <xf numFmtId="0" fontId="9" fillId="2" borderId="10" xfId="0" applyFont="1" applyFill="1" applyBorder="1" applyAlignment="1">
      <alignment horizontal="left" wrapText="1"/>
    </xf>
    <xf numFmtId="0" fontId="9" fillId="2" borderId="10" xfId="0" applyFont="1" applyFill="1" applyBorder="1" applyAlignment="1">
      <alignment horizontal="left"/>
    </xf>
    <xf numFmtId="167" fontId="9" fillId="2" borderId="3" xfId="0" applyNumberFormat="1" applyFont="1" applyFill="1" applyBorder="1" applyAlignment="1">
      <alignment horizontal="center" vertical="center" wrapText="1"/>
    </xf>
    <xf numFmtId="167" fontId="9" fillId="2" borderId="10" xfId="0" applyNumberFormat="1" applyFont="1" applyFill="1" applyBorder="1" applyAlignment="1">
      <alignment horizontal="center" vertical="center" wrapText="1"/>
    </xf>
    <xf numFmtId="0" fontId="8" fillId="2" borderId="5" xfId="0" applyFont="1" applyFill="1" applyBorder="1" applyAlignment="1">
      <alignment horizontal="center"/>
    </xf>
    <xf numFmtId="0" fontId="8" fillId="2" borderId="6" xfId="0" applyFont="1" applyFill="1" applyBorder="1" applyAlignment="1">
      <alignment horizontal="center"/>
    </xf>
    <xf numFmtId="0" fontId="8" fillId="2" borderId="7"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9" fillId="0" borderId="5" xfId="0" applyFont="1" applyBorder="1" applyAlignment="1">
      <alignment horizontal="center"/>
    </xf>
    <xf numFmtId="0" fontId="9" fillId="0" borderId="7" xfId="0" applyFont="1" applyBorder="1" applyAlignment="1">
      <alignment horizontal="center"/>
    </xf>
    <xf numFmtId="0" fontId="0" fillId="0" borderId="0" xfId="0" applyAlignment="1">
      <alignment horizontal="left" wrapText="1"/>
    </xf>
    <xf numFmtId="0" fontId="53" fillId="0" borderId="0" xfId="0" applyFont="1" applyAlignment="1">
      <alignment horizontal="left" vertical="center" wrapText="1"/>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2" borderId="1" xfId="0" applyFont="1" applyFill="1" applyBorder="1" applyAlignment="1">
      <alignment horizontal="center"/>
    </xf>
    <xf numFmtId="0" fontId="9" fillId="2" borderId="2" xfId="0" applyFont="1" applyFill="1" applyBorder="1" applyAlignment="1">
      <alignment horizontal="center"/>
    </xf>
    <xf numFmtId="0" fontId="9" fillId="2" borderId="9" xfId="0" applyFont="1" applyFill="1" applyBorder="1" applyAlignment="1">
      <alignment horizontal="center"/>
    </xf>
    <xf numFmtId="0" fontId="58" fillId="0" borderId="15" xfId="0" applyFont="1" applyBorder="1" applyAlignment="1">
      <alignment horizontal="right"/>
    </xf>
    <xf numFmtId="0" fontId="9" fillId="2" borderId="9" xfId="0" applyFont="1" applyFill="1" applyBorder="1" applyAlignment="1">
      <alignment horizontal="center" wrapText="1"/>
    </xf>
    <xf numFmtId="0" fontId="9" fillId="2" borderId="12" xfId="0" applyFont="1" applyFill="1" applyBorder="1" applyAlignment="1">
      <alignment horizontal="center" wrapText="1"/>
    </xf>
    <xf numFmtId="0" fontId="9" fillId="2" borderId="8" xfId="0" applyFont="1" applyFill="1" applyBorder="1" applyAlignment="1">
      <alignment horizontal="center" wrapText="1"/>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9" fillId="2" borderId="14" xfId="0" applyFont="1" applyFill="1" applyBorder="1" applyAlignment="1">
      <alignment horizontal="center"/>
    </xf>
    <xf numFmtId="0" fontId="9" fillId="2" borderId="8" xfId="0" applyFont="1" applyFill="1" applyBorder="1" applyAlignment="1">
      <alignment horizontal="center"/>
    </xf>
    <xf numFmtId="0" fontId="53" fillId="2" borderId="0" xfId="0" applyFont="1" applyFill="1" applyAlignment="1">
      <alignment vertical="center" wrapText="1"/>
    </xf>
    <xf numFmtId="0" fontId="18" fillId="3" borderId="3" xfId="7" applyFont="1" applyFill="1" applyBorder="1" applyAlignment="1">
      <alignment horizontal="left" wrapText="1"/>
    </xf>
    <xf numFmtId="0" fontId="18" fillId="3" borderId="10" xfId="7" applyFont="1" applyFill="1" applyBorder="1" applyAlignment="1">
      <alignment horizontal="left" wrapText="1"/>
    </xf>
    <xf numFmtId="0" fontId="18" fillId="3" borderId="3" xfId="7" applyFont="1" applyFill="1" applyBorder="1" applyAlignment="1">
      <alignment horizontal="center" vertical="center" wrapText="1"/>
    </xf>
    <xf numFmtId="0" fontId="18" fillId="3" borderId="10" xfId="7" applyFont="1" applyFill="1" applyBorder="1" applyAlignment="1">
      <alignment horizontal="center" vertical="center" wrapText="1"/>
    </xf>
    <xf numFmtId="0" fontId="18" fillId="3" borderId="16" xfId="7" applyFont="1" applyFill="1" applyBorder="1" applyAlignment="1">
      <alignment horizontal="left" wrapText="1"/>
    </xf>
    <xf numFmtId="0" fontId="18" fillId="3" borderId="16" xfId="7" applyFont="1" applyFill="1" applyBorder="1" applyAlignment="1">
      <alignment horizontal="center" vertical="center" wrapText="1"/>
    </xf>
    <xf numFmtId="0" fontId="20" fillId="2" borderId="0" xfId="4" applyFill="1" applyAlignment="1" applyProtection="1">
      <alignment horizontal="left" wrapText="1"/>
    </xf>
    <xf numFmtId="0" fontId="58" fillId="2" borderId="15" xfId="0" applyFont="1" applyFill="1" applyBorder="1" applyAlignment="1">
      <alignment horizontal="right"/>
    </xf>
    <xf numFmtId="0" fontId="8" fillId="2" borderId="3" xfId="0" applyFont="1" applyFill="1" applyBorder="1" applyAlignment="1">
      <alignment horizontal="left"/>
    </xf>
    <xf numFmtId="0" fontId="8" fillId="2" borderId="10" xfId="0" applyFont="1" applyFill="1" applyBorder="1" applyAlignment="1">
      <alignment horizontal="left"/>
    </xf>
    <xf numFmtId="0" fontId="8" fillId="2" borderId="16" xfId="0" applyFont="1" applyFill="1" applyBorder="1" applyAlignment="1">
      <alignment horizontal="left"/>
    </xf>
    <xf numFmtId="3" fontId="9" fillId="2" borderId="5" xfId="0" applyNumberFormat="1" applyFont="1" applyFill="1" applyBorder="1" applyAlignment="1">
      <alignment horizontal="center" vertical="center" wrapText="1"/>
    </xf>
    <xf numFmtId="3" fontId="9" fillId="2" borderId="6" xfId="0" applyNumberFormat="1" applyFont="1" applyFill="1" applyBorder="1" applyAlignment="1">
      <alignment horizontal="center" vertical="center" wrapText="1"/>
    </xf>
    <xf numFmtId="3" fontId="9" fillId="2" borderId="7" xfId="0" applyNumberFormat="1" applyFont="1" applyFill="1" applyBorder="1" applyAlignment="1">
      <alignment horizontal="center" vertical="center" wrapText="1"/>
    </xf>
    <xf numFmtId="0" fontId="20" fillId="2" borderId="0" xfId="4" applyFill="1" applyBorder="1" applyAlignment="1" applyProtection="1">
      <alignment horizontal="left" wrapText="1"/>
    </xf>
    <xf numFmtId="0" fontId="9" fillId="2" borderId="16" xfId="0"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3" fontId="53" fillId="2" borderId="0" xfId="0" applyNumberFormat="1" applyFont="1" applyFill="1" applyAlignment="1">
      <alignment vertical="center"/>
    </xf>
    <xf numFmtId="3" fontId="9" fillId="2" borderId="3" xfId="0" applyNumberFormat="1" applyFont="1" applyFill="1" applyBorder="1" applyAlignment="1">
      <alignment horizontal="left"/>
    </xf>
    <xf numFmtId="3" fontId="9" fillId="2" borderId="16" xfId="0" applyNumberFormat="1" applyFont="1" applyFill="1" applyBorder="1" applyAlignment="1">
      <alignment horizontal="left"/>
    </xf>
    <xf numFmtId="0" fontId="72" fillId="2" borderId="0" xfId="0" applyFont="1" applyFill="1" applyAlignment="1">
      <alignment horizontal="left" wrapText="1"/>
    </xf>
    <xf numFmtId="0" fontId="70" fillId="2" borderId="0" xfId="0" applyFont="1" applyFill="1" applyAlignment="1">
      <alignment horizontal="left"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9" fillId="2" borderId="5" xfId="0" applyFont="1" applyFill="1" applyBorder="1" applyAlignment="1">
      <alignment horizontal="center" wrapText="1"/>
    </xf>
    <xf numFmtId="0" fontId="9" fillId="2" borderId="6" xfId="0" applyFont="1" applyFill="1" applyBorder="1" applyAlignment="1">
      <alignment horizontal="center" wrapText="1"/>
    </xf>
    <xf numFmtId="0" fontId="9" fillId="2" borderId="7" xfId="0" applyFont="1" applyFill="1" applyBorder="1" applyAlignment="1">
      <alignment horizontal="center" wrapText="1"/>
    </xf>
    <xf numFmtId="0" fontId="5" fillId="2" borderId="0" xfId="4" applyFont="1" applyFill="1" applyBorder="1" applyAlignment="1" applyProtection="1">
      <alignment horizontal="left" wrapText="1"/>
    </xf>
    <xf numFmtId="3" fontId="0" fillId="2" borderId="0" xfId="0" applyNumberFormat="1" applyFill="1" applyAlignment="1">
      <alignment horizontal="left" wrapText="1"/>
    </xf>
    <xf numFmtId="0" fontId="5" fillId="0" borderId="0" xfId="0" quotePrefix="1" applyFont="1" applyAlignment="1">
      <alignment horizontal="left" wrapText="1"/>
    </xf>
    <xf numFmtId="0" fontId="0" fillId="2" borderId="0" xfId="0" applyFill="1" applyAlignment="1">
      <alignment horizontal="left" wrapText="1"/>
    </xf>
    <xf numFmtId="0" fontId="53" fillId="0" borderId="0" xfId="0" applyFont="1" applyAlignment="1">
      <alignment vertical="center"/>
    </xf>
    <xf numFmtId="0" fontId="9" fillId="0" borderId="6" xfId="0" applyFont="1" applyBorder="1" applyAlignment="1">
      <alignment horizontal="center"/>
    </xf>
    <xf numFmtId="0" fontId="9" fillId="0" borderId="3" xfId="0" applyFont="1" applyBorder="1" applyAlignment="1">
      <alignment horizontal="left" wrapText="1"/>
    </xf>
    <xf numFmtId="0" fontId="9" fillId="0" borderId="16" xfId="0" applyFont="1" applyBorder="1" applyAlignment="1">
      <alignment horizontal="left" wrapText="1"/>
    </xf>
    <xf numFmtId="0" fontId="45" fillId="2" borderId="0" xfId="0" applyFont="1" applyFill="1" applyAlignment="1">
      <alignment horizontal="left" vertical="center" wrapText="1"/>
    </xf>
    <xf numFmtId="0" fontId="0" fillId="2" borderId="6" xfId="0" applyFill="1" applyBorder="1" applyAlignment="1">
      <alignment horizontal="center"/>
    </xf>
    <xf numFmtId="0" fontId="0" fillId="2" borderId="7" xfId="0" applyFill="1" applyBorder="1" applyAlignment="1">
      <alignment horizontal="center"/>
    </xf>
    <xf numFmtId="0" fontId="9" fillId="0" borderId="5" xfId="0" applyFont="1" applyBorder="1" applyAlignment="1">
      <alignment horizontal="center" wrapText="1"/>
    </xf>
    <xf numFmtId="0" fontId="9" fillId="0" borderId="6" xfId="0" applyFont="1" applyBorder="1" applyAlignment="1">
      <alignment horizontal="center" wrapText="1"/>
    </xf>
    <xf numFmtId="0" fontId="9" fillId="0" borderId="7" xfId="0" applyFont="1" applyBorder="1" applyAlignment="1">
      <alignment horizontal="center" wrapText="1"/>
    </xf>
    <xf numFmtId="0" fontId="5" fillId="0" borderId="0" xfId="0" applyFont="1" applyAlignment="1">
      <alignment horizontal="left" vertical="top" wrapText="1"/>
    </xf>
    <xf numFmtId="3" fontId="9" fillId="2" borderId="3" xfId="0" applyNumberFormat="1" applyFont="1" applyFill="1" applyBorder="1" applyAlignment="1">
      <alignment horizontal="center" wrapText="1"/>
    </xf>
    <xf numFmtId="3" fontId="9" fillId="2" borderId="10" xfId="0" applyNumberFormat="1" applyFont="1" applyFill="1" applyBorder="1" applyAlignment="1">
      <alignment horizontal="center" wrapText="1"/>
    </xf>
    <xf numFmtId="3" fontId="9" fillId="2" borderId="3" xfId="0" applyNumberFormat="1" applyFont="1" applyFill="1" applyBorder="1" applyAlignment="1">
      <alignment horizontal="left" wrapText="1"/>
    </xf>
    <xf numFmtId="3" fontId="9" fillId="2" borderId="16" xfId="0" applyNumberFormat="1" applyFont="1" applyFill="1" applyBorder="1" applyAlignment="1">
      <alignment horizontal="left" wrapText="1"/>
    </xf>
    <xf numFmtId="3" fontId="9" fillId="2" borderId="10" xfId="0" applyNumberFormat="1" applyFont="1" applyFill="1" applyBorder="1" applyAlignment="1">
      <alignment horizontal="left"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170" fontId="53" fillId="2" borderId="0" xfId="68" applyFont="1" applyFill="1" applyAlignment="1">
      <alignment horizontal="left" vertical="center" wrapText="1"/>
    </xf>
  </cellXfs>
  <cellStyles count="201">
    <cellStyle name="20% - Accent1 2" xfId="8" xr:uid="{00000000-0005-0000-0000-000000000000}"/>
    <cellStyle name="20% - Accent1 3" xfId="72" xr:uid="{00000000-0005-0000-0000-000001000000}"/>
    <cellStyle name="20% - Accent1 4" xfId="168" xr:uid="{00000000-0005-0000-0000-000002000000}"/>
    <cellStyle name="20% - Accent2 2" xfId="9" xr:uid="{00000000-0005-0000-0000-000003000000}"/>
    <cellStyle name="20% - Accent2 3" xfId="73" xr:uid="{00000000-0005-0000-0000-000004000000}"/>
    <cellStyle name="20% - Accent2 4" xfId="172" xr:uid="{00000000-0005-0000-0000-000005000000}"/>
    <cellStyle name="20% - Accent3 2" xfId="10" xr:uid="{00000000-0005-0000-0000-000006000000}"/>
    <cellStyle name="20% - Accent3 3" xfId="74" xr:uid="{00000000-0005-0000-0000-000007000000}"/>
    <cellStyle name="20% - Accent3 4" xfId="176" xr:uid="{00000000-0005-0000-0000-000008000000}"/>
    <cellStyle name="20% - Accent4 2" xfId="11" xr:uid="{00000000-0005-0000-0000-000009000000}"/>
    <cellStyle name="20% - Accent4 3" xfId="75" xr:uid="{00000000-0005-0000-0000-00000A000000}"/>
    <cellStyle name="20% - Accent4 4" xfId="180" xr:uid="{00000000-0005-0000-0000-00000B000000}"/>
    <cellStyle name="20% - Accent5 2" xfId="12" xr:uid="{00000000-0005-0000-0000-00000C000000}"/>
    <cellStyle name="20% - Accent5 3" xfId="184" xr:uid="{00000000-0005-0000-0000-00000D000000}"/>
    <cellStyle name="20% - Accent6 2" xfId="13" xr:uid="{00000000-0005-0000-0000-00000E000000}"/>
    <cellStyle name="20% - Accent6 3" xfId="76" xr:uid="{00000000-0005-0000-0000-00000F000000}"/>
    <cellStyle name="20% - Accent6 4" xfId="188" xr:uid="{00000000-0005-0000-0000-000010000000}"/>
    <cellStyle name="40% - Accent1 2" xfId="14" xr:uid="{00000000-0005-0000-0000-000011000000}"/>
    <cellStyle name="40% - Accent1 3" xfId="77" xr:uid="{00000000-0005-0000-0000-000012000000}"/>
    <cellStyle name="40% - Accent1 4" xfId="169" xr:uid="{00000000-0005-0000-0000-000013000000}"/>
    <cellStyle name="40% - Accent2 2" xfId="15" xr:uid="{00000000-0005-0000-0000-000014000000}"/>
    <cellStyle name="40% - Accent2 3" xfId="173" xr:uid="{00000000-0005-0000-0000-000015000000}"/>
    <cellStyle name="40% - Accent3 2" xfId="16" xr:uid="{00000000-0005-0000-0000-000016000000}"/>
    <cellStyle name="40% - Accent3 3" xfId="78" xr:uid="{00000000-0005-0000-0000-000017000000}"/>
    <cellStyle name="40% - Accent3 4" xfId="177" xr:uid="{00000000-0005-0000-0000-000018000000}"/>
    <cellStyle name="40% - Accent4 2" xfId="17" xr:uid="{00000000-0005-0000-0000-000019000000}"/>
    <cellStyle name="40% - Accent4 3" xfId="79" xr:uid="{00000000-0005-0000-0000-00001A000000}"/>
    <cellStyle name="40% - Accent4 4" xfId="181" xr:uid="{00000000-0005-0000-0000-00001B000000}"/>
    <cellStyle name="40% - Accent5 2" xfId="18" xr:uid="{00000000-0005-0000-0000-00001C000000}"/>
    <cellStyle name="40% - Accent5 3" xfId="80" xr:uid="{00000000-0005-0000-0000-00001D000000}"/>
    <cellStyle name="40% - Accent5 4" xfId="185" xr:uid="{00000000-0005-0000-0000-00001E000000}"/>
    <cellStyle name="40% - Accent6 2" xfId="19" xr:uid="{00000000-0005-0000-0000-00001F000000}"/>
    <cellStyle name="40% - Accent6 3" xfId="81" xr:uid="{00000000-0005-0000-0000-000020000000}"/>
    <cellStyle name="40% - Accent6 4" xfId="189" xr:uid="{00000000-0005-0000-0000-000021000000}"/>
    <cellStyle name="60% - Accent1 2" xfId="20" xr:uid="{00000000-0005-0000-0000-000022000000}"/>
    <cellStyle name="60% - Accent1 3" xfId="82" xr:uid="{00000000-0005-0000-0000-000023000000}"/>
    <cellStyle name="60% - Accent1 4" xfId="170" xr:uid="{00000000-0005-0000-0000-000024000000}"/>
    <cellStyle name="60% - Accent2 2" xfId="21" xr:uid="{00000000-0005-0000-0000-000025000000}"/>
    <cellStyle name="60% - Accent2 3" xfId="83" xr:uid="{00000000-0005-0000-0000-000026000000}"/>
    <cellStyle name="60% - Accent2 4" xfId="174" xr:uid="{00000000-0005-0000-0000-000027000000}"/>
    <cellStyle name="60% - Accent3 2" xfId="22" xr:uid="{00000000-0005-0000-0000-000028000000}"/>
    <cellStyle name="60% - Accent3 3" xfId="84" xr:uid="{00000000-0005-0000-0000-000029000000}"/>
    <cellStyle name="60% - Accent3 4" xfId="178" xr:uid="{00000000-0005-0000-0000-00002A000000}"/>
    <cellStyle name="60% - Accent4 2" xfId="23" xr:uid="{00000000-0005-0000-0000-00002B000000}"/>
    <cellStyle name="60% - Accent4 3" xfId="85" xr:uid="{00000000-0005-0000-0000-00002C000000}"/>
    <cellStyle name="60% - Accent4 4" xfId="182" xr:uid="{00000000-0005-0000-0000-00002D000000}"/>
    <cellStyle name="60% - Accent5 2" xfId="24" xr:uid="{00000000-0005-0000-0000-00002E000000}"/>
    <cellStyle name="60% - Accent5 3" xfId="86" xr:uid="{00000000-0005-0000-0000-00002F000000}"/>
    <cellStyle name="60% - Accent5 4" xfId="186" xr:uid="{00000000-0005-0000-0000-000030000000}"/>
    <cellStyle name="60% - Accent6 2" xfId="25" xr:uid="{00000000-0005-0000-0000-000031000000}"/>
    <cellStyle name="60% - Accent6 3" xfId="87" xr:uid="{00000000-0005-0000-0000-000032000000}"/>
    <cellStyle name="60% - Accent6 4" xfId="190" xr:uid="{00000000-0005-0000-0000-000033000000}"/>
    <cellStyle name="Accent1 2" xfId="26" xr:uid="{00000000-0005-0000-0000-000034000000}"/>
    <cellStyle name="Accent1 3" xfId="88" xr:uid="{00000000-0005-0000-0000-000035000000}"/>
    <cellStyle name="Accent1 4" xfId="167" xr:uid="{00000000-0005-0000-0000-000036000000}"/>
    <cellStyle name="Accent2 2" xfId="27" xr:uid="{00000000-0005-0000-0000-000037000000}"/>
    <cellStyle name="Accent2 3" xfId="89" xr:uid="{00000000-0005-0000-0000-000038000000}"/>
    <cellStyle name="Accent2 4" xfId="171" xr:uid="{00000000-0005-0000-0000-000039000000}"/>
    <cellStyle name="Accent3 2" xfId="28" xr:uid="{00000000-0005-0000-0000-00003A000000}"/>
    <cellStyle name="Accent3 3" xfId="90" xr:uid="{00000000-0005-0000-0000-00003B000000}"/>
    <cellStyle name="Accent3 4" xfId="175" xr:uid="{00000000-0005-0000-0000-00003C000000}"/>
    <cellStyle name="Accent4 2" xfId="29" xr:uid="{00000000-0005-0000-0000-00003D000000}"/>
    <cellStyle name="Accent4 3" xfId="91" xr:uid="{00000000-0005-0000-0000-00003E000000}"/>
    <cellStyle name="Accent4 4" xfId="179" xr:uid="{00000000-0005-0000-0000-00003F000000}"/>
    <cellStyle name="Accent5 2" xfId="30" xr:uid="{00000000-0005-0000-0000-000040000000}"/>
    <cellStyle name="Accent5 3" xfId="183" xr:uid="{00000000-0005-0000-0000-000041000000}"/>
    <cellStyle name="Accent6 2" xfId="31" xr:uid="{00000000-0005-0000-0000-000042000000}"/>
    <cellStyle name="Accent6 3" xfId="93" xr:uid="{00000000-0005-0000-0000-000043000000}"/>
    <cellStyle name="Accent6 4" xfId="187" xr:uid="{00000000-0005-0000-0000-000044000000}"/>
    <cellStyle name="Bad 2" xfId="32" xr:uid="{00000000-0005-0000-0000-000045000000}"/>
    <cellStyle name="Bad 3" xfId="94" xr:uid="{00000000-0005-0000-0000-000046000000}"/>
    <cellStyle name="Bad 4" xfId="157" xr:uid="{00000000-0005-0000-0000-000047000000}"/>
    <cellStyle name="Calculation 2" xfId="33" xr:uid="{00000000-0005-0000-0000-000048000000}"/>
    <cellStyle name="Calculation 3" xfId="95" xr:uid="{00000000-0005-0000-0000-000049000000}"/>
    <cellStyle name="Calculation 4" xfId="161" xr:uid="{00000000-0005-0000-0000-00004A000000}"/>
    <cellStyle name="Check Cell 2" xfId="34" xr:uid="{00000000-0005-0000-0000-00004B000000}"/>
    <cellStyle name="Check Cell 3" xfId="163" xr:uid="{00000000-0005-0000-0000-00004C000000}"/>
    <cellStyle name="Comma" xfId="65" builtinId="3"/>
    <cellStyle name="Comma 2" xfId="5" xr:uid="{00000000-0005-0000-0000-00004E000000}"/>
    <cellStyle name="Comma 2 2" xfId="35" xr:uid="{00000000-0005-0000-0000-00004F000000}"/>
    <cellStyle name="Comma 2 2 2" xfId="143" xr:uid="{00000000-0005-0000-0000-000050000000}"/>
    <cellStyle name="Comma 2 3" xfId="70" xr:uid="{00000000-0005-0000-0000-000051000000}"/>
    <cellStyle name="Comma 2 4" xfId="96" xr:uid="{00000000-0005-0000-0000-000052000000}"/>
    <cellStyle name="Comma 2 5" xfId="141" xr:uid="{00000000-0005-0000-0000-000053000000}"/>
    <cellStyle name="Comma 2 6" xfId="195" xr:uid="{00000000-0005-0000-0000-000054000000}"/>
    <cellStyle name="Comma 3" xfId="140" xr:uid="{00000000-0005-0000-0000-000055000000}"/>
    <cellStyle name="Comma 3 2" xfId="199" xr:uid="{00000000-0005-0000-0000-000056000000}"/>
    <cellStyle name="Comma 4" xfId="150" xr:uid="{00000000-0005-0000-0000-000057000000}"/>
    <cellStyle name="Comma 5" xfId="193" xr:uid="{00000000-0005-0000-0000-000058000000}"/>
    <cellStyle name="Comma 6" xfId="198" xr:uid="{00000000-0005-0000-0000-000059000000}"/>
    <cellStyle name="Data_Total" xfId="36" xr:uid="{00000000-0005-0000-0000-00005A000000}"/>
    <cellStyle name="Explanatory Text 2" xfId="37" xr:uid="{00000000-0005-0000-0000-00005B000000}"/>
    <cellStyle name="Explanatory Text 3" xfId="165" xr:uid="{00000000-0005-0000-0000-00005C000000}"/>
    <cellStyle name="Good 2" xfId="38" xr:uid="{00000000-0005-0000-0000-00005D000000}"/>
    <cellStyle name="Good 3" xfId="97" xr:uid="{00000000-0005-0000-0000-00005E000000}"/>
    <cellStyle name="Good 4" xfId="156" xr:uid="{00000000-0005-0000-0000-00005F000000}"/>
    <cellStyle name="Heading 1 2" xfId="39" xr:uid="{00000000-0005-0000-0000-000060000000}"/>
    <cellStyle name="Heading 1 3" xfId="98" xr:uid="{00000000-0005-0000-0000-000061000000}"/>
    <cellStyle name="Heading 1 4" xfId="152" xr:uid="{00000000-0005-0000-0000-000062000000}"/>
    <cellStyle name="Heading 2 2" xfId="40" xr:uid="{00000000-0005-0000-0000-000063000000}"/>
    <cellStyle name="Heading 2 3" xfId="99" xr:uid="{00000000-0005-0000-0000-000064000000}"/>
    <cellStyle name="Heading 2 4" xfId="153" xr:uid="{00000000-0005-0000-0000-000065000000}"/>
    <cellStyle name="Heading 3 2" xfId="41" xr:uid="{00000000-0005-0000-0000-000066000000}"/>
    <cellStyle name="Heading 3 3" xfId="100" xr:uid="{00000000-0005-0000-0000-000067000000}"/>
    <cellStyle name="Heading 3 4" xfId="154" xr:uid="{00000000-0005-0000-0000-000068000000}"/>
    <cellStyle name="Heading 4 2" xfId="42" xr:uid="{00000000-0005-0000-0000-000069000000}"/>
    <cellStyle name="Heading 4 3" xfId="101" xr:uid="{00000000-0005-0000-0000-00006A000000}"/>
    <cellStyle name="Heading 4 4" xfId="155" xr:uid="{00000000-0005-0000-0000-00006B000000}"/>
    <cellStyle name="Headings" xfId="43" xr:uid="{00000000-0005-0000-0000-00006C000000}"/>
    <cellStyle name="Headings 2" xfId="144" xr:uid="{00000000-0005-0000-0000-00006D000000}"/>
    <cellStyle name="Hyperlink" xfId="4" builtinId="8"/>
    <cellStyle name="Hyperlink 2" xfId="44" xr:uid="{00000000-0005-0000-0000-00006F000000}"/>
    <cellStyle name="Hyperlink 3" xfId="45" xr:uid="{00000000-0005-0000-0000-000070000000}"/>
    <cellStyle name="Hyperlink 4" xfId="117" xr:uid="{00000000-0005-0000-0000-000071000000}"/>
    <cellStyle name="Hyperlink 5" xfId="196" xr:uid="{00000000-0005-0000-0000-000072000000}"/>
    <cellStyle name="Input 2" xfId="46" xr:uid="{00000000-0005-0000-0000-000073000000}"/>
    <cellStyle name="Input 3" xfId="102" xr:uid="{00000000-0005-0000-0000-000074000000}"/>
    <cellStyle name="Input 4" xfId="159" xr:uid="{00000000-0005-0000-0000-000075000000}"/>
    <cellStyle name="Linked Cell 2" xfId="47" xr:uid="{00000000-0005-0000-0000-000076000000}"/>
    <cellStyle name="Linked Cell 3" xfId="103" xr:uid="{00000000-0005-0000-0000-000077000000}"/>
    <cellStyle name="Linked Cell 4" xfId="162" xr:uid="{00000000-0005-0000-0000-000078000000}"/>
    <cellStyle name="Neutral 2" xfId="48" xr:uid="{00000000-0005-0000-0000-000079000000}"/>
    <cellStyle name="Neutral 3" xfId="104" xr:uid="{00000000-0005-0000-0000-00007A000000}"/>
    <cellStyle name="Neutral 4" xfId="158" xr:uid="{00000000-0005-0000-0000-00007B000000}"/>
    <cellStyle name="Normal" xfId="0" builtinId="0"/>
    <cellStyle name="Normal 17" xfId="69" xr:uid="{00000000-0005-0000-0000-00007D000000}"/>
    <cellStyle name="Normal 2" xfId="49" xr:uid="{00000000-0005-0000-0000-00007E000000}"/>
    <cellStyle name="Normal 2 2" xfId="50" xr:uid="{00000000-0005-0000-0000-00007F000000}"/>
    <cellStyle name="Normal 2 2 2" xfId="115" xr:uid="{00000000-0005-0000-0000-000080000000}"/>
    <cellStyle name="Normal 2 3" xfId="113" xr:uid="{00000000-0005-0000-0000-000081000000}"/>
    <cellStyle name="Normal 2 4" xfId="145" xr:uid="{00000000-0005-0000-0000-000082000000}"/>
    <cellStyle name="Normal 3" xfId="6" xr:uid="{00000000-0005-0000-0000-000083000000}"/>
    <cellStyle name="Normal 3 2" xfId="114" xr:uid="{00000000-0005-0000-0000-000084000000}"/>
    <cellStyle name="Normal 3 3" xfId="142" xr:uid="{00000000-0005-0000-0000-000085000000}"/>
    <cellStyle name="Normal 4" xfId="51" xr:uid="{00000000-0005-0000-0000-000086000000}"/>
    <cellStyle name="Normal 4 2" xfId="146" xr:uid="{00000000-0005-0000-0000-000087000000}"/>
    <cellStyle name="Normal 4 3" xfId="191" xr:uid="{00000000-0005-0000-0000-000088000000}"/>
    <cellStyle name="Normal 4 4" xfId="200" xr:uid="{00000000-0005-0000-0000-000089000000}"/>
    <cellStyle name="Normal 5" xfId="71" xr:uid="{00000000-0005-0000-0000-00008A000000}"/>
    <cellStyle name="Normal 6" xfId="135" xr:uid="{00000000-0005-0000-0000-00008B000000}"/>
    <cellStyle name="Normal 7" xfId="139" xr:uid="{00000000-0005-0000-0000-00008C000000}"/>
    <cellStyle name="Normal 8" xfId="194" xr:uid="{00000000-0005-0000-0000-00008D000000}"/>
    <cellStyle name="Normal_11a - Fires by motive - LA" xfId="123" xr:uid="{00000000-0005-0000-0000-00008E000000}"/>
    <cellStyle name="Normal_13a - Secondary accidental - LA" xfId="124" xr:uid="{00000000-0005-0000-0000-00008F000000}"/>
    <cellStyle name="Normal_14b 14c 14d" xfId="130" xr:uid="{00000000-0005-0000-0000-000090000000}"/>
    <cellStyle name="Normal_2 - Casualties by fire type" xfId="92" xr:uid="{00000000-0005-0000-0000-000091000000}"/>
    <cellStyle name="Normal_20a" xfId="131" xr:uid="{00000000-0005-0000-0000-000092000000}"/>
    <cellStyle name="Normal_24" xfId="138" xr:uid="{00000000-0005-0000-0000-000093000000}"/>
    <cellStyle name="Normal_25_1" xfId="136" xr:uid="{00000000-0005-0000-0000-000094000000}"/>
    <cellStyle name="Normal_26 26a" xfId="133" xr:uid="{00000000-0005-0000-0000-000095000000}"/>
    <cellStyle name="Normal_27" xfId="134" xr:uid="{00000000-0005-0000-0000-000096000000}"/>
    <cellStyle name="Normal_27_1" xfId="137" xr:uid="{00000000-0005-0000-0000-000097000000}"/>
    <cellStyle name="Normal_3 - Casulties by ADF" xfId="116" xr:uid="{00000000-0005-0000-0000-000098000000}"/>
    <cellStyle name="Normal_4 - False alarms_1" xfId="118" xr:uid="{00000000-0005-0000-0000-000099000000}"/>
    <cellStyle name="Normal_4c 4d 4e" xfId="125" xr:uid="{00000000-0005-0000-0000-00009A000000}"/>
    <cellStyle name="Normal_5 - Special service false alarm" xfId="119" xr:uid="{00000000-0005-0000-0000-00009B000000}"/>
    <cellStyle name="Normal_8 - Primary fires by building" xfId="120" xr:uid="{00000000-0005-0000-0000-00009C000000}"/>
    <cellStyle name="Normal_9a - Primary outdoor by LA" xfId="121" xr:uid="{00000000-0005-0000-0000-00009D000000}"/>
    <cellStyle name="Normal_9b - Secondary outdoor by LA" xfId="122" xr:uid="{00000000-0005-0000-0000-00009E000000}"/>
    <cellStyle name="Normal_Age" xfId="129" xr:uid="{00000000-0005-0000-0000-00009F000000}"/>
    <cellStyle name="Normal_Key information and summary tables" xfId="68" xr:uid="{00000000-0005-0000-0000-0000A0000000}"/>
    <cellStyle name="Normal_new Table 13" xfId="7" xr:uid="{00000000-0005-0000-0000-0000A1000000}"/>
    <cellStyle name="Normal_Sheet1" xfId="128" xr:uid="{00000000-0005-0000-0000-0000A2000000}"/>
    <cellStyle name="Normal_Sheet2" xfId="67" xr:uid="{00000000-0005-0000-0000-0000A3000000}"/>
    <cellStyle name="Normal_Sheet4" xfId="66" xr:uid="{00000000-0005-0000-0000-0000A4000000}"/>
    <cellStyle name="Normal_source of ignition" xfId="132" xr:uid="{00000000-0005-0000-0000-0000A5000000}"/>
    <cellStyle name="Normal_Table 16" xfId="3" xr:uid="{00000000-0005-0000-0000-0000A6000000}"/>
    <cellStyle name="Normal_Table 5 and 5a" xfId="2" xr:uid="{00000000-0005-0000-0000-0000A7000000}"/>
    <cellStyle name="Normal_table 6b and 6c" xfId="126" xr:uid="{00000000-0005-0000-0000-0000A8000000}"/>
    <cellStyle name="Normal_Table 9" xfId="127" xr:uid="{00000000-0005-0000-0000-0000A9000000}"/>
    <cellStyle name="Normal_TABLE4" xfId="105" xr:uid="{00000000-0005-0000-0000-0000AA000000}"/>
    <cellStyle name="Note 2" xfId="52" xr:uid="{00000000-0005-0000-0000-0000AB000000}"/>
    <cellStyle name="Note 2 2" xfId="192" xr:uid="{00000000-0005-0000-0000-0000AC000000}"/>
    <cellStyle name="Note 3" xfId="53" xr:uid="{00000000-0005-0000-0000-0000AD000000}"/>
    <cellStyle name="Note 4" xfId="106" xr:uid="{00000000-0005-0000-0000-0000AE000000}"/>
    <cellStyle name="Output 2" xfId="54" xr:uid="{00000000-0005-0000-0000-0000AF000000}"/>
    <cellStyle name="Output 3" xfId="107" xr:uid="{00000000-0005-0000-0000-0000B0000000}"/>
    <cellStyle name="Output 4" xfId="160" xr:uid="{00000000-0005-0000-0000-0000B1000000}"/>
    <cellStyle name="Per cent" xfId="1" builtinId="5"/>
    <cellStyle name="Percent 2" xfId="55" xr:uid="{00000000-0005-0000-0000-0000B3000000}"/>
    <cellStyle name="Percent 2 2" xfId="56" xr:uid="{00000000-0005-0000-0000-0000B4000000}"/>
    <cellStyle name="Percent 2 3" xfId="147" xr:uid="{00000000-0005-0000-0000-0000B5000000}"/>
    <cellStyle name="Percent 3" xfId="57" xr:uid="{00000000-0005-0000-0000-0000B6000000}"/>
    <cellStyle name="Percent 4" xfId="108" xr:uid="{00000000-0005-0000-0000-0000B7000000}"/>
    <cellStyle name="Percent 5" xfId="197" xr:uid="{00000000-0005-0000-0000-0000B8000000}"/>
    <cellStyle name="Row_CategoryHeadings" xfId="58" xr:uid="{00000000-0005-0000-0000-0000B9000000}"/>
    <cellStyle name="Source" xfId="59" xr:uid="{00000000-0005-0000-0000-0000BA000000}"/>
    <cellStyle name="Source 2" xfId="148" xr:uid="{00000000-0005-0000-0000-0000BB000000}"/>
    <cellStyle name="Table_Name" xfId="60" xr:uid="{00000000-0005-0000-0000-0000BC000000}"/>
    <cellStyle name="Title 2" xfId="61" xr:uid="{00000000-0005-0000-0000-0000BD000000}"/>
    <cellStyle name="Title 3" xfId="109" xr:uid="{00000000-0005-0000-0000-0000BE000000}"/>
    <cellStyle name="Title 4" xfId="151" xr:uid="{00000000-0005-0000-0000-0000BF000000}"/>
    <cellStyle name="Total 2" xfId="62" xr:uid="{00000000-0005-0000-0000-0000C0000000}"/>
    <cellStyle name="Total 3" xfId="110" xr:uid="{00000000-0005-0000-0000-0000C1000000}"/>
    <cellStyle name="Total 4" xfId="166" xr:uid="{00000000-0005-0000-0000-0000C2000000}"/>
    <cellStyle name="Warning Text 2" xfId="63" xr:uid="{00000000-0005-0000-0000-0000C3000000}"/>
    <cellStyle name="Warning Text 3" xfId="164" xr:uid="{00000000-0005-0000-0000-0000C4000000}"/>
    <cellStyle name="Warnings" xfId="64" xr:uid="{00000000-0005-0000-0000-0000C5000000}"/>
    <cellStyle name="Warnings 2" xfId="149" xr:uid="{00000000-0005-0000-0000-0000C6000000}"/>
    <cellStyle name="whole number" xfId="111" xr:uid="{00000000-0005-0000-0000-0000C7000000}"/>
    <cellStyle name="whole number 2" xfId="112" xr:uid="{00000000-0005-0000-0000-0000C8000000}"/>
  </cellStyles>
  <dxfs count="9">
    <dxf>
      <numFmt numFmtId="167" formatCode="0.0"/>
    </dxf>
    <dxf>
      <font>
        <b/>
        <color theme="1"/>
      </font>
      <border>
        <bottom style="thin">
          <color theme="4"/>
        </bottom>
        <vertical/>
        <horizontal/>
      </border>
    </dxf>
    <dxf>
      <font>
        <b val="0"/>
        <i val="0"/>
        <sz val="8"/>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z val="10"/>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trike val="0"/>
        <sz val="11"/>
        <color theme="1"/>
        <name val="Arial"/>
        <scheme val="none"/>
      </font>
      <border>
        <left style="thin">
          <color theme="4"/>
        </left>
        <right style="thin">
          <color theme="4"/>
        </right>
        <top style="thin">
          <color theme="4"/>
        </top>
        <bottom style="thin">
          <color theme="4"/>
        </bottom>
        <vertical/>
        <horizontal/>
      </border>
    </dxf>
  </dxfs>
  <tableStyles count="4" defaultTableStyle="TableStyleMedium2" defaultPivotStyle="PivotStyleLight16">
    <tableStyle name="SlicerStyleLight1 2" pivot="0" table="0" count="10" xr9:uid="{00000000-0011-0000-FFFF-FFFF00000000}">
      <tableStyleElement type="wholeTable" dxfId="8"/>
      <tableStyleElement type="headerRow" dxfId="7"/>
    </tableStyle>
    <tableStyle name="SlicerStyleLight1 3" pivot="0" table="0" count="10" xr9:uid="{00000000-0011-0000-FFFF-FFFF01000000}">
      <tableStyleElement type="wholeTable" dxfId="6"/>
      <tableStyleElement type="headerRow" dxfId="5"/>
    </tableStyle>
    <tableStyle name="SlicerStyleLight1 4" pivot="0" table="0" count="10" xr9:uid="{00000000-0011-0000-FFFF-FFFF02000000}">
      <tableStyleElement type="wholeTable" dxfId="4"/>
      <tableStyleElement type="headerRow" dxfId="3"/>
    </tableStyle>
    <tableStyle name="SlicerStyleLight1 5" pivot="0" table="0" count="10" xr9:uid="{00000000-0011-0000-FFFF-FFFF03000000}">
      <tableStyleElement type="wholeTable" dxfId="2"/>
      <tableStyleElement type="headerRow" dxfId="1"/>
    </tableStyle>
  </tableStyles>
  <colors>
    <mruColors>
      <color rgb="FF960000"/>
      <color rgb="FFC00000"/>
      <color rgb="FF8A0000"/>
      <color rgb="FFD20000"/>
      <color rgb="FF0000FF"/>
      <color rgb="FF000099"/>
      <color rgb="FFE806DD"/>
      <color rgb="FFDC12A7"/>
    </mruColors>
  </colors>
  <extLst>
    <ext xmlns:x14="http://schemas.microsoft.com/office/spreadsheetml/2009/9/main" uri="{46F421CA-312F-682f-3DD2-61675219B42D}">
      <x14:dxfs count="32">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ivotCacheDefinition" Target="pivotCache/pivotCacheDefinition18.xml"/><Relationship Id="rId170" Type="http://schemas.microsoft.com/office/2007/relationships/slicerCache" Target="slicerCaches/slicerCache1.xml"/><Relationship Id="rId191" Type="http://schemas.microsoft.com/office/2007/relationships/slicerCache" Target="slicerCaches/slicerCache22.xml"/><Relationship Id="rId205"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ivotCacheDefinition" Target="pivotCache/pivotCacheDefinition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pivotCacheDefinition" Target="pivotCache/pivotCacheDefinition19.xml"/><Relationship Id="rId181" Type="http://schemas.microsoft.com/office/2007/relationships/slicerCache" Target="slicerCaches/slicerCache1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pivotCacheDefinition" Target="pivotCache/pivotCacheDefinition9.xml"/><Relationship Id="rId171" Type="http://schemas.microsoft.com/office/2007/relationships/slicerCache" Target="slicerCaches/slicerCache2.xml"/><Relationship Id="rId192" Type="http://schemas.microsoft.com/office/2007/relationships/slicerCache" Target="slicerCaches/slicerCache23.xml"/><Relationship Id="rId206"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ivotCacheDefinition" Target="pivotCache/pivotCacheDefinition20.xml"/><Relationship Id="rId182" Type="http://schemas.microsoft.com/office/2007/relationships/slicerCache" Target="slicerCaches/slicerCache1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pivotCacheDefinition" Target="pivotCache/pivotCacheDefinition10.xml"/><Relationship Id="rId172" Type="http://schemas.microsoft.com/office/2007/relationships/slicerCache" Target="slicerCaches/slicerCache3.xml"/><Relationship Id="rId193" Type="http://schemas.microsoft.com/office/2007/relationships/slicerCache" Target="slicerCaches/slicerCache24.xml"/><Relationship Id="rId207" Type="http://schemas.openxmlformats.org/officeDocument/2006/relationships/customXml" Target="../customXml/item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externalLink" Target="externalLinks/externalLink1.xml"/><Relationship Id="rId7" Type="http://schemas.openxmlformats.org/officeDocument/2006/relationships/worksheet" Target="worksheets/sheet7.xml"/><Relationship Id="rId162" Type="http://schemas.openxmlformats.org/officeDocument/2006/relationships/pivotCacheDefinition" Target="pivotCache/pivotCacheDefinition21.xml"/><Relationship Id="rId183" Type="http://schemas.microsoft.com/office/2007/relationships/slicerCache" Target="slicerCaches/slicerCache1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pivotCacheDefinition" Target="pivotCache/pivotCacheDefinition11.xml"/><Relationship Id="rId173" Type="http://schemas.microsoft.com/office/2007/relationships/slicerCache" Target="slicerCaches/slicerCache4.xml"/><Relationship Id="rId194" Type="http://schemas.microsoft.com/office/2007/relationships/slicerCache" Target="slicerCaches/slicerCache25.xml"/><Relationship Id="rId199" Type="http://schemas.microsoft.com/office/2007/relationships/slicerCache" Target="slicerCaches/slicerCache30.xml"/><Relationship Id="rId203" Type="http://schemas.openxmlformats.org/officeDocument/2006/relationships/styles" Target="styles.xml"/><Relationship Id="rId208"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pivotCacheDefinition" Target="pivotCache/pivotCacheDefinition6.xml"/><Relationship Id="rId168" Type="http://schemas.openxmlformats.org/officeDocument/2006/relationships/pivotCacheDefinition" Target="pivotCache/pivotCacheDefinition2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pivotCacheDefinition" Target="pivotCache/pivotCacheDefinition1.xml"/><Relationship Id="rId163" Type="http://schemas.openxmlformats.org/officeDocument/2006/relationships/pivotCacheDefinition" Target="pivotCache/pivotCacheDefinition22.xml"/><Relationship Id="rId184" Type="http://schemas.microsoft.com/office/2007/relationships/slicerCache" Target="slicerCaches/slicerCache15.xml"/><Relationship Id="rId189" Type="http://schemas.microsoft.com/office/2007/relationships/slicerCache" Target="slicerCaches/slicerCache2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ivotCacheDefinition" Target="pivotCache/pivotCacheDefinition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12.xml"/><Relationship Id="rId174" Type="http://schemas.microsoft.com/office/2007/relationships/slicerCache" Target="slicerCaches/slicerCache5.xml"/><Relationship Id="rId179" Type="http://schemas.microsoft.com/office/2007/relationships/slicerCache" Target="slicerCaches/slicerCache10.xml"/><Relationship Id="rId195" Type="http://schemas.microsoft.com/office/2007/relationships/slicerCache" Target="slicerCaches/slicerCache26.xml"/><Relationship Id="rId209" Type="http://schemas.openxmlformats.org/officeDocument/2006/relationships/customXml" Target="../customXml/item4.xml"/><Relationship Id="rId190" Type="http://schemas.microsoft.com/office/2007/relationships/slicerCache" Target="slicerCaches/slicerCache21.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pivotCacheDefinition" Target="pivotCache/pivotCacheDefinition2.xml"/><Relationship Id="rId148" Type="http://schemas.openxmlformats.org/officeDocument/2006/relationships/pivotCacheDefinition" Target="pivotCache/pivotCacheDefinition7.xml"/><Relationship Id="rId164" Type="http://schemas.openxmlformats.org/officeDocument/2006/relationships/pivotCacheDefinition" Target="pivotCache/pivotCacheDefinition23.xml"/><Relationship Id="rId169" Type="http://schemas.openxmlformats.org/officeDocument/2006/relationships/pivotCacheDefinition" Target="pivotCache/pivotCacheDefinition28.xml"/><Relationship Id="rId185"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1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ivotCacheDefinition" Target="pivotCache/pivotCacheDefinition13.xml"/><Relationship Id="rId175" Type="http://schemas.microsoft.com/office/2007/relationships/slicerCache" Target="slicerCaches/slicerCache6.xml"/><Relationship Id="rId196" Type="http://schemas.microsoft.com/office/2007/relationships/slicerCache" Target="slicerCaches/slicerCache27.xml"/><Relationship Id="rId200" Type="http://schemas.microsoft.com/office/2007/relationships/slicerCache" Target="slicerCaches/slicerCache3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pivotCacheDefinition" Target="pivotCache/pivotCacheDefinition3.xml"/><Relationship Id="rId90" Type="http://schemas.openxmlformats.org/officeDocument/2006/relationships/worksheet" Target="worksheets/sheet90.xml"/><Relationship Id="rId165" Type="http://schemas.openxmlformats.org/officeDocument/2006/relationships/pivotCacheDefinition" Target="pivotCache/pivotCacheDefinition24.xml"/><Relationship Id="rId186" Type="http://schemas.microsoft.com/office/2007/relationships/slicerCache" Target="slicerCaches/slicerCache1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ivotCacheDefinition" Target="pivotCache/pivotCacheDefinition14.xml"/><Relationship Id="rId176" Type="http://schemas.microsoft.com/office/2007/relationships/slicerCache" Target="slicerCaches/slicerCache7.xml"/><Relationship Id="rId197" Type="http://schemas.microsoft.com/office/2007/relationships/slicerCache" Target="slicerCaches/slicerCache28.xml"/><Relationship Id="rId201" Type="http://schemas.microsoft.com/office/2007/relationships/slicerCache" Target="slicerCaches/slicerCache3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pivotCacheDefinition" Target="pivotCache/pivotCacheDefinition4.xml"/><Relationship Id="rId166" Type="http://schemas.openxmlformats.org/officeDocument/2006/relationships/pivotCacheDefinition" Target="pivotCache/pivotCacheDefinition25.xml"/><Relationship Id="rId187" Type="http://schemas.microsoft.com/office/2007/relationships/slicerCache" Target="slicerCaches/slicerCache18.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pivotCacheDefinition" Target="pivotCache/pivotCacheDefinition15.xml"/><Relationship Id="rId177" Type="http://schemas.microsoft.com/office/2007/relationships/slicerCache" Target="slicerCaches/slicerCache8.xml"/><Relationship Id="rId198" Type="http://schemas.microsoft.com/office/2007/relationships/slicerCache" Target="slicerCaches/slicerCache29.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pivotCacheDefinition" Target="pivotCache/pivotCacheDefinition5.xml"/><Relationship Id="rId167" Type="http://schemas.openxmlformats.org/officeDocument/2006/relationships/pivotCacheDefinition" Target="pivotCache/pivotCacheDefinition26.xml"/><Relationship Id="rId188" Type="http://schemas.microsoft.com/office/2007/relationships/slicerCache" Target="slicerCaches/slicerCache19.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pivotCacheDefinition" Target="pivotCache/pivotCacheDefinition16.xml"/><Relationship Id="rId178" Type="http://schemas.microsoft.com/office/2007/relationships/slicerCache" Target="slicerCaches/slicerCache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GB" sz="1100" b="1" i="0" u="none" strike="noStrike" kern="120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Primary Fires</a:t>
            </a:r>
          </a:p>
        </c:rich>
      </c:tx>
      <c:layout>
        <c:manualLayout>
          <c:xMode val="edge"/>
          <c:yMode val="edge"/>
          <c:x val="0.42910351181947665"/>
          <c:y val="4.1180285343709468E-2"/>
        </c:manualLayout>
      </c:layout>
      <c:overlay val="0"/>
    </c:title>
    <c:autoTitleDeleted val="0"/>
    <c:plotArea>
      <c:layout>
        <c:manualLayout>
          <c:layoutTarget val="inner"/>
          <c:xMode val="edge"/>
          <c:yMode val="edge"/>
          <c:x val="8.9077100656535582E-3"/>
          <c:y val="0.13263888888888886"/>
          <c:w val="0.97335156634832409"/>
          <c:h val="0.74245946822308695"/>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Trend'!$F$9:$F$32</c:f>
              <c:numCache>
                <c:formatCode>#,##0</c:formatCode>
                <c:ptCount val="24"/>
                <c:pt idx="0">
                  <c:v>18821</c:v>
                </c:pt>
                <c:pt idx="1">
                  <c:v>19851</c:v>
                </c:pt>
                <c:pt idx="2">
                  <c:v>19389</c:v>
                </c:pt>
                <c:pt idx="3">
                  <c:v>18785</c:v>
                </c:pt>
                <c:pt idx="4">
                  <c:v>19339</c:v>
                </c:pt>
                <c:pt idx="5">
                  <c:v>20677</c:v>
                </c:pt>
                <c:pt idx="6">
                  <c:v>19970</c:v>
                </c:pt>
                <c:pt idx="7">
                  <c:v>19699</c:v>
                </c:pt>
                <c:pt idx="8">
                  <c:v>18207</c:v>
                </c:pt>
                <c:pt idx="9">
                  <c:v>17688</c:v>
                </c:pt>
                <c:pt idx="10">
                  <c:v>15150</c:v>
                </c:pt>
                <c:pt idx="11">
                  <c:v>15125</c:v>
                </c:pt>
                <c:pt idx="12">
                  <c:v>14758</c:v>
                </c:pt>
                <c:pt idx="13">
                  <c:v>13618</c:v>
                </c:pt>
                <c:pt idx="14">
                  <c:v>13174</c:v>
                </c:pt>
                <c:pt idx="15">
                  <c:v>14018</c:v>
                </c:pt>
                <c:pt idx="16">
                  <c:v>13198</c:v>
                </c:pt>
                <c:pt idx="17">
                  <c:v>12414</c:v>
                </c:pt>
                <c:pt idx="18">
                  <c:v>11093</c:v>
                </c:pt>
                <c:pt idx="19">
                  <c:v>10539</c:v>
                </c:pt>
                <c:pt idx="20">
                  <c:v>10643</c:v>
                </c:pt>
                <c:pt idx="21">
                  <c:v>11013</c:v>
                </c:pt>
                <c:pt idx="22">
                  <c:v>10904</c:v>
                </c:pt>
                <c:pt idx="23">
                  <c:v>10654</c:v>
                </c:pt>
              </c:numCache>
            </c:numRef>
          </c:val>
          <c:smooth val="0"/>
          <c:extLst>
            <c:ext xmlns:c16="http://schemas.microsoft.com/office/drawing/2014/chart" uri="{C3380CC4-5D6E-409C-BE32-E72D297353CC}">
              <c16:uniqueId val="{00000000-26CD-4E8F-ACFC-D5308EDB7270}"/>
            </c:ext>
          </c:extLst>
        </c:ser>
        <c:dLbls>
          <c:showLegendKey val="0"/>
          <c:showVal val="0"/>
          <c:showCatName val="0"/>
          <c:showSerName val="0"/>
          <c:showPercent val="0"/>
          <c:showBubbleSize val="0"/>
        </c:dLbls>
        <c:marker val="1"/>
        <c:smooth val="0"/>
        <c:axId val="227721840"/>
        <c:axId val="171279696"/>
      </c:lineChart>
      <c:catAx>
        <c:axId val="22772184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171279696"/>
        <c:crosses val="autoZero"/>
        <c:auto val="1"/>
        <c:lblAlgn val="ctr"/>
        <c:lblOffset val="100"/>
        <c:tickLblSkip val="3"/>
        <c:noMultiLvlLbl val="0"/>
      </c:catAx>
      <c:valAx>
        <c:axId val="171279696"/>
        <c:scaling>
          <c:orientation val="minMax"/>
          <c:min val="0"/>
        </c:scaling>
        <c:delete val="0"/>
        <c:axPos val="l"/>
        <c:numFmt formatCode="#,##0" sourceLinked="1"/>
        <c:majorTickMark val="out"/>
        <c:minorTickMark val="none"/>
        <c:tickLblPos val="nextTo"/>
        <c:crossAx val="22772184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1030303030303033E-2"/>
          <c:y val="2.0590142671854734E-2"/>
        </c:manualLayout>
      </c:layout>
      <c:overlay val="0"/>
      <c:txPr>
        <a:bodyPr/>
        <a:lstStyle/>
        <a:p>
          <a:pPr algn="ctr" rtl="0">
            <a:defRPr lang="en-GB" sz="1100" b="1" i="0" u="none" strike="noStrike" kern="1200" baseline="0">
              <a:solidFill>
                <a:sysClr val="windowText" lastClr="000000">
                  <a:lumMod val="75000"/>
                  <a:lumOff val="25000"/>
                </a:sysClr>
              </a:solidFill>
              <a:latin typeface="+mn-lt"/>
              <a:ea typeface="+mn-ea"/>
              <a:cs typeface="+mn-cs"/>
            </a:defRPr>
          </a:pPr>
          <a:endParaRPr lang="en-US"/>
        </a:p>
      </c:txPr>
    </c:title>
    <c:autoTitleDeleted val="0"/>
    <c:plotArea>
      <c:layout>
        <c:manualLayout>
          <c:layoutTarget val="inner"/>
          <c:xMode val="edge"/>
          <c:yMode val="edge"/>
          <c:x val="8.9077100656535582E-3"/>
          <c:y val="0.13263888888888886"/>
          <c:w val="0.97335156634832409"/>
          <c:h val="0.74245946822308695"/>
        </c:manualLayout>
      </c:layout>
      <c:lineChart>
        <c:grouping val="standard"/>
        <c:varyColors val="0"/>
        <c:ser>
          <c:idx val="0"/>
          <c:order val="0"/>
          <c:tx>
            <c:v>Primary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'Long-Term Trend'!$A$26:$A$32</c:f>
              <c:strCache>
                <c:ptCount val="7"/>
                <c:pt idx="0">
                  <c:v>2011-12</c:v>
                </c:pt>
                <c:pt idx="1">
                  <c:v>2012-13</c:v>
                </c:pt>
                <c:pt idx="2">
                  <c:v>2013-14</c:v>
                </c:pt>
                <c:pt idx="3">
                  <c:v>2014-15</c:v>
                </c:pt>
                <c:pt idx="4">
                  <c:v>2015-16</c:v>
                </c:pt>
                <c:pt idx="5">
                  <c:v>2016-17</c:v>
                </c:pt>
                <c:pt idx="6">
                  <c:v>2017-18</c:v>
                </c:pt>
              </c:strCache>
            </c:strRef>
          </c:cat>
          <c:val>
            <c:numRef>
              <c:f>'Long-Term Trend'!$F$26:$F$32</c:f>
              <c:numCache>
                <c:formatCode>#,##0</c:formatCode>
                <c:ptCount val="7"/>
                <c:pt idx="0">
                  <c:v>12414</c:v>
                </c:pt>
                <c:pt idx="1">
                  <c:v>11093</c:v>
                </c:pt>
                <c:pt idx="2">
                  <c:v>10539</c:v>
                </c:pt>
                <c:pt idx="3">
                  <c:v>10643</c:v>
                </c:pt>
                <c:pt idx="4">
                  <c:v>11013</c:v>
                </c:pt>
                <c:pt idx="5">
                  <c:v>10904</c:v>
                </c:pt>
                <c:pt idx="6">
                  <c:v>10654</c:v>
                </c:pt>
              </c:numCache>
            </c:numRef>
          </c:val>
          <c:smooth val="0"/>
          <c:extLst>
            <c:ext xmlns:c16="http://schemas.microsoft.com/office/drawing/2014/chart" uri="{C3380CC4-5D6E-409C-BE32-E72D297353CC}">
              <c16:uniqueId val="{00000000-15D1-4EF6-A403-220185533B16}"/>
            </c:ext>
          </c:extLst>
        </c:ser>
        <c:dLbls>
          <c:showLegendKey val="0"/>
          <c:showVal val="0"/>
          <c:showCatName val="0"/>
          <c:showSerName val="0"/>
          <c:showPercent val="0"/>
          <c:showBubbleSize val="0"/>
        </c:dLbls>
        <c:marker val="1"/>
        <c:smooth val="0"/>
        <c:axId val="230878976"/>
        <c:axId val="230879368"/>
      </c:lineChart>
      <c:catAx>
        <c:axId val="23087897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0879368"/>
        <c:crosses val="autoZero"/>
        <c:auto val="1"/>
        <c:lblAlgn val="ctr"/>
        <c:lblOffset val="100"/>
        <c:noMultiLvlLbl val="0"/>
      </c:catAx>
      <c:valAx>
        <c:axId val="230879368"/>
        <c:scaling>
          <c:orientation val="minMax"/>
        </c:scaling>
        <c:delete val="1"/>
        <c:axPos val="l"/>
        <c:numFmt formatCode="#,##0" sourceLinked="1"/>
        <c:majorTickMark val="out"/>
        <c:minorTickMark val="none"/>
        <c:tickLblPos val="nextTo"/>
        <c:crossAx val="23087897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5942440334493074E-2"/>
          <c:y val="7.5535341305791965E-3"/>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8.9077100656535582E-3"/>
          <c:y val="0.11704442282749676"/>
          <c:w val="0.97335156634832409"/>
          <c:h val="0.75655966277561604"/>
        </c:manualLayout>
      </c:layout>
      <c:lineChart>
        <c:grouping val="standard"/>
        <c:varyColors val="0"/>
        <c:ser>
          <c:idx val="0"/>
          <c:order val="0"/>
          <c:tx>
            <c:v>Secondary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'Long-Term Trend'!$A$26:$A$32</c:f>
              <c:strCache>
                <c:ptCount val="7"/>
                <c:pt idx="0">
                  <c:v>2011-12</c:v>
                </c:pt>
                <c:pt idx="1">
                  <c:v>2012-13</c:v>
                </c:pt>
                <c:pt idx="2">
                  <c:v>2013-14</c:v>
                </c:pt>
                <c:pt idx="3">
                  <c:v>2014-15</c:v>
                </c:pt>
                <c:pt idx="4">
                  <c:v>2015-16</c:v>
                </c:pt>
                <c:pt idx="5">
                  <c:v>2016-17</c:v>
                </c:pt>
                <c:pt idx="6">
                  <c:v>2017-18</c:v>
                </c:pt>
              </c:strCache>
            </c:strRef>
          </c:cat>
          <c:val>
            <c:numRef>
              <c:f>'Long-Term Trend'!$G$26:$G$32</c:f>
              <c:numCache>
                <c:formatCode>#,##0</c:formatCode>
                <c:ptCount val="7"/>
                <c:pt idx="0">
                  <c:v>18681</c:v>
                </c:pt>
                <c:pt idx="1">
                  <c:v>14278</c:v>
                </c:pt>
                <c:pt idx="2">
                  <c:v>16360</c:v>
                </c:pt>
                <c:pt idx="3">
                  <c:v>13406</c:v>
                </c:pt>
                <c:pt idx="4">
                  <c:v>14732</c:v>
                </c:pt>
                <c:pt idx="5">
                  <c:v>15657</c:v>
                </c:pt>
                <c:pt idx="6">
                  <c:v>14698</c:v>
                </c:pt>
              </c:numCache>
            </c:numRef>
          </c:val>
          <c:smooth val="0"/>
          <c:extLst>
            <c:ext xmlns:c16="http://schemas.microsoft.com/office/drawing/2014/chart" uri="{C3380CC4-5D6E-409C-BE32-E72D297353CC}">
              <c16:uniqueId val="{00000000-E24F-4E11-9C75-770B6BA3CC39}"/>
            </c:ext>
          </c:extLst>
        </c:ser>
        <c:dLbls>
          <c:showLegendKey val="0"/>
          <c:showVal val="0"/>
          <c:showCatName val="0"/>
          <c:showSerName val="0"/>
          <c:showPercent val="0"/>
          <c:showBubbleSize val="0"/>
        </c:dLbls>
        <c:marker val="1"/>
        <c:smooth val="0"/>
        <c:axId val="230880152"/>
        <c:axId val="230880544"/>
      </c:lineChart>
      <c:catAx>
        <c:axId val="23088015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0880544"/>
        <c:crosses val="autoZero"/>
        <c:auto val="1"/>
        <c:lblAlgn val="ctr"/>
        <c:lblOffset val="100"/>
        <c:noMultiLvlLbl val="0"/>
      </c:catAx>
      <c:valAx>
        <c:axId val="230880544"/>
        <c:scaling>
          <c:orientation val="minMax"/>
        </c:scaling>
        <c:delete val="1"/>
        <c:axPos val="l"/>
        <c:numFmt formatCode="#,##0" sourceLinked="1"/>
        <c:majorTickMark val="out"/>
        <c:minorTickMark val="none"/>
        <c:tickLblPos val="nextTo"/>
        <c:crossAx val="23088015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2066471342245012E-2"/>
          <c:y val="7.5535341305791965E-3"/>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8.9077100656535582E-3"/>
          <c:y val="0.1229739515780372"/>
          <c:w val="0.97335156634832409"/>
          <c:h val="0.75212440553393856"/>
        </c:manualLayout>
      </c:layout>
      <c:lineChart>
        <c:grouping val="standard"/>
        <c:varyColors val="0"/>
        <c:ser>
          <c:idx val="0"/>
          <c:order val="0"/>
          <c:tx>
            <c:v>Chimney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'Long-Term Trend'!$A$26:$A$32</c:f>
              <c:strCache>
                <c:ptCount val="7"/>
                <c:pt idx="0">
                  <c:v>2011-12</c:v>
                </c:pt>
                <c:pt idx="1">
                  <c:v>2012-13</c:v>
                </c:pt>
                <c:pt idx="2">
                  <c:v>2013-14</c:v>
                </c:pt>
                <c:pt idx="3">
                  <c:v>2014-15</c:v>
                </c:pt>
                <c:pt idx="4">
                  <c:v>2015-16</c:v>
                </c:pt>
                <c:pt idx="5">
                  <c:v>2016-17</c:v>
                </c:pt>
                <c:pt idx="6">
                  <c:v>2017-18</c:v>
                </c:pt>
              </c:strCache>
            </c:strRef>
          </c:cat>
          <c:val>
            <c:numRef>
              <c:f>'Long-Term Trend'!$H$26:$H$32</c:f>
              <c:numCache>
                <c:formatCode>#,##0</c:formatCode>
                <c:ptCount val="7"/>
                <c:pt idx="0">
                  <c:v>1243</c:v>
                </c:pt>
                <c:pt idx="1">
                  <c:v>1375</c:v>
                </c:pt>
                <c:pt idx="2">
                  <c:v>1093</c:v>
                </c:pt>
                <c:pt idx="3">
                  <c:v>977</c:v>
                </c:pt>
                <c:pt idx="4">
                  <c:v>883</c:v>
                </c:pt>
                <c:pt idx="5">
                  <c:v>710</c:v>
                </c:pt>
                <c:pt idx="6">
                  <c:v>763</c:v>
                </c:pt>
              </c:numCache>
            </c:numRef>
          </c:val>
          <c:smooth val="0"/>
          <c:extLst>
            <c:ext xmlns:c16="http://schemas.microsoft.com/office/drawing/2014/chart" uri="{C3380CC4-5D6E-409C-BE32-E72D297353CC}">
              <c16:uniqueId val="{00000000-AC19-47ED-ADB5-0F323C098E05}"/>
            </c:ext>
          </c:extLst>
        </c:ser>
        <c:dLbls>
          <c:showLegendKey val="0"/>
          <c:showVal val="0"/>
          <c:showCatName val="0"/>
          <c:showSerName val="0"/>
          <c:showPercent val="0"/>
          <c:showBubbleSize val="0"/>
        </c:dLbls>
        <c:marker val="1"/>
        <c:smooth val="0"/>
        <c:axId val="229192480"/>
        <c:axId val="229192872"/>
      </c:lineChart>
      <c:catAx>
        <c:axId val="22919248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29192872"/>
        <c:crosses val="autoZero"/>
        <c:auto val="1"/>
        <c:lblAlgn val="ctr"/>
        <c:lblOffset val="100"/>
        <c:noMultiLvlLbl val="0"/>
      </c:catAx>
      <c:valAx>
        <c:axId val="229192872"/>
        <c:scaling>
          <c:orientation val="minMax"/>
        </c:scaling>
        <c:delete val="1"/>
        <c:axPos val="l"/>
        <c:numFmt formatCode="#,##0" sourceLinked="1"/>
        <c:majorTickMark val="out"/>
        <c:minorTickMark val="none"/>
        <c:tickLblPos val="nextTo"/>
        <c:crossAx val="22919248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28740157480315E-2"/>
          <c:y val="2.3148085615315568E-2"/>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8.9077100656535582E-3"/>
          <c:y val="0.14449794638996974"/>
          <c:w val="0.97335156634832409"/>
          <c:h val="0.72733192823173365"/>
        </c:manualLayout>
      </c:layout>
      <c:lineChart>
        <c:grouping val="standard"/>
        <c:varyColors val="0"/>
        <c:ser>
          <c:idx val="0"/>
          <c:order val="0"/>
          <c:tx>
            <c:v>Non-Fire Incidents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'Long-Term Trend'!$A$26:$A$32</c:f>
              <c:strCache>
                <c:ptCount val="7"/>
                <c:pt idx="0">
                  <c:v>2011-12</c:v>
                </c:pt>
                <c:pt idx="1">
                  <c:v>2012-13</c:v>
                </c:pt>
                <c:pt idx="2">
                  <c:v>2013-14</c:v>
                </c:pt>
                <c:pt idx="3">
                  <c:v>2014-15</c:v>
                </c:pt>
                <c:pt idx="4">
                  <c:v>2015-16</c:v>
                </c:pt>
                <c:pt idx="5">
                  <c:v>2016-17</c:v>
                </c:pt>
                <c:pt idx="6">
                  <c:v>2017-18</c:v>
                </c:pt>
              </c:strCache>
            </c:strRef>
          </c:cat>
          <c:val>
            <c:numRef>
              <c:f>'Long-Term Trend'!$U$26:$U$32</c:f>
              <c:numCache>
                <c:formatCode>#,##0</c:formatCode>
                <c:ptCount val="7"/>
                <c:pt idx="0">
                  <c:v>10117</c:v>
                </c:pt>
                <c:pt idx="1">
                  <c:v>9158</c:v>
                </c:pt>
                <c:pt idx="2">
                  <c:v>9162</c:v>
                </c:pt>
                <c:pt idx="3">
                  <c:v>10743</c:v>
                </c:pt>
                <c:pt idx="4">
                  <c:v>12840</c:v>
                </c:pt>
                <c:pt idx="5">
                  <c:v>12369</c:v>
                </c:pt>
                <c:pt idx="6">
                  <c:v>13128</c:v>
                </c:pt>
              </c:numCache>
            </c:numRef>
          </c:val>
          <c:smooth val="0"/>
          <c:extLst>
            <c:ext xmlns:c16="http://schemas.microsoft.com/office/drawing/2014/chart" uri="{C3380CC4-5D6E-409C-BE32-E72D297353CC}">
              <c16:uniqueId val="{00000000-ED1B-4063-9E26-A58317163FC7}"/>
            </c:ext>
          </c:extLst>
        </c:ser>
        <c:dLbls>
          <c:showLegendKey val="0"/>
          <c:showVal val="0"/>
          <c:showCatName val="0"/>
          <c:showSerName val="0"/>
          <c:showPercent val="0"/>
          <c:showBubbleSize val="0"/>
        </c:dLbls>
        <c:marker val="1"/>
        <c:smooth val="0"/>
        <c:axId val="229193656"/>
        <c:axId val="229194048"/>
      </c:lineChart>
      <c:catAx>
        <c:axId val="22919365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29194048"/>
        <c:crosses val="autoZero"/>
        <c:auto val="1"/>
        <c:lblAlgn val="ctr"/>
        <c:lblOffset val="100"/>
        <c:noMultiLvlLbl val="0"/>
      </c:catAx>
      <c:valAx>
        <c:axId val="229194048"/>
        <c:scaling>
          <c:orientation val="minMax"/>
        </c:scaling>
        <c:delete val="1"/>
        <c:axPos val="l"/>
        <c:numFmt formatCode="#,##0" sourceLinked="1"/>
        <c:majorTickMark val="out"/>
        <c:minorTickMark val="none"/>
        <c:tickLblPos val="nextTo"/>
        <c:crossAx val="22919365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3681560153817987E-2"/>
          <c:y val="7.5535341305791965E-3"/>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4.5569056298096398E-2"/>
          <c:y val="0.13077118460873324"/>
          <c:w val="0.95443094370190362"/>
          <c:h val="0.74432717250324254"/>
        </c:manualLayout>
      </c:layout>
      <c:lineChart>
        <c:grouping val="standard"/>
        <c:varyColors val="0"/>
        <c:ser>
          <c:idx val="0"/>
          <c:order val="0"/>
          <c:tx>
            <c:v>False Alarms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'Long-Term Trend'!$A$26:$A$32</c:f>
              <c:strCache>
                <c:ptCount val="7"/>
                <c:pt idx="0">
                  <c:v>2011-12</c:v>
                </c:pt>
                <c:pt idx="1">
                  <c:v>2012-13</c:v>
                </c:pt>
                <c:pt idx="2">
                  <c:v>2013-14</c:v>
                </c:pt>
                <c:pt idx="3">
                  <c:v>2014-15</c:v>
                </c:pt>
                <c:pt idx="4">
                  <c:v>2015-16</c:v>
                </c:pt>
                <c:pt idx="5">
                  <c:v>2016-17</c:v>
                </c:pt>
                <c:pt idx="6">
                  <c:v>2017-18</c:v>
                </c:pt>
              </c:strCache>
            </c:strRef>
          </c:cat>
          <c:val>
            <c:numRef>
              <c:f>'Long-Term Trend'!$S$26:$S$32</c:f>
              <c:numCache>
                <c:formatCode>#,##0</c:formatCode>
                <c:ptCount val="7"/>
                <c:pt idx="0">
                  <c:v>49103</c:v>
                </c:pt>
                <c:pt idx="1">
                  <c:v>47926</c:v>
                </c:pt>
                <c:pt idx="2">
                  <c:v>47753</c:v>
                </c:pt>
                <c:pt idx="3">
                  <c:v>49303</c:v>
                </c:pt>
                <c:pt idx="4">
                  <c:v>49401</c:v>
                </c:pt>
                <c:pt idx="5">
                  <c:v>51580</c:v>
                </c:pt>
                <c:pt idx="6">
                  <c:v>52452</c:v>
                </c:pt>
              </c:numCache>
            </c:numRef>
          </c:val>
          <c:smooth val="0"/>
          <c:extLst>
            <c:ext xmlns:c16="http://schemas.microsoft.com/office/drawing/2014/chart" uri="{C3380CC4-5D6E-409C-BE32-E72D297353CC}">
              <c16:uniqueId val="{00000000-1590-4736-A55F-0F6A672F68B7}"/>
            </c:ext>
          </c:extLst>
        </c:ser>
        <c:dLbls>
          <c:showLegendKey val="0"/>
          <c:showVal val="0"/>
          <c:showCatName val="0"/>
          <c:showSerName val="0"/>
          <c:showPercent val="0"/>
          <c:showBubbleSize val="0"/>
        </c:dLbls>
        <c:marker val="1"/>
        <c:smooth val="0"/>
        <c:axId val="229194832"/>
        <c:axId val="229195224"/>
      </c:lineChart>
      <c:catAx>
        <c:axId val="22919483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29195224"/>
        <c:crosses val="autoZero"/>
        <c:auto val="1"/>
        <c:lblAlgn val="ctr"/>
        <c:lblOffset val="100"/>
        <c:noMultiLvlLbl val="0"/>
      </c:catAx>
      <c:valAx>
        <c:axId val="229195224"/>
        <c:scaling>
          <c:orientation val="minMax"/>
        </c:scaling>
        <c:delete val="1"/>
        <c:axPos val="l"/>
        <c:numFmt formatCode="#,##0" sourceLinked="1"/>
        <c:majorTickMark val="out"/>
        <c:minorTickMark val="none"/>
        <c:tickLblPos val="nextTo"/>
        <c:crossAx val="229194832"/>
        <c:crosses val="autoZero"/>
        <c:crossBetween val="between"/>
      </c:valAx>
      <c:spPr>
        <a:noFill/>
        <a:ln w="25400">
          <a:noFill/>
        </a:ln>
      </c:spPr>
    </c:plotArea>
    <c:plotVisOnly val="1"/>
    <c:dispBlanksAs val="gap"/>
    <c:showDLblsOverMax val="0"/>
  </c:chart>
  <c:printSettings>
    <c:headerFooter/>
    <c:pageMargins b="0.75" l="0.25" r="0.25"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83,830</a:t>
            </a:r>
            <a:r>
              <a:rPr lang="en-GB" baseline="0"/>
              <a:t> </a:t>
            </a:r>
          </a:p>
          <a:p>
            <a:pPr>
              <a:defRPr/>
            </a:pPr>
            <a:r>
              <a:rPr lang="en-GB" baseline="0"/>
              <a:t>incidents </a:t>
            </a:r>
          </a:p>
          <a:p>
            <a:pPr>
              <a:defRPr/>
            </a:pPr>
            <a:r>
              <a:rPr lang="en-GB" baseline="0"/>
              <a:t>in 2012-13</a:t>
            </a:r>
            <a:endParaRPr lang="en-GB"/>
          </a:p>
        </c:rich>
      </c:tx>
      <c:layout>
        <c:manualLayout>
          <c:xMode val="edge"/>
          <c:yMode val="edge"/>
          <c:x val="0.42363536884173464"/>
          <c:y val="0.37333333333333335"/>
        </c:manualLayout>
      </c:layout>
      <c:overlay val="1"/>
    </c:title>
    <c:autoTitleDeleted val="0"/>
    <c:plotArea>
      <c:layout/>
      <c:doughnutChart>
        <c:varyColors val="1"/>
        <c:ser>
          <c:idx val="0"/>
          <c:order val="0"/>
          <c:spPr>
            <a:ln>
              <a:solidFill>
                <a:schemeClr val="bg1"/>
              </a:solidFill>
            </a:ln>
          </c:spPr>
          <c:dPt>
            <c:idx val="0"/>
            <c:bubble3D val="0"/>
            <c:spPr>
              <a:solidFill>
                <a:schemeClr val="tx1">
                  <a:lumMod val="65000"/>
                  <a:lumOff val="35000"/>
                  <a:alpha val="91000"/>
                </a:schemeClr>
              </a:solidFill>
              <a:ln>
                <a:solidFill>
                  <a:schemeClr val="bg1"/>
                </a:solidFill>
              </a:ln>
            </c:spPr>
            <c:extLst>
              <c:ext xmlns:c16="http://schemas.microsoft.com/office/drawing/2014/chart" uri="{C3380CC4-5D6E-409C-BE32-E72D297353CC}">
                <c16:uniqueId val="{00000001-E54D-4AC6-9864-09B2E03426E6}"/>
              </c:ext>
            </c:extLst>
          </c:dPt>
          <c:dPt>
            <c:idx val="1"/>
            <c:bubble3D val="0"/>
            <c:spPr>
              <a:solidFill>
                <a:schemeClr val="tx1">
                  <a:lumMod val="50000"/>
                  <a:lumOff val="50000"/>
                </a:schemeClr>
              </a:solidFill>
              <a:ln>
                <a:solidFill>
                  <a:schemeClr val="bg1"/>
                </a:solidFill>
              </a:ln>
            </c:spPr>
            <c:extLst>
              <c:ext xmlns:c16="http://schemas.microsoft.com/office/drawing/2014/chart" uri="{C3380CC4-5D6E-409C-BE32-E72D297353CC}">
                <c16:uniqueId val="{00000003-E54D-4AC6-9864-09B2E03426E6}"/>
              </c:ext>
            </c:extLst>
          </c:dPt>
          <c:dPt>
            <c:idx val="2"/>
            <c:bubble3D val="0"/>
            <c:spPr>
              <a:solidFill>
                <a:schemeClr val="bg1">
                  <a:lumMod val="65000"/>
                </a:schemeClr>
              </a:solidFill>
              <a:ln>
                <a:solidFill>
                  <a:schemeClr val="bg1"/>
                </a:solidFill>
              </a:ln>
            </c:spPr>
            <c:extLst>
              <c:ext xmlns:c16="http://schemas.microsoft.com/office/drawing/2014/chart" uri="{C3380CC4-5D6E-409C-BE32-E72D297353CC}">
                <c16:uniqueId val="{00000005-E54D-4AC6-9864-09B2E03426E6}"/>
              </c:ext>
            </c:extLst>
          </c:dPt>
          <c:dPt>
            <c:idx val="3"/>
            <c:bubble3D val="0"/>
            <c:spPr>
              <a:solidFill>
                <a:schemeClr val="bg1">
                  <a:lumMod val="75000"/>
                </a:schemeClr>
              </a:solidFill>
              <a:ln>
                <a:solidFill>
                  <a:schemeClr val="bg1"/>
                </a:solidFill>
              </a:ln>
            </c:spPr>
            <c:extLst>
              <c:ext xmlns:c16="http://schemas.microsoft.com/office/drawing/2014/chart" uri="{C3380CC4-5D6E-409C-BE32-E72D297353CC}">
                <c16:uniqueId val="{00000007-E54D-4AC6-9864-09B2E03426E6}"/>
              </c:ext>
            </c:extLst>
          </c:dPt>
          <c:dPt>
            <c:idx val="4"/>
            <c:bubble3D val="0"/>
            <c:spPr>
              <a:solidFill>
                <a:schemeClr val="bg1">
                  <a:lumMod val="75000"/>
                  <a:alpha val="80000"/>
                </a:schemeClr>
              </a:solidFill>
              <a:ln>
                <a:solidFill>
                  <a:schemeClr val="bg1"/>
                </a:solidFill>
              </a:ln>
            </c:spPr>
            <c:extLst>
              <c:ext xmlns:c16="http://schemas.microsoft.com/office/drawing/2014/chart" uri="{C3380CC4-5D6E-409C-BE32-E72D297353CC}">
                <c16:uniqueId val="{00000009-E54D-4AC6-9864-09B2E03426E6}"/>
              </c:ext>
            </c:extLst>
          </c:dPt>
          <c:dLbls>
            <c:dLbl>
              <c:idx val="0"/>
              <c:layout>
                <c:manualLayout>
                  <c:x val="-5.655335379150852E-4"/>
                  <c:y val="1.0182621909103468E-3"/>
                </c:manualLayout>
              </c:layout>
              <c:numFmt formatCode="0.0%" sourceLinked="0"/>
              <c:spPr>
                <a:noFill/>
                <a:ln>
                  <a:noFill/>
                </a:ln>
              </c:spPr>
              <c:txPr>
                <a:bodyPr vertOverflow="overflow" horzOverflow="overflow" wrap="square">
                  <a:spAutoFit/>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E54D-4AC6-9864-09B2E03426E6}"/>
                </c:ext>
              </c:extLst>
            </c:dLbl>
            <c:dLbl>
              <c:idx val="1"/>
              <c:layout>
                <c:manualLayout>
                  <c:x val="-3.6347344799422731E-3"/>
                  <c:y val="1.255422019615969E-3"/>
                </c:manualLayout>
              </c:layout>
              <c:numFmt formatCode="0.0%" sourceLinked="0"/>
              <c:spPr>
                <a:noFill/>
                <a:ln>
                  <a:noFill/>
                </a:ln>
              </c:spPr>
              <c:txPr>
                <a:bodyPr vertOverflow="overflow" horzOverflow="overflow" wrap="square">
                  <a:spAutoFit/>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E54D-4AC6-9864-09B2E03426E6}"/>
                </c:ext>
              </c:extLst>
            </c:dLbl>
            <c:dLbl>
              <c:idx val="2"/>
              <c:layout>
                <c:manualLayout>
                  <c:x val="0.16545567000499559"/>
                  <c:y val="1.9413289128332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4D-4AC6-9864-09B2E03426E6}"/>
                </c:ext>
              </c:extLst>
            </c:dLbl>
            <c:dLbl>
              <c:idx val="3"/>
              <c:layout>
                <c:manualLayout>
                  <c:x val="4.7699249074228262E-3"/>
                  <c:y val="-2.19075562923055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4D-4AC6-9864-09B2E03426E6}"/>
                </c:ext>
              </c:extLst>
            </c:dLbl>
            <c:dLbl>
              <c:idx val="4"/>
              <c:layout>
                <c:manualLayout>
                  <c:x val="1.8038077566587796E-3"/>
                  <c:y val="-1.4760049730625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4D-4AC6-9864-09B2E03426E6}"/>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'Figure 2'!$B$9:$B$13</c:f>
              <c:strCache>
                <c:ptCount val="5"/>
                <c:pt idx="0">
                  <c:v>Primary Fires</c:v>
                </c:pt>
                <c:pt idx="1">
                  <c:v>Secondary Fires</c:v>
                </c:pt>
                <c:pt idx="2">
                  <c:v>Chimney Fires</c:v>
                </c:pt>
                <c:pt idx="3">
                  <c:v>Non-Fire Incidents</c:v>
                </c:pt>
                <c:pt idx="4">
                  <c:v>False Alarms</c:v>
                </c:pt>
              </c:strCache>
            </c:strRef>
          </c:cat>
          <c:val>
            <c:numRef>
              <c:f>'Figure 2'!$D$9:$D$13</c:f>
              <c:numCache>
                <c:formatCode>#,##0</c:formatCode>
                <c:ptCount val="5"/>
                <c:pt idx="0">
                  <c:v>11093</c:v>
                </c:pt>
                <c:pt idx="1">
                  <c:v>14278</c:v>
                </c:pt>
                <c:pt idx="2">
                  <c:v>1375</c:v>
                </c:pt>
                <c:pt idx="3">
                  <c:v>9158</c:v>
                </c:pt>
                <c:pt idx="4">
                  <c:v>47926</c:v>
                </c:pt>
              </c:numCache>
            </c:numRef>
          </c:val>
          <c:extLst>
            <c:ext xmlns:c16="http://schemas.microsoft.com/office/drawing/2014/chart" uri="{C3380CC4-5D6E-409C-BE32-E72D297353CC}">
              <c16:uniqueId val="{0000000A-E54D-4AC6-9864-09B2E03426E6}"/>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91,695</a:t>
            </a:r>
            <a:r>
              <a:rPr lang="en-GB" baseline="0"/>
              <a:t> </a:t>
            </a:r>
          </a:p>
          <a:p>
            <a:pPr>
              <a:defRPr/>
            </a:pPr>
            <a:r>
              <a:rPr lang="en-GB" baseline="0"/>
              <a:t>incidents </a:t>
            </a:r>
          </a:p>
          <a:p>
            <a:pPr>
              <a:defRPr/>
            </a:pPr>
            <a:r>
              <a:rPr lang="en-GB" baseline="0"/>
              <a:t>in 2017-18</a:t>
            </a:r>
            <a:endParaRPr lang="en-GB"/>
          </a:p>
        </c:rich>
      </c:tx>
      <c:layout>
        <c:manualLayout>
          <c:xMode val="edge"/>
          <c:yMode val="edge"/>
          <c:x val="0.42162127015089879"/>
          <c:y val="0.36771929824561406"/>
        </c:manualLayout>
      </c:layout>
      <c:overlay val="1"/>
    </c:title>
    <c:autoTitleDeleted val="0"/>
    <c:plotArea>
      <c:layout/>
      <c:doughnutChart>
        <c:varyColors val="1"/>
        <c:ser>
          <c:idx val="0"/>
          <c:order val="0"/>
          <c:spPr>
            <a:ln>
              <a:solidFill>
                <a:schemeClr val="bg1"/>
              </a:solidFill>
            </a:ln>
          </c:spPr>
          <c:dPt>
            <c:idx val="0"/>
            <c:bubble3D val="0"/>
            <c:spPr>
              <a:solidFill>
                <a:schemeClr val="tx1">
                  <a:lumMod val="65000"/>
                  <a:lumOff val="35000"/>
                  <a:alpha val="91000"/>
                </a:schemeClr>
              </a:solidFill>
              <a:ln>
                <a:solidFill>
                  <a:schemeClr val="bg1"/>
                </a:solidFill>
              </a:ln>
            </c:spPr>
            <c:extLst>
              <c:ext xmlns:c16="http://schemas.microsoft.com/office/drawing/2014/chart" uri="{C3380CC4-5D6E-409C-BE32-E72D297353CC}">
                <c16:uniqueId val="{00000001-E54D-4AC6-9864-09B2E03426E6}"/>
              </c:ext>
            </c:extLst>
          </c:dPt>
          <c:dPt>
            <c:idx val="1"/>
            <c:bubble3D val="0"/>
            <c:spPr>
              <a:solidFill>
                <a:schemeClr val="tx1">
                  <a:lumMod val="50000"/>
                  <a:lumOff val="50000"/>
                </a:schemeClr>
              </a:solidFill>
              <a:ln>
                <a:solidFill>
                  <a:schemeClr val="bg1"/>
                </a:solidFill>
              </a:ln>
            </c:spPr>
            <c:extLst>
              <c:ext xmlns:c16="http://schemas.microsoft.com/office/drawing/2014/chart" uri="{C3380CC4-5D6E-409C-BE32-E72D297353CC}">
                <c16:uniqueId val="{00000003-E54D-4AC6-9864-09B2E03426E6}"/>
              </c:ext>
            </c:extLst>
          </c:dPt>
          <c:dPt>
            <c:idx val="2"/>
            <c:bubble3D val="0"/>
            <c:spPr>
              <a:solidFill>
                <a:schemeClr val="bg1">
                  <a:lumMod val="65000"/>
                </a:schemeClr>
              </a:solidFill>
              <a:ln>
                <a:solidFill>
                  <a:schemeClr val="bg1"/>
                </a:solidFill>
              </a:ln>
            </c:spPr>
            <c:extLst>
              <c:ext xmlns:c16="http://schemas.microsoft.com/office/drawing/2014/chart" uri="{C3380CC4-5D6E-409C-BE32-E72D297353CC}">
                <c16:uniqueId val="{00000005-E54D-4AC6-9864-09B2E03426E6}"/>
              </c:ext>
            </c:extLst>
          </c:dPt>
          <c:dPt>
            <c:idx val="3"/>
            <c:bubble3D val="0"/>
            <c:spPr>
              <a:solidFill>
                <a:schemeClr val="bg1">
                  <a:lumMod val="75000"/>
                </a:schemeClr>
              </a:solidFill>
              <a:ln>
                <a:solidFill>
                  <a:schemeClr val="bg1"/>
                </a:solidFill>
              </a:ln>
            </c:spPr>
            <c:extLst>
              <c:ext xmlns:c16="http://schemas.microsoft.com/office/drawing/2014/chart" uri="{C3380CC4-5D6E-409C-BE32-E72D297353CC}">
                <c16:uniqueId val="{00000007-E54D-4AC6-9864-09B2E03426E6}"/>
              </c:ext>
            </c:extLst>
          </c:dPt>
          <c:dPt>
            <c:idx val="4"/>
            <c:bubble3D val="0"/>
            <c:spPr>
              <a:solidFill>
                <a:schemeClr val="bg1">
                  <a:lumMod val="75000"/>
                  <a:alpha val="80000"/>
                </a:schemeClr>
              </a:solidFill>
              <a:ln>
                <a:solidFill>
                  <a:schemeClr val="bg1"/>
                </a:solidFill>
              </a:ln>
            </c:spPr>
            <c:extLst>
              <c:ext xmlns:c16="http://schemas.microsoft.com/office/drawing/2014/chart" uri="{C3380CC4-5D6E-409C-BE32-E72D297353CC}">
                <c16:uniqueId val="{00000009-E54D-4AC6-9864-09B2E03426E6}"/>
              </c:ext>
            </c:extLst>
          </c:dPt>
          <c:dLbls>
            <c:dLbl>
              <c:idx val="0"/>
              <c:layout>
                <c:manualLayout>
                  <c:x val="-5.655335379150852E-4"/>
                  <c:y val="9.4393148224892424E-3"/>
                </c:manualLayout>
              </c:layout>
              <c:numFmt formatCode="0.0%" sourceLinked="0"/>
              <c:spPr>
                <a:noFill/>
                <a:ln>
                  <a:noFill/>
                </a:ln>
              </c:spPr>
              <c:txPr>
                <a:bodyPr vertOverflow="overflow" horzOverflow="overflow" wrap="square">
                  <a:spAutoFit/>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E54D-4AC6-9864-09B2E03426E6}"/>
                </c:ext>
              </c:extLst>
            </c:dLbl>
            <c:dLbl>
              <c:idx val="1"/>
              <c:layout>
                <c:manualLayout>
                  <c:x val="-3.6347344799422731E-3"/>
                  <c:y val="1.255422019615969E-3"/>
                </c:manualLayout>
              </c:layout>
              <c:numFmt formatCode="0.0%" sourceLinked="0"/>
              <c:spPr>
                <a:noFill/>
                <a:ln>
                  <a:noFill/>
                </a:ln>
              </c:spPr>
              <c:txPr>
                <a:bodyPr vertOverflow="overflow" horzOverflow="overflow" wrap="square">
                  <a:spAutoFit/>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E54D-4AC6-9864-09B2E03426E6}"/>
                </c:ext>
              </c:extLst>
            </c:dLbl>
            <c:dLbl>
              <c:idx val="2"/>
              <c:layout>
                <c:manualLayout>
                  <c:x val="0.16545567000499559"/>
                  <c:y val="1.9413289128332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4D-4AC6-9864-09B2E03426E6}"/>
                </c:ext>
              </c:extLst>
            </c:dLbl>
            <c:dLbl>
              <c:idx val="3"/>
              <c:layout>
                <c:manualLayout>
                  <c:x val="4.7699249074228262E-3"/>
                  <c:y val="-2.19075562923055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4D-4AC6-9864-09B2E03426E6}"/>
                </c:ext>
              </c:extLst>
            </c:dLbl>
            <c:dLbl>
              <c:idx val="4"/>
              <c:layout>
                <c:manualLayout>
                  <c:x val="1.8038077566587796E-3"/>
                  <c:y val="-1.4760049730625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4D-4AC6-9864-09B2E03426E6}"/>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'Figure 2'!$B$9:$B$13</c:f>
              <c:strCache>
                <c:ptCount val="5"/>
                <c:pt idx="0">
                  <c:v>Primary Fires</c:v>
                </c:pt>
                <c:pt idx="1">
                  <c:v>Secondary Fires</c:v>
                </c:pt>
                <c:pt idx="2">
                  <c:v>Chimney Fires</c:v>
                </c:pt>
                <c:pt idx="3">
                  <c:v>Non-Fire Incidents</c:v>
                </c:pt>
                <c:pt idx="4">
                  <c:v>False Alarms</c:v>
                </c:pt>
              </c:strCache>
            </c:strRef>
          </c:cat>
          <c:val>
            <c:numRef>
              <c:f>'Figure 2'!$C$9:$C$13</c:f>
              <c:numCache>
                <c:formatCode>#,##0</c:formatCode>
                <c:ptCount val="5"/>
                <c:pt idx="0">
                  <c:v>10654</c:v>
                </c:pt>
                <c:pt idx="1">
                  <c:v>14698</c:v>
                </c:pt>
                <c:pt idx="2">
                  <c:v>763</c:v>
                </c:pt>
                <c:pt idx="3">
                  <c:v>13128</c:v>
                </c:pt>
                <c:pt idx="4">
                  <c:v>52452</c:v>
                </c:pt>
              </c:numCache>
            </c:numRef>
          </c:val>
          <c:extLst>
            <c:ext xmlns:c16="http://schemas.microsoft.com/office/drawing/2014/chart" uri="{C3380CC4-5D6E-409C-BE32-E72D297353CC}">
              <c16:uniqueId val="{0000000A-E54D-4AC6-9864-09B2E03426E6}"/>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chemeClr val="bg1"/>
              </a:solidFill>
            </a:ln>
          </c:spPr>
          <c:dPt>
            <c:idx val="0"/>
            <c:bubble3D val="0"/>
            <c:spPr>
              <a:solidFill>
                <a:schemeClr val="tx1">
                  <a:lumMod val="65000"/>
                  <a:lumOff val="35000"/>
                  <a:alpha val="67000"/>
                </a:schemeClr>
              </a:solidFill>
              <a:ln>
                <a:solidFill>
                  <a:schemeClr val="bg1"/>
                </a:solidFill>
              </a:ln>
            </c:spPr>
            <c:extLst>
              <c:ext xmlns:c16="http://schemas.microsoft.com/office/drawing/2014/chart" uri="{C3380CC4-5D6E-409C-BE32-E72D297353CC}">
                <c16:uniqueId val="{00000001-7F18-4E9E-A48C-05569903273C}"/>
              </c:ext>
            </c:extLst>
          </c:dPt>
          <c:dPt>
            <c:idx val="1"/>
            <c:bubble3D val="0"/>
            <c:spPr>
              <a:solidFill>
                <a:schemeClr val="bg1">
                  <a:lumMod val="50000"/>
                  <a:alpha val="64000"/>
                </a:schemeClr>
              </a:solidFill>
              <a:ln>
                <a:solidFill>
                  <a:schemeClr val="bg1"/>
                </a:solidFill>
              </a:ln>
            </c:spPr>
            <c:extLst>
              <c:ext xmlns:c16="http://schemas.microsoft.com/office/drawing/2014/chart" uri="{C3380CC4-5D6E-409C-BE32-E72D297353CC}">
                <c16:uniqueId val="{00000003-7F18-4E9E-A48C-05569903273C}"/>
              </c:ext>
            </c:extLst>
          </c:dPt>
          <c:dPt>
            <c:idx val="2"/>
            <c:bubble3D val="0"/>
            <c:spPr>
              <a:solidFill>
                <a:schemeClr val="bg1">
                  <a:lumMod val="65000"/>
                  <a:alpha val="56000"/>
                </a:schemeClr>
              </a:solidFill>
              <a:ln>
                <a:solidFill>
                  <a:schemeClr val="bg1"/>
                </a:solidFill>
              </a:ln>
            </c:spPr>
            <c:extLst>
              <c:ext xmlns:c16="http://schemas.microsoft.com/office/drawing/2014/chart" uri="{C3380CC4-5D6E-409C-BE32-E72D297353CC}">
                <c16:uniqueId val="{00000005-7F18-4E9E-A48C-05569903273C}"/>
              </c:ext>
            </c:extLst>
          </c:dPt>
          <c:dPt>
            <c:idx val="3"/>
            <c:bubble3D val="0"/>
            <c:spPr>
              <a:solidFill>
                <a:schemeClr val="bg1">
                  <a:lumMod val="85000"/>
                  <a:alpha val="73000"/>
                </a:schemeClr>
              </a:solidFill>
              <a:ln>
                <a:solidFill>
                  <a:schemeClr val="bg1"/>
                </a:solidFill>
              </a:ln>
            </c:spPr>
            <c:extLst>
              <c:ext xmlns:c16="http://schemas.microsoft.com/office/drawing/2014/chart" uri="{C3380CC4-5D6E-409C-BE32-E72D297353CC}">
                <c16:uniqueId val="{00000007-7F18-4E9E-A48C-05569903273C}"/>
              </c:ext>
            </c:extLst>
          </c:dPt>
          <c:dPt>
            <c:idx val="4"/>
            <c:bubble3D val="0"/>
            <c:spPr>
              <a:solidFill>
                <a:schemeClr val="bg1">
                  <a:lumMod val="75000"/>
                  <a:alpha val="67000"/>
                </a:schemeClr>
              </a:solidFill>
              <a:ln>
                <a:solidFill>
                  <a:schemeClr val="bg1"/>
                </a:solidFill>
              </a:ln>
            </c:spPr>
            <c:extLst>
              <c:ext xmlns:c16="http://schemas.microsoft.com/office/drawing/2014/chart" uri="{C3380CC4-5D6E-409C-BE32-E72D297353CC}">
                <c16:uniqueId val="{00000009-7F18-4E9E-A48C-05569903273C}"/>
              </c:ext>
            </c:extLst>
          </c:dPt>
          <c:dLbls>
            <c:dLbl>
              <c:idx val="0"/>
              <c:layout>
                <c:manualLayout>
                  <c:x val="-0.11221020516286973"/>
                  <c:y val="1.2188794319785172E-2"/>
                </c:manualLayout>
              </c:layout>
              <c:spPr/>
              <c:txPr>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18-4E9E-A48C-05569903273C}"/>
                </c:ext>
              </c:extLst>
            </c:dLbl>
            <c:dLbl>
              <c:idx val="1"/>
              <c:layout>
                <c:manualLayout>
                  <c:x val="0.1093667293908447"/>
                  <c:y val="-0.13059254876377446"/>
                </c:manualLayout>
              </c:layout>
              <c:spPr/>
              <c:txPr>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18-4E9E-A48C-05569903273C}"/>
                </c:ext>
              </c:extLst>
            </c:dLbl>
            <c:dLbl>
              <c:idx val="2"/>
              <c:layout>
                <c:manualLayout>
                  <c:x val="-0.10345799535239091"/>
                  <c:y val="2.78784269613357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18-4E9E-A48C-05569903273C}"/>
                </c:ext>
              </c:extLst>
            </c:dLbl>
            <c:dLbl>
              <c:idx val="3"/>
              <c:layout>
                <c:manualLayout>
                  <c:x val="3.833385096004531E-2"/>
                  <c:y val="0.14052382180551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18-4E9E-A48C-05569903273C}"/>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'Figure 3'!$B$9:$B$11</c:f>
              <c:strCache>
                <c:ptCount val="3"/>
                <c:pt idx="0">
                  <c:v>Primary</c:v>
                </c:pt>
                <c:pt idx="1">
                  <c:v>Secondary</c:v>
                </c:pt>
                <c:pt idx="2">
                  <c:v>Chimney</c:v>
                </c:pt>
              </c:strCache>
            </c:strRef>
          </c:cat>
          <c:val>
            <c:numRef>
              <c:f>'Figure 3'!$C$9:$C$11</c:f>
              <c:numCache>
                <c:formatCode>#,##0</c:formatCode>
                <c:ptCount val="3"/>
                <c:pt idx="0">
                  <c:v>10654</c:v>
                </c:pt>
                <c:pt idx="1">
                  <c:v>14698</c:v>
                </c:pt>
                <c:pt idx="2">
                  <c:v>763</c:v>
                </c:pt>
              </c:numCache>
            </c:numRef>
          </c:val>
          <c:extLst>
            <c:ext xmlns:c16="http://schemas.microsoft.com/office/drawing/2014/chart" uri="{C3380CC4-5D6E-409C-BE32-E72D297353CC}">
              <c16:uniqueId val="{0000000A-7F18-4E9E-A48C-05569903273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chemeClr val="bg1"/>
              </a:solidFill>
            </a:ln>
          </c:spPr>
          <c:dPt>
            <c:idx val="0"/>
            <c:bubble3D val="0"/>
            <c:spPr>
              <a:solidFill>
                <a:schemeClr val="tx1">
                  <a:lumMod val="65000"/>
                  <a:lumOff val="35000"/>
                  <a:alpha val="67000"/>
                </a:schemeClr>
              </a:solidFill>
              <a:ln>
                <a:solidFill>
                  <a:schemeClr val="bg1"/>
                </a:solidFill>
              </a:ln>
            </c:spPr>
            <c:extLst>
              <c:ext xmlns:c16="http://schemas.microsoft.com/office/drawing/2014/chart" uri="{C3380CC4-5D6E-409C-BE32-E72D297353CC}">
                <c16:uniqueId val="{00000001-40CD-43B4-9012-91061A70A9EF}"/>
              </c:ext>
            </c:extLst>
          </c:dPt>
          <c:dPt>
            <c:idx val="1"/>
            <c:bubble3D val="0"/>
            <c:spPr>
              <a:solidFill>
                <a:schemeClr val="bg1">
                  <a:lumMod val="50000"/>
                  <a:alpha val="64000"/>
                </a:schemeClr>
              </a:solidFill>
              <a:ln>
                <a:solidFill>
                  <a:schemeClr val="bg1"/>
                </a:solidFill>
              </a:ln>
            </c:spPr>
            <c:extLst>
              <c:ext xmlns:c16="http://schemas.microsoft.com/office/drawing/2014/chart" uri="{C3380CC4-5D6E-409C-BE32-E72D297353CC}">
                <c16:uniqueId val="{00000003-40CD-43B4-9012-91061A70A9EF}"/>
              </c:ext>
            </c:extLst>
          </c:dPt>
          <c:dPt>
            <c:idx val="2"/>
            <c:bubble3D val="0"/>
            <c:spPr>
              <a:solidFill>
                <a:schemeClr val="bg1">
                  <a:lumMod val="65000"/>
                  <a:alpha val="56000"/>
                </a:schemeClr>
              </a:solidFill>
              <a:ln>
                <a:solidFill>
                  <a:schemeClr val="bg1"/>
                </a:solidFill>
              </a:ln>
            </c:spPr>
            <c:extLst>
              <c:ext xmlns:c16="http://schemas.microsoft.com/office/drawing/2014/chart" uri="{C3380CC4-5D6E-409C-BE32-E72D297353CC}">
                <c16:uniqueId val="{00000005-40CD-43B4-9012-91061A70A9EF}"/>
              </c:ext>
            </c:extLst>
          </c:dPt>
          <c:dPt>
            <c:idx val="3"/>
            <c:bubble3D val="0"/>
            <c:spPr>
              <a:solidFill>
                <a:schemeClr val="bg1">
                  <a:lumMod val="85000"/>
                  <a:alpha val="73000"/>
                </a:schemeClr>
              </a:solidFill>
              <a:ln>
                <a:solidFill>
                  <a:schemeClr val="bg1"/>
                </a:solidFill>
              </a:ln>
            </c:spPr>
            <c:extLst>
              <c:ext xmlns:c16="http://schemas.microsoft.com/office/drawing/2014/chart" uri="{C3380CC4-5D6E-409C-BE32-E72D297353CC}">
                <c16:uniqueId val="{00000007-40CD-43B4-9012-91061A70A9EF}"/>
              </c:ext>
            </c:extLst>
          </c:dPt>
          <c:dPt>
            <c:idx val="4"/>
            <c:bubble3D val="0"/>
            <c:spPr>
              <a:solidFill>
                <a:schemeClr val="bg1">
                  <a:lumMod val="75000"/>
                  <a:alpha val="67000"/>
                </a:schemeClr>
              </a:solidFill>
              <a:ln>
                <a:solidFill>
                  <a:schemeClr val="bg1"/>
                </a:solidFill>
              </a:ln>
            </c:spPr>
            <c:extLst>
              <c:ext xmlns:c16="http://schemas.microsoft.com/office/drawing/2014/chart" uri="{C3380CC4-5D6E-409C-BE32-E72D297353CC}">
                <c16:uniqueId val="{00000009-40CD-43B4-9012-91061A70A9EF}"/>
              </c:ext>
            </c:extLst>
          </c:dPt>
          <c:dLbls>
            <c:dLbl>
              <c:idx val="0"/>
              <c:layout>
                <c:manualLayout>
                  <c:x val="-0.11221020516286973"/>
                  <c:y val="1.2188794319785172E-2"/>
                </c:manualLayout>
              </c:layout>
              <c:spPr/>
              <c:txPr>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0CD-43B4-9012-91061A70A9EF}"/>
                </c:ext>
              </c:extLst>
            </c:dLbl>
            <c:dLbl>
              <c:idx val="1"/>
              <c:layout>
                <c:manualLayout>
                  <c:x val="0.1093667293908447"/>
                  <c:y val="-0.13059254876377446"/>
                </c:manualLayout>
              </c:layout>
              <c:spPr/>
              <c:txPr>
                <a:bodyPr/>
                <a:lstStyle/>
                <a:p>
                  <a:pPr>
                    <a:defRPr baseline="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0CD-43B4-9012-91061A70A9EF}"/>
                </c:ext>
              </c:extLst>
            </c:dLbl>
            <c:dLbl>
              <c:idx val="2"/>
              <c:layout>
                <c:manualLayout>
                  <c:x val="0.12781397104944248"/>
                  <c:y val="9.51053661644895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0CD-43B4-9012-91061A70A9EF}"/>
                </c:ext>
              </c:extLst>
            </c:dLbl>
            <c:dLbl>
              <c:idx val="3"/>
              <c:layout>
                <c:manualLayout>
                  <c:x val="3.833385096004531E-2"/>
                  <c:y val="0.14052382180551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0CD-43B4-9012-91061A70A9EF}"/>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'Figure 4'!$B$9:$B$12</c:f>
              <c:strCache>
                <c:ptCount val="4"/>
                <c:pt idx="0">
                  <c:v>Dwellings</c:v>
                </c:pt>
                <c:pt idx="1">
                  <c:v>Other Buildings</c:v>
                </c:pt>
                <c:pt idx="2">
                  <c:v>Road Vehicles</c:v>
                </c:pt>
                <c:pt idx="3">
                  <c:v>Others</c:v>
                </c:pt>
              </c:strCache>
            </c:strRef>
          </c:cat>
          <c:val>
            <c:numRef>
              <c:f>'Figure 4'!$C$9:$C$12</c:f>
              <c:numCache>
                <c:formatCode>#,##0</c:formatCode>
                <c:ptCount val="4"/>
                <c:pt idx="0">
                  <c:v>5310</c:v>
                </c:pt>
                <c:pt idx="1">
                  <c:v>2281</c:v>
                </c:pt>
                <c:pt idx="2">
                  <c:v>2008</c:v>
                </c:pt>
                <c:pt idx="3">
                  <c:v>1055</c:v>
                </c:pt>
              </c:numCache>
            </c:numRef>
          </c:val>
          <c:extLst>
            <c:ext xmlns:c16="http://schemas.microsoft.com/office/drawing/2014/chart" uri="{C3380CC4-5D6E-409C-BE32-E72D297353CC}">
              <c16:uniqueId val="{0000000A-40CD-43B4-9012-91061A70A9E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Due To Apparatus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4116516257385636"/>
          <c:w val="0.97335156634832409"/>
          <c:h val="0.716937643068588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9'!$B$10:$B$16</c:f>
              <c:strCache>
                <c:ptCount val="7"/>
                <c:pt idx="0">
                  <c:v>2011-12</c:v>
                </c:pt>
                <c:pt idx="1">
                  <c:v>2012-13</c:v>
                </c:pt>
                <c:pt idx="2">
                  <c:v>2013-14</c:v>
                </c:pt>
                <c:pt idx="3">
                  <c:v>2014-15</c:v>
                </c:pt>
                <c:pt idx="4">
                  <c:v>2015-16</c:v>
                </c:pt>
                <c:pt idx="5">
                  <c:v>2016-17</c:v>
                </c:pt>
                <c:pt idx="6">
                  <c:v>2017-18</c:v>
                </c:pt>
              </c:strCache>
            </c:strRef>
          </c:cat>
          <c:val>
            <c:numRef>
              <c:f>'Figure 9'!$D$10:$D$16</c:f>
              <c:numCache>
                <c:formatCode>#,##0</c:formatCode>
                <c:ptCount val="7"/>
                <c:pt idx="0">
                  <c:v>34935</c:v>
                </c:pt>
                <c:pt idx="1">
                  <c:v>35107</c:v>
                </c:pt>
                <c:pt idx="2">
                  <c:v>35236</c:v>
                </c:pt>
                <c:pt idx="3">
                  <c:v>37355</c:v>
                </c:pt>
                <c:pt idx="4">
                  <c:v>37621</c:v>
                </c:pt>
                <c:pt idx="5">
                  <c:v>39626</c:v>
                </c:pt>
                <c:pt idx="6">
                  <c:v>40359</c:v>
                </c:pt>
              </c:numCache>
            </c:numRef>
          </c:val>
          <c:smooth val="0"/>
          <c:extLst>
            <c:ext xmlns:c16="http://schemas.microsoft.com/office/drawing/2014/chart" uri="{C3380CC4-5D6E-409C-BE32-E72D297353CC}">
              <c16:uniqueId val="{00000000-6EF6-4246-89F6-94DF45BFF25D}"/>
            </c:ext>
          </c:extLst>
        </c:ser>
        <c:dLbls>
          <c:showLegendKey val="0"/>
          <c:showVal val="0"/>
          <c:showCatName val="0"/>
          <c:showSerName val="0"/>
          <c:showPercent val="0"/>
          <c:showBubbleSize val="0"/>
        </c:dLbls>
        <c:marker val="1"/>
        <c:smooth val="0"/>
        <c:axId val="230064912"/>
        <c:axId val="230065304"/>
      </c:lineChart>
      <c:catAx>
        <c:axId val="23006491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0065304"/>
        <c:crosses val="autoZero"/>
        <c:auto val="1"/>
        <c:lblAlgn val="ctr"/>
        <c:lblOffset val="100"/>
        <c:noMultiLvlLbl val="0"/>
      </c:catAx>
      <c:valAx>
        <c:axId val="230065304"/>
        <c:scaling>
          <c:orientation val="minMax"/>
        </c:scaling>
        <c:delete val="1"/>
        <c:axPos val="l"/>
        <c:numFmt formatCode="#,##0" sourceLinked="1"/>
        <c:majorTickMark val="out"/>
        <c:minorTickMark val="none"/>
        <c:tickLblPos val="nextTo"/>
        <c:crossAx val="23006491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GB" sz="1100" b="1" i="0" u="none" strike="noStrike" kern="120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Secondary Fires</a:t>
            </a:r>
          </a:p>
        </c:rich>
      </c:tx>
      <c:overlay val="0"/>
    </c:title>
    <c:autoTitleDeleted val="0"/>
    <c:plotArea>
      <c:layout>
        <c:manualLayout>
          <c:layoutTarget val="inner"/>
          <c:xMode val="edge"/>
          <c:yMode val="edge"/>
          <c:x val="8.9077100656535582E-3"/>
          <c:y val="0.11704442282749676"/>
          <c:w val="0.97335156634832409"/>
          <c:h val="0.7565596627756160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Trend'!$G$9:$G$32</c:f>
              <c:numCache>
                <c:formatCode>#,##0</c:formatCode>
                <c:ptCount val="24"/>
                <c:pt idx="1">
                  <c:v>39933</c:v>
                </c:pt>
                <c:pt idx="2">
                  <c:v>32303</c:v>
                </c:pt>
                <c:pt idx="3">
                  <c:v>27347</c:v>
                </c:pt>
                <c:pt idx="4">
                  <c:v>23329</c:v>
                </c:pt>
                <c:pt idx="5">
                  <c:v>29414</c:v>
                </c:pt>
                <c:pt idx="6">
                  <c:v>32615</c:v>
                </c:pt>
                <c:pt idx="7">
                  <c:v>35459</c:v>
                </c:pt>
                <c:pt idx="8">
                  <c:v>34723</c:v>
                </c:pt>
                <c:pt idx="9">
                  <c:v>42181</c:v>
                </c:pt>
                <c:pt idx="10">
                  <c:v>27547</c:v>
                </c:pt>
                <c:pt idx="11">
                  <c:v>31554</c:v>
                </c:pt>
                <c:pt idx="12">
                  <c:v>32397</c:v>
                </c:pt>
                <c:pt idx="13">
                  <c:v>30385</c:v>
                </c:pt>
                <c:pt idx="14">
                  <c:v>25651</c:v>
                </c:pt>
                <c:pt idx="15">
                  <c:v>22981</c:v>
                </c:pt>
                <c:pt idx="16">
                  <c:v>24207</c:v>
                </c:pt>
                <c:pt idx="17">
                  <c:v>18681</c:v>
                </c:pt>
                <c:pt idx="18">
                  <c:v>14278</c:v>
                </c:pt>
                <c:pt idx="19">
                  <c:v>16360</c:v>
                </c:pt>
                <c:pt idx="20">
                  <c:v>13406</c:v>
                </c:pt>
                <c:pt idx="21">
                  <c:v>14732</c:v>
                </c:pt>
                <c:pt idx="22">
                  <c:v>15657</c:v>
                </c:pt>
                <c:pt idx="23">
                  <c:v>14698</c:v>
                </c:pt>
              </c:numCache>
            </c:numRef>
          </c:val>
          <c:smooth val="0"/>
          <c:extLst>
            <c:ext xmlns:c16="http://schemas.microsoft.com/office/drawing/2014/chart" uri="{C3380CC4-5D6E-409C-BE32-E72D297353CC}">
              <c16:uniqueId val="{00000000-9C44-484A-AA29-7076BB086D37}"/>
            </c:ext>
          </c:extLst>
        </c:ser>
        <c:dLbls>
          <c:showLegendKey val="0"/>
          <c:showVal val="0"/>
          <c:showCatName val="0"/>
          <c:showSerName val="0"/>
          <c:showPercent val="0"/>
          <c:showBubbleSize val="0"/>
        </c:dLbls>
        <c:marker val="1"/>
        <c:smooth val="0"/>
        <c:axId val="229927824"/>
        <c:axId val="167660408"/>
      </c:lineChart>
      <c:catAx>
        <c:axId val="229927824"/>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167660408"/>
        <c:crosses val="autoZero"/>
        <c:auto val="1"/>
        <c:lblAlgn val="ctr"/>
        <c:lblOffset val="100"/>
        <c:tickLblSkip val="3"/>
        <c:noMultiLvlLbl val="0"/>
      </c:catAx>
      <c:valAx>
        <c:axId val="167660408"/>
        <c:scaling>
          <c:orientation val="minMax"/>
        </c:scaling>
        <c:delete val="0"/>
        <c:axPos val="l"/>
        <c:numFmt formatCode="#,##0" sourceLinked="1"/>
        <c:majorTickMark val="out"/>
        <c:minorTickMark val="none"/>
        <c:tickLblPos val="nextTo"/>
        <c:crossAx val="22992782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Good Intent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3507688251297356"/>
          <c:w val="0.97335156634832409"/>
          <c:h val="0.7230259231294717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9'!$B$10:$B$16</c:f>
              <c:strCache>
                <c:ptCount val="7"/>
                <c:pt idx="0">
                  <c:v>2011-12</c:v>
                </c:pt>
                <c:pt idx="1">
                  <c:v>2012-13</c:v>
                </c:pt>
                <c:pt idx="2">
                  <c:v>2013-14</c:v>
                </c:pt>
                <c:pt idx="3">
                  <c:v>2014-15</c:v>
                </c:pt>
                <c:pt idx="4">
                  <c:v>2015-16</c:v>
                </c:pt>
                <c:pt idx="5">
                  <c:v>2016-17</c:v>
                </c:pt>
                <c:pt idx="6">
                  <c:v>2017-18</c:v>
                </c:pt>
              </c:strCache>
            </c:strRef>
          </c:cat>
          <c:val>
            <c:numRef>
              <c:f>'Figure 9'!$E$10:$E$16</c:f>
              <c:numCache>
                <c:formatCode>#,##0</c:formatCode>
                <c:ptCount val="7"/>
                <c:pt idx="0">
                  <c:v>10361</c:v>
                </c:pt>
                <c:pt idx="1">
                  <c:v>9873</c:v>
                </c:pt>
                <c:pt idx="2">
                  <c:v>9618</c:v>
                </c:pt>
                <c:pt idx="3">
                  <c:v>9257</c:v>
                </c:pt>
                <c:pt idx="4">
                  <c:v>8849</c:v>
                </c:pt>
                <c:pt idx="5">
                  <c:v>8956</c:v>
                </c:pt>
                <c:pt idx="6">
                  <c:v>9090</c:v>
                </c:pt>
              </c:numCache>
            </c:numRef>
          </c:val>
          <c:smooth val="0"/>
          <c:extLst>
            <c:ext xmlns:c16="http://schemas.microsoft.com/office/drawing/2014/chart" uri="{C3380CC4-5D6E-409C-BE32-E72D297353CC}">
              <c16:uniqueId val="{00000000-3987-4AB2-A49D-3B5D4AFA5D9C}"/>
            </c:ext>
          </c:extLst>
        </c:ser>
        <c:dLbls>
          <c:showLegendKey val="0"/>
          <c:showVal val="0"/>
          <c:showCatName val="0"/>
          <c:showSerName val="0"/>
          <c:showPercent val="0"/>
          <c:showBubbleSize val="0"/>
        </c:dLbls>
        <c:marker val="1"/>
        <c:smooth val="0"/>
        <c:axId val="230066088"/>
        <c:axId val="230066480"/>
      </c:lineChart>
      <c:catAx>
        <c:axId val="230066088"/>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0066480"/>
        <c:crosses val="autoZero"/>
        <c:auto val="1"/>
        <c:lblAlgn val="ctr"/>
        <c:lblOffset val="100"/>
        <c:noMultiLvlLbl val="0"/>
      </c:catAx>
      <c:valAx>
        <c:axId val="230066480"/>
        <c:scaling>
          <c:orientation val="minMax"/>
        </c:scaling>
        <c:delete val="1"/>
        <c:axPos val="l"/>
        <c:numFmt formatCode="#,##0" sourceLinked="1"/>
        <c:majorTickMark val="out"/>
        <c:minorTickMark val="none"/>
        <c:tickLblPos val="nextTo"/>
        <c:crossAx val="230066088"/>
        <c:crosses val="autoZero"/>
        <c:crossBetween val="between"/>
      </c:valAx>
      <c:spPr>
        <a:noFill/>
        <a:ln w="25400">
          <a:noFill/>
        </a:ln>
      </c:spPr>
    </c:plotArea>
    <c:plotVisOnly val="1"/>
    <c:dispBlanksAs val="gap"/>
    <c:showDLblsOverMax val="0"/>
  </c:chart>
  <c:printSettings>
    <c:headerFooter/>
    <c:pageMargins b="0.75" l="0.25" r="0.25"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Malicious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3507688251297356"/>
          <c:w val="0.97335156634832409"/>
          <c:h val="0.7230259231294717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9'!$B$10:$B$16</c:f>
              <c:strCache>
                <c:ptCount val="7"/>
                <c:pt idx="0">
                  <c:v>2011-12</c:v>
                </c:pt>
                <c:pt idx="1">
                  <c:v>2012-13</c:v>
                </c:pt>
                <c:pt idx="2">
                  <c:v>2013-14</c:v>
                </c:pt>
                <c:pt idx="3">
                  <c:v>2014-15</c:v>
                </c:pt>
                <c:pt idx="4">
                  <c:v>2015-16</c:v>
                </c:pt>
                <c:pt idx="5">
                  <c:v>2016-17</c:v>
                </c:pt>
                <c:pt idx="6">
                  <c:v>2017-18</c:v>
                </c:pt>
              </c:strCache>
            </c:strRef>
          </c:cat>
          <c:val>
            <c:numRef>
              <c:f>'Figure 9'!$C$10:$C$16</c:f>
              <c:numCache>
                <c:formatCode>#,##0</c:formatCode>
                <c:ptCount val="7"/>
                <c:pt idx="0">
                  <c:v>2621</c:v>
                </c:pt>
                <c:pt idx="1">
                  <c:v>2308</c:v>
                </c:pt>
                <c:pt idx="2">
                  <c:v>2366</c:v>
                </c:pt>
                <c:pt idx="3">
                  <c:v>2056</c:v>
                </c:pt>
                <c:pt idx="4">
                  <c:v>2375</c:v>
                </c:pt>
                <c:pt idx="5">
                  <c:v>2281</c:v>
                </c:pt>
                <c:pt idx="6">
                  <c:v>2338</c:v>
                </c:pt>
              </c:numCache>
            </c:numRef>
          </c:val>
          <c:smooth val="0"/>
          <c:extLst>
            <c:ext xmlns:c16="http://schemas.microsoft.com/office/drawing/2014/chart" uri="{C3380CC4-5D6E-409C-BE32-E72D297353CC}">
              <c16:uniqueId val="{00000000-B8DA-45A2-A944-A0EDABA4F417}"/>
            </c:ext>
          </c:extLst>
        </c:ser>
        <c:dLbls>
          <c:showLegendKey val="0"/>
          <c:showVal val="0"/>
          <c:showCatName val="0"/>
          <c:showSerName val="0"/>
          <c:showPercent val="0"/>
          <c:showBubbleSize val="0"/>
        </c:dLbls>
        <c:marker val="1"/>
        <c:smooth val="0"/>
        <c:axId val="119370440"/>
        <c:axId val="234072136"/>
      </c:lineChart>
      <c:catAx>
        <c:axId val="11937044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4072136"/>
        <c:crosses val="autoZero"/>
        <c:auto val="1"/>
        <c:lblAlgn val="ctr"/>
        <c:lblOffset val="100"/>
        <c:noMultiLvlLbl val="0"/>
      </c:catAx>
      <c:valAx>
        <c:axId val="234072136"/>
        <c:scaling>
          <c:orientation val="minMax"/>
        </c:scaling>
        <c:delete val="1"/>
        <c:axPos val="l"/>
        <c:numFmt formatCode="#,##0" sourceLinked="1"/>
        <c:majorTickMark val="out"/>
        <c:minorTickMark val="none"/>
        <c:tickLblPos val="nextTo"/>
        <c:crossAx val="11937044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Good Intent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0.1060198725159355"/>
          <c:y val="0.10721604575547461"/>
          <c:w val="0.83404949381327331"/>
          <c:h val="0.66153797939436676"/>
        </c:manualLayout>
      </c:layout>
      <c:lineChart>
        <c:grouping val="standard"/>
        <c:varyColors val="0"/>
        <c:ser>
          <c:idx val="0"/>
          <c:order val="0"/>
          <c:tx>
            <c:v>Dwellings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wrap="square" lIns="38100" tIns="19050" rIns="38100" bIns="19050" anchor="t" anchorCtr="0">
                <a:spAutoFit/>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4e'!$B$36:$B$43</c:f>
              <c:numCache>
                <c:formatCode>#,##0</c:formatCode>
                <c:ptCount val="8"/>
                <c:pt idx="0">
                  <c:v>4466</c:v>
                </c:pt>
                <c:pt idx="1">
                  <c:v>3894</c:v>
                </c:pt>
                <c:pt idx="2">
                  <c:v>3874</c:v>
                </c:pt>
                <c:pt idx="3">
                  <c:v>3644</c:v>
                </c:pt>
                <c:pt idx="4">
                  <c:v>3679</c:v>
                </c:pt>
                <c:pt idx="5">
                  <c:v>3559</c:v>
                </c:pt>
                <c:pt idx="6">
                  <c:v>3481</c:v>
                </c:pt>
                <c:pt idx="7">
                  <c:v>3703</c:v>
                </c:pt>
              </c:numCache>
            </c:numRef>
          </c:val>
          <c:smooth val="0"/>
          <c:extLst>
            <c:ext xmlns:c16="http://schemas.microsoft.com/office/drawing/2014/chart" uri="{C3380CC4-5D6E-409C-BE32-E72D297353CC}">
              <c16:uniqueId val="{00000000-EE8A-44AA-95D3-7DDDC01D1066}"/>
            </c:ext>
          </c:extLst>
        </c:ser>
        <c:ser>
          <c:idx val="1"/>
          <c:order val="1"/>
          <c:tx>
            <c:v>Other Buildings</c:v>
          </c:tx>
          <c:spPr>
            <a:ln>
              <a:solidFill>
                <a:schemeClr val="tx1">
                  <a:lumMod val="50000"/>
                  <a:lumOff val="50000"/>
                </a:schemeClr>
              </a:solidFill>
              <a:prstDash val="sysDash"/>
            </a:ln>
          </c:spPr>
          <c:marker>
            <c:spPr>
              <a:solidFill>
                <a:schemeClr val="tx1">
                  <a:lumMod val="50000"/>
                  <a:lumOff val="50000"/>
                </a:schemeClr>
              </a:solidFill>
              <a:ln>
                <a:solidFill>
                  <a:schemeClr val="tx1">
                    <a:lumMod val="50000"/>
                    <a:lumOff val="50000"/>
                  </a:schemeClr>
                </a:solidFill>
              </a:ln>
            </c:spPr>
          </c:marker>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4e'!$C$36:$C$43</c:f>
              <c:numCache>
                <c:formatCode>#,##0</c:formatCode>
                <c:ptCount val="8"/>
                <c:pt idx="0">
                  <c:v>3839</c:v>
                </c:pt>
                <c:pt idx="1">
                  <c:v>3182</c:v>
                </c:pt>
                <c:pt idx="2">
                  <c:v>3110</c:v>
                </c:pt>
                <c:pt idx="3">
                  <c:v>2742</c:v>
                </c:pt>
                <c:pt idx="4">
                  <c:v>2445</c:v>
                </c:pt>
                <c:pt idx="5">
                  <c:v>2163</c:v>
                </c:pt>
                <c:pt idx="6">
                  <c:v>2167</c:v>
                </c:pt>
                <c:pt idx="7">
                  <c:v>2182</c:v>
                </c:pt>
              </c:numCache>
            </c:numRef>
          </c:val>
          <c:smooth val="0"/>
          <c:extLst>
            <c:ext xmlns:c16="http://schemas.microsoft.com/office/drawing/2014/chart" uri="{C3380CC4-5D6E-409C-BE32-E72D297353CC}">
              <c16:uniqueId val="{00000001-EE8A-44AA-95D3-7DDDC01D1066}"/>
            </c:ext>
          </c:extLst>
        </c:ser>
        <c:dLbls>
          <c:showLegendKey val="0"/>
          <c:showVal val="0"/>
          <c:showCatName val="0"/>
          <c:showSerName val="0"/>
          <c:showPercent val="0"/>
          <c:showBubbleSize val="0"/>
        </c:dLbls>
        <c:marker val="1"/>
        <c:smooth val="0"/>
        <c:axId val="234072920"/>
        <c:axId val="234073312"/>
      </c:lineChart>
      <c:catAx>
        <c:axId val="234072920"/>
        <c:scaling>
          <c:orientation val="minMax"/>
        </c:scaling>
        <c:delete val="0"/>
        <c:axPos val="b"/>
        <c:numFmt formatCode="General" sourceLinked="0"/>
        <c:majorTickMark val="out"/>
        <c:minorTickMark val="none"/>
        <c:tickLblPos val="nextTo"/>
        <c:spPr>
          <a:ln>
            <a:noFill/>
          </a:ln>
        </c:spPr>
        <c:txPr>
          <a:bodyPr rot="-2700000"/>
          <a:lstStyle/>
          <a:p>
            <a:pPr>
              <a:defRPr sz="900" baseline="0"/>
            </a:pPr>
            <a:endParaRPr lang="en-US"/>
          </a:p>
        </c:txPr>
        <c:crossAx val="234073312"/>
        <c:crosses val="autoZero"/>
        <c:auto val="1"/>
        <c:lblAlgn val="ctr"/>
        <c:lblOffset val="100"/>
        <c:noMultiLvlLbl val="0"/>
      </c:catAx>
      <c:valAx>
        <c:axId val="234073312"/>
        <c:scaling>
          <c:orientation val="minMax"/>
        </c:scaling>
        <c:delete val="1"/>
        <c:axPos val="l"/>
        <c:numFmt formatCode="#,##0" sourceLinked="1"/>
        <c:majorTickMark val="out"/>
        <c:minorTickMark val="none"/>
        <c:tickLblPos val="nextTo"/>
        <c:crossAx val="234072920"/>
        <c:crosses val="autoZero"/>
        <c:crossBetween val="between"/>
      </c:valAx>
      <c:spPr>
        <a:noFill/>
        <a:ln w="25400">
          <a:noFill/>
        </a:ln>
      </c:spPr>
    </c:plotArea>
    <c:legend>
      <c:legendPos val="b"/>
      <c:layout>
        <c:manualLayout>
          <c:xMode val="edge"/>
          <c:yMode val="edge"/>
          <c:x val="0.10790338707661543"/>
          <c:y val="0.92802820542954523"/>
          <c:w val="0.7841932258467692"/>
          <c:h val="7.1971794570454814E-2"/>
        </c:manualLayout>
      </c:layout>
      <c:overlay val="1"/>
    </c:legend>
    <c:plotVisOnly val="1"/>
    <c:dispBlanksAs val="gap"/>
    <c:showDLblsOverMax val="0"/>
  </c:chart>
  <c:printSettings>
    <c:headerFooter/>
    <c:pageMargins b="0.75" l="0.25" r="0.25"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Due to Apparatus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7.7107665731918143E-2"/>
          <c:y val="7.9188709195781651E-2"/>
          <c:w val="0.89767637476354456"/>
          <c:h val="0.72302592312947178"/>
        </c:manualLayout>
      </c:layout>
      <c:lineChart>
        <c:grouping val="standard"/>
        <c:varyColors val="0"/>
        <c:ser>
          <c:idx val="0"/>
          <c:order val="0"/>
          <c:tx>
            <c:v>Dwellings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rot="-1200000" vertOverflow="clip" horzOverflow="clip" wrap="square" lIns="0" tIns="19050" rIns="0" bIns="19050" anchor="ctr">
                <a:noAutofit/>
              </a:bodyPr>
              <a:lstStyle/>
              <a:p>
                <a:pPr>
                  <a:defRPr>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4e'!$B$20:$B$27</c:f>
              <c:numCache>
                <c:formatCode>#,##0</c:formatCode>
                <c:ptCount val="8"/>
                <c:pt idx="0">
                  <c:v>9234</c:v>
                </c:pt>
                <c:pt idx="1">
                  <c:v>9703</c:v>
                </c:pt>
                <c:pt idx="2">
                  <c:v>10404</c:v>
                </c:pt>
                <c:pt idx="3">
                  <c:v>10629</c:v>
                </c:pt>
                <c:pt idx="4">
                  <c:v>11622</c:v>
                </c:pt>
                <c:pt idx="5">
                  <c:v>11598</c:v>
                </c:pt>
                <c:pt idx="6">
                  <c:v>12566</c:v>
                </c:pt>
                <c:pt idx="7">
                  <c:v>13392</c:v>
                </c:pt>
              </c:numCache>
            </c:numRef>
          </c:val>
          <c:smooth val="0"/>
          <c:extLst>
            <c:ext xmlns:c16="http://schemas.microsoft.com/office/drawing/2014/chart" uri="{C3380CC4-5D6E-409C-BE32-E72D297353CC}">
              <c16:uniqueId val="{00000000-B6B4-4D56-AA35-127B832B2C57}"/>
            </c:ext>
          </c:extLst>
        </c:ser>
        <c:ser>
          <c:idx val="1"/>
          <c:order val="1"/>
          <c:tx>
            <c:v>Other Buildings</c:v>
          </c:tx>
          <c:spPr>
            <a:ln>
              <a:solidFill>
                <a:schemeClr val="tx1">
                  <a:lumMod val="50000"/>
                  <a:lumOff val="50000"/>
                </a:schemeClr>
              </a:solidFill>
              <a:prstDash val="sysDash"/>
            </a:ln>
          </c:spPr>
          <c:marker>
            <c:spPr>
              <a:solidFill>
                <a:schemeClr val="tx1">
                  <a:lumMod val="50000"/>
                  <a:lumOff val="50000"/>
                </a:schemeClr>
              </a:solidFill>
              <a:ln>
                <a:solidFill>
                  <a:schemeClr val="tx1">
                    <a:lumMod val="50000"/>
                    <a:lumOff val="50000"/>
                  </a:schemeClr>
                </a:solidFill>
              </a:ln>
            </c:spPr>
          </c:marker>
          <c:dLbls>
            <c:spPr>
              <a:noFill/>
              <a:ln>
                <a:noFill/>
              </a:ln>
              <a:effectLst/>
            </c:spPr>
            <c:txPr>
              <a:bodyPr rot="-1200000" vertOverflow="clip" horzOverflow="clip" wrap="square" lIns="0" tIns="19050" rIns="0" bIns="19050" anchor="ctr">
                <a:noAutofit/>
              </a:bodyPr>
              <a:lstStyle/>
              <a:p>
                <a:pPr>
                  <a:defRPr>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4e'!$C$20:$C$27</c:f>
              <c:numCache>
                <c:formatCode>#,##0</c:formatCode>
                <c:ptCount val="8"/>
                <c:pt idx="0">
                  <c:v>25942</c:v>
                </c:pt>
                <c:pt idx="1">
                  <c:v>25165</c:v>
                </c:pt>
                <c:pt idx="2">
                  <c:v>24641</c:v>
                </c:pt>
                <c:pt idx="3">
                  <c:v>24555</c:v>
                </c:pt>
                <c:pt idx="4">
                  <c:v>25665</c:v>
                </c:pt>
                <c:pt idx="5">
                  <c:v>25970</c:v>
                </c:pt>
                <c:pt idx="6">
                  <c:v>27005</c:v>
                </c:pt>
                <c:pt idx="7">
                  <c:v>26907</c:v>
                </c:pt>
              </c:numCache>
            </c:numRef>
          </c:val>
          <c:smooth val="0"/>
          <c:extLst>
            <c:ext xmlns:c16="http://schemas.microsoft.com/office/drawing/2014/chart" uri="{C3380CC4-5D6E-409C-BE32-E72D297353CC}">
              <c16:uniqueId val="{00000001-B6B4-4D56-AA35-127B832B2C57}"/>
            </c:ext>
          </c:extLst>
        </c:ser>
        <c:dLbls>
          <c:showLegendKey val="0"/>
          <c:showVal val="0"/>
          <c:showCatName val="0"/>
          <c:showSerName val="0"/>
          <c:showPercent val="0"/>
          <c:showBubbleSize val="0"/>
        </c:dLbls>
        <c:marker val="1"/>
        <c:smooth val="0"/>
        <c:axId val="234074096"/>
        <c:axId val="234074488"/>
      </c:lineChart>
      <c:catAx>
        <c:axId val="23407409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4074488"/>
        <c:crosses val="autoZero"/>
        <c:auto val="1"/>
        <c:lblAlgn val="ctr"/>
        <c:lblOffset val="100"/>
        <c:noMultiLvlLbl val="0"/>
      </c:catAx>
      <c:valAx>
        <c:axId val="234074488"/>
        <c:scaling>
          <c:orientation val="minMax"/>
        </c:scaling>
        <c:delete val="1"/>
        <c:axPos val="l"/>
        <c:numFmt formatCode="#,##0" sourceLinked="1"/>
        <c:majorTickMark val="out"/>
        <c:minorTickMark val="none"/>
        <c:tickLblPos val="nextTo"/>
        <c:crossAx val="234074096"/>
        <c:crosses val="autoZero"/>
        <c:crossBetween val="between"/>
      </c:valAx>
      <c:spPr>
        <a:noFill/>
        <a:ln w="25400">
          <a:noFill/>
        </a:ln>
      </c:spPr>
    </c:plotArea>
    <c:legend>
      <c:legendPos val="b"/>
      <c:layout>
        <c:manualLayout>
          <c:xMode val="edge"/>
          <c:yMode val="edge"/>
          <c:x val="8.2879748382575807E-2"/>
          <c:y val="0.92243041476102894"/>
          <c:w val="0.85173726587933851"/>
          <c:h val="7.3958745954301727E-2"/>
        </c:manualLayout>
      </c:layout>
      <c:overlay val="1"/>
    </c:legend>
    <c:plotVisOnly val="1"/>
    <c:dispBlanksAs val="gap"/>
    <c:showDLblsOverMax val="0"/>
  </c:chart>
  <c:printSettings>
    <c:headerFooter/>
    <c:pageMargins b="0.75" l="0.25" r="0.25"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Malicious Intent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9.0383358796568336E-2"/>
          <c:y val="9.1295647745524344E-2"/>
          <c:w val="0.8578753476710933"/>
          <c:h val="0.70462333999294868"/>
        </c:manualLayout>
      </c:layout>
      <c:lineChart>
        <c:grouping val="standard"/>
        <c:varyColors val="0"/>
        <c:ser>
          <c:idx val="0"/>
          <c:order val="0"/>
          <c:tx>
            <c:v>Dwellings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4e'!$B$4:$B$11</c:f>
              <c:numCache>
                <c:formatCode>#,##0</c:formatCode>
                <c:ptCount val="8"/>
                <c:pt idx="0">
                  <c:v>781</c:v>
                </c:pt>
                <c:pt idx="1">
                  <c:v>809</c:v>
                </c:pt>
                <c:pt idx="2">
                  <c:v>677</c:v>
                </c:pt>
                <c:pt idx="3">
                  <c:v>651</c:v>
                </c:pt>
                <c:pt idx="4">
                  <c:v>512</c:v>
                </c:pt>
                <c:pt idx="5" formatCode="General">
                  <c:v>524</c:v>
                </c:pt>
                <c:pt idx="6" formatCode="General">
                  <c:v>496</c:v>
                </c:pt>
                <c:pt idx="7" formatCode="General">
                  <c:v>424</c:v>
                </c:pt>
              </c:numCache>
            </c:numRef>
          </c:val>
          <c:smooth val="0"/>
          <c:extLst>
            <c:ext xmlns:c16="http://schemas.microsoft.com/office/drawing/2014/chart" uri="{C3380CC4-5D6E-409C-BE32-E72D297353CC}">
              <c16:uniqueId val="{00000000-85F8-4DCB-A940-9C0975C82C27}"/>
            </c:ext>
          </c:extLst>
        </c:ser>
        <c:ser>
          <c:idx val="1"/>
          <c:order val="1"/>
          <c:tx>
            <c:v>Other Buildings</c:v>
          </c:tx>
          <c:spPr>
            <a:ln>
              <a:solidFill>
                <a:schemeClr val="tx1">
                  <a:lumMod val="50000"/>
                  <a:lumOff val="50000"/>
                </a:schemeClr>
              </a:solidFill>
              <a:prstDash val="sysDash"/>
            </a:ln>
          </c:spPr>
          <c:marker>
            <c:spPr>
              <a:solidFill>
                <a:schemeClr val="tx1">
                  <a:lumMod val="50000"/>
                  <a:lumOff val="50000"/>
                </a:schemeClr>
              </a:solidFill>
              <a:ln>
                <a:solidFill>
                  <a:schemeClr val="tx1">
                    <a:lumMod val="50000"/>
                    <a:lumOff val="50000"/>
                  </a:schemeClr>
                </a:solidFill>
              </a:ln>
            </c:spPr>
          </c:marker>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'4c 4d 4e'!$A$36:$A$43</c:f>
              <c:strCache>
                <c:ptCount val="8"/>
                <c:pt idx="0">
                  <c:v>2010-11</c:v>
                </c:pt>
                <c:pt idx="1">
                  <c:v>2011-12</c:v>
                </c:pt>
                <c:pt idx="2">
                  <c:v>2012-13</c:v>
                </c:pt>
                <c:pt idx="3">
                  <c:v>2013-14</c:v>
                </c:pt>
                <c:pt idx="4">
                  <c:v>2014-15</c:v>
                </c:pt>
                <c:pt idx="5">
                  <c:v>2015-16</c:v>
                </c:pt>
                <c:pt idx="6">
                  <c:v>2016-17</c:v>
                </c:pt>
                <c:pt idx="7">
                  <c:v>2017-18</c:v>
                </c:pt>
              </c:strCache>
            </c:strRef>
          </c:cat>
          <c:val>
            <c:numRef>
              <c:f>'4c 4d 4e'!$C$4:$C$11</c:f>
              <c:numCache>
                <c:formatCode>#,##0</c:formatCode>
                <c:ptCount val="8"/>
                <c:pt idx="0">
                  <c:v>1178</c:v>
                </c:pt>
                <c:pt idx="1">
                  <c:v>1107</c:v>
                </c:pt>
                <c:pt idx="2">
                  <c:v>1158</c:v>
                </c:pt>
                <c:pt idx="3">
                  <c:v>1220</c:v>
                </c:pt>
                <c:pt idx="4">
                  <c:v>1104</c:v>
                </c:pt>
                <c:pt idx="5">
                  <c:v>1349</c:v>
                </c:pt>
                <c:pt idx="6">
                  <c:v>1319</c:v>
                </c:pt>
                <c:pt idx="7">
                  <c:v>1450</c:v>
                </c:pt>
              </c:numCache>
            </c:numRef>
          </c:val>
          <c:smooth val="0"/>
          <c:extLst>
            <c:ext xmlns:c16="http://schemas.microsoft.com/office/drawing/2014/chart" uri="{C3380CC4-5D6E-409C-BE32-E72D297353CC}">
              <c16:uniqueId val="{00000001-85F8-4DCB-A940-9C0975C82C27}"/>
            </c:ext>
          </c:extLst>
        </c:ser>
        <c:dLbls>
          <c:showLegendKey val="0"/>
          <c:showVal val="0"/>
          <c:showCatName val="0"/>
          <c:showSerName val="0"/>
          <c:showPercent val="0"/>
          <c:showBubbleSize val="0"/>
        </c:dLbls>
        <c:marker val="1"/>
        <c:smooth val="0"/>
        <c:axId val="234075272"/>
        <c:axId val="234075664"/>
      </c:lineChart>
      <c:catAx>
        <c:axId val="23407527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4075664"/>
        <c:crosses val="autoZero"/>
        <c:auto val="1"/>
        <c:lblAlgn val="ctr"/>
        <c:lblOffset val="100"/>
        <c:noMultiLvlLbl val="0"/>
      </c:catAx>
      <c:valAx>
        <c:axId val="234075664"/>
        <c:scaling>
          <c:orientation val="minMax"/>
        </c:scaling>
        <c:delete val="1"/>
        <c:axPos val="l"/>
        <c:numFmt formatCode="#,##0" sourceLinked="1"/>
        <c:majorTickMark val="out"/>
        <c:minorTickMark val="none"/>
        <c:tickLblPos val="nextTo"/>
        <c:crossAx val="234075272"/>
        <c:crosses val="autoZero"/>
        <c:crossBetween val="between"/>
      </c:valAx>
      <c:spPr>
        <a:noFill/>
        <a:ln w="25400">
          <a:noFill/>
        </a:ln>
      </c:spPr>
    </c:plotArea>
    <c:legend>
      <c:legendPos val="b"/>
      <c:layout>
        <c:manualLayout>
          <c:xMode val="edge"/>
          <c:yMode val="edge"/>
          <c:x val="4.7761194029850747E-2"/>
          <c:y val="0.91447016884083521"/>
          <c:w val="0.91541912484820009"/>
          <c:h val="7.3958745954301727E-2"/>
        </c:manualLayout>
      </c:layout>
      <c:overlay val="1"/>
    </c:legend>
    <c:plotVisOnly val="1"/>
    <c:dispBlanksAs val="gap"/>
    <c:showDLblsOverMax val="0"/>
  </c:chart>
  <c:printSettings>
    <c:headerFooter/>
    <c:pageMargins b="0.75" l="0.25" r="0.25"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Suicide</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11'!$J$13:$J$19</c:f>
              <c:numCache>
                <c:formatCode>#,##0</c:formatCode>
                <c:ptCount val="7"/>
                <c:pt idx="0">
                  <c:v>138</c:v>
                </c:pt>
                <c:pt idx="1">
                  <c:v>111</c:v>
                </c:pt>
                <c:pt idx="2">
                  <c:v>94</c:v>
                </c:pt>
                <c:pt idx="3">
                  <c:v>123</c:v>
                </c:pt>
                <c:pt idx="4">
                  <c:v>113</c:v>
                </c:pt>
                <c:pt idx="5">
                  <c:v>138</c:v>
                </c:pt>
                <c:pt idx="6">
                  <c:v>132</c:v>
                </c:pt>
              </c:numCache>
            </c:numRef>
          </c:val>
          <c:smooth val="0"/>
          <c:extLst>
            <c:ext xmlns:c16="http://schemas.microsoft.com/office/drawing/2014/chart" uri="{C3380CC4-5D6E-409C-BE32-E72D297353CC}">
              <c16:uniqueId val="{00000000-0856-45F4-8256-360F680CE3F5}"/>
            </c:ext>
          </c:extLst>
        </c:ser>
        <c:dLbls>
          <c:showLegendKey val="0"/>
          <c:showVal val="0"/>
          <c:showCatName val="0"/>
          <c:showSerName val="0"/>
          <c:showPercent val="0"/>
          <c:showBubbleSize val="0"/>
        </c:dLbls>
        <c:marker val="1"/>
        <c:smooth val="0"/>
        <c:axId val="234615728"/>
        <c:axId val="234616120"/>
      </c:lineChart>
      <c:catAx>
        <c:axId val="23461572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4616120"/>
        <c:crosses val="autoZero"/>
        <c:auto val="1"/>
        <c:lblAlgn val="ctr"/>
        <c:lblOffset val="100"/>
        <c:noMultiLvlLbl val="0"/>
      </c:catAx>
      <c:valAx>
        <c:axId val="234616120"/>
        <c:scaling>
          <c:orientation val="minMax"/>
        </c:scaling>
        <c:delete val="1"/>
        <c:axPos val="l"/>
        <c:numFmt formatCode="#,##0" sourceLinked="1"/>
        <c:majorTickMark val="out"/>
        <c:minorTickMark val="none"/>
        <c:tickLblPos val="nextTo"/>
        <c:crossAx val="23461572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Assist Other Agencies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68110835460636"/>
          <c:w val="0.97335156634832409"/>
          <c:h val="0.7012926808806433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11'!$T$13:$T$19</c:f>
              <c:numCache>
                <c:formatCode>#,##0</c:formatCode>
                <c:ptCount val="7"/>
                <c:pt idx="0">
                  <c:v>566</c:v>
                </c:pt>
                <c:pt idx="1">
                  <c:v>470</c:v>
                </c:pt>
                <c:pt idx="2">
                  <c:v>555</c:v>
                </c:pt>
                <c:pt idx="3">
                  <c:v>774</c:v>
                </c:pt>
                <c:pt idx="4">
                  <c:v>1201</c:v>
                </c:pt>
                <c:pt idx="5">
                  <c:v>1167</c:v>
                </c:pt>
                <c:pt idx="6">
                  <c:v>1164</c:v>
                </c:pt>
              </c:numCache>
            </c:numRef>
          </c:val>
          <c:smooth val="0"/>
          <c:extLst>
            <c:ext xmlns:c16="http://schemas.microsoft.com/office/drawing/2014/chart" uri="{C3380CC4-5D6E-409C-BE32-E72D297353CC}">
              <c16:uniqueId val="{00000000-892C-44B4-BF27-77EF73E1B89E}"/>
            </c:ext>
          </c:extLst>
        </c:ser>
        <c:dLbls>
          <c:showLegendKey val="0"/>
          <c:showVal val="0"/>
          <c:showCatName val="0"/>
          <c:showSerName val="0"/>
          <c:showPercent val="0"/>
          <c:showBubbleSize val="0"/>
        </c:dLbls>
        <c:marker val="1"/>
        <c:smooth val="0"/>
        <c:axId val="234616904"/>
        <c:axId val="234617296"/>
      </c:lineChart>
      <c:catAx>
        <c:axId val="234616904"/>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4617296"/>
        <c:crosses val="autoZero"/>
        <c:auto val="1"/>
        <c:lblAlgn val="ctr"/>
        <c:lblOffset val="100"/>
        <c:noMultiLvlLbl val="0"/>
      </c:catAx>
      <c:valAx>
        <c:axId val="234617296"/>
        <c:scaling>
          <c:orientation val="minMax"/>
        </c:scaling>
        <c:delete val="1"/>
        <c:axPos val="l"/>
        <c:numFmt formatCode="#,##0" sourceLinked="1"/>
        <c:majorTickMark val="out"/>
        <c:minorTickMark val="none"/>
        <c:tickLblPos val="nextTo"/>
        <c:crossAx val="23461690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7100656535582E-3"/>
          <c:y val="0.16580961526150695"/>
          <c:w val="0.97335156634832409"/>
          <c:h val="0.69229370718904037"/>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11'!$I$13:$I$19</c:f>
              <c:numCache>
                <c:formatCode>#,##0</c:formatCode>
                <c:ptCount val="7"/>
                <c:pt idx="0">
                  <c:v>284</c:v>
                </c:pt>
                <c:pt idx="1">
                  <c:v>244</c:v>
                </c:pt>
                <c:pt idx="2">
                  <c:v>278</c:v>
                </c:pt>
                <c:pt idx="3">
                  <c:v>374</c:v>
                </c:pt>
                <c:pt idx="4">
                  <c:v>523</c:v>
                </c:pt>
                <c:pt idx="5">
                  <c:v>539</c:v>
                </c:pt>
                <c:pt idx="6">
                  <c:v>486</c:v>
                </c:pt>
              </c:numCache>
            </c:numRef>
          </c:val>
          <c:smooth val="0"/>
          <c:extLst>
            <c:ext xmlns:c16="http://schemas.microsoft.com/office/drawing/2014/chart" uri="{C3380CC4-5D6E-409C-BE32-E72D297353CC}">
              <c16:uniqueId val="{00000000-5CC1-40E7-BE03-137C532C84DC}"/>
            </c:ext>
          </c:extLst>
        </c:ser>
        <c:dLbls>
          <c:showLegendKey val="0"/>
          <c:showVal val="0"/>
          <c:showCatName val="0"/>
          <c:showSerName val="0"/>
          <c:showPercent val="0"/>
          <c:showBubbleSize val="0"/>
        </c:dLbls>
        <c:marker val="1"/>
        <c:smooth val="0"/>
        <c:axId val="234618080"/>
        <c:axId val="234618472"/>
      </c:lineChart>
      <c:catAx>
        <c:axId val="234618080"/>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4618472"/>
        <c:crosses val="autoZero"/>
        <c:auto val="1"/>
        <c:lblAlgn val="ctr"/>
        <c:lblOffset val="100"/>
        <c:noMultiLvlLbl val="0"/>
      </c:catAx>
      <c:valAx>
        <c:axId val="234618472"/>
        <c:scaling>
          <c:orientation val="minMax"/>
        </c:scaling>
        <c:delete val="1"/>
        <c:axPos val="l"/>
        <c:numFmt formatCode="#,##0" sourceLinked="1"/>
        <c:majorTickMark val="out"/>
        <c:minorTickMark val="none"/>
        <c:tickLblPos val="nextTo"/>
        <c:crossAx val="23461808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Effect Entry or Exit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11'!$O$13:$O$19</c:f>
              <c:numCache>
                <c:formatCode>#,##0</c:formatCode>
                <c:ptCount val="7"/>
                <c:pt idx="0">
                  <c:v>882</c:v>
                </c:pt>
                <c:pt idx="1">
                  <c:v>883</c:v>
                </c:pt>
                <c:pt idx="2">
                  <c:v>1073</c:v>
                </c:pt>
                <c:pt idx="3">
                  <c:v>1782</c:v>
                </c:pt>
                <c:pt idx="4">
                  <c:v>2495</c:v>
                </c:pt>
                <c:pt idx="5">
                  <c:v>2852</c:v>
                </c:pt>
                <c:pt idx="6">
                  <c:v>3116</c:v>
                </c:pt>
              </c:numCache>
            </c:numRef>
          </c:val>
          <c:smooth val="0"/>
          <c:extLst>
            <c:ext xmlns:c16="http://schemas.microsoft.com/office/drawing/2014/chart" uri="{C3380CC4-5D6E-409C-BE32-E72D297353CC}">
              <c16:uniqueId val="{00000000-2CB9-48A1-9A1C-B5848B5922E3}"/>
            </c:ext>
          </c:extLst>
        </c:ser>
        <c:dLbls>
          <c:showLegendKey val="0"/>
          <c:showVal val="0"/>
          <c:showCatName val="0"/>
          <c:showSerName val="0"/>
          <c:showPercent val="0"/>
          <c:showBubbleSize val="0"/>
        </c:dLbls>
        <c:marker val="1"/>
        <c:smooth val="0"/>
        <c:axId val="235048512"/>
        <c:axId val="235048904"/>
      </c:lineChart>
      <c:catAx>
        <c:axId val="235048512"/>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048904"/>
        <c:crosses val="autoZero"/>
        <c:auto val="1"/>
        <c:lblAlgn val="ctr"/>
        <c:lblOffset val="100"/>
        <c:noMultiLvlLbl val="0"/>
      </c:catAx>
      <c:valAx>
        <c:axId val="235048904"/>
        <c:scaling>
          <c:orientation val="minMax"/>
        </c:scaling>
        <c:delete val="1"/>
        <c:axPos val="l"/>
        <c:numFmt formatCode="#,##0" sourceLinked="1"/>
        <c:majorTickMark val="out"/>
        <c:minorTickMark val="none"/>
        <c:tickLblPos val="nextTo"/>
        <c:crossAx val="23504851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Road</a:t>
            </a:r>
            <a:r>
              <a:rPr lang="en-US" baseline="0"/>
              <a:t> Traffic Collision</a:t>
            </a:r>
            <a:endParaRPr lang="en-US"/>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11'!$B$13:$B$19</c:f>
              <c:numCache>
                <c:formatCode>#,##0</c:formatCode>
                <c:ptCount val="7"/>
                <c:pt idx="0">
                  <c:v>2223</c:v>
                </c:pt>
                <c:pt idx="1">
                  <c:v>2267</c:v>
                </c:pt>
                <c:pt idx="2">
                  <c:v>2136</c:v>
                </c:pt>
                <c:pt idx="3">
                  <c:v>2293</c:v>
                </c:pt>
                <c:pt idx="4">
                  <c:v>2444</c:v>
                </c:pt>
                <c:pt idx="5">
                  <c:v>2461</c:v>
                </c:pt>
                <c:pt idx="6">
                  <c:v>2525</c:v>
                </c:pt>
              </c:numCache>
            </c:numRef>
          </c:val>
          <c:smooth val="0"/>
          <c:extLst>
            <c:ext xmlns:c16="http://schemas.microsoft.com/office/drawing/2014/chart" uri="{C3380CC4-5D6E-409C-BE32-E72D297353CC}">
              <c16:uniqueId val="{00000000-0856-45F4-8256-360F680CE3F5}"/>
            </c:ext>
          </c:extLst>
        </c:ser>
        <c:dLbls>
          <c:showLegendKey val="0"/>
          <c:showVal val="0"/>
          <c:showCatName val="0"/>
          <c:showSerName val="0"/>
          <c:showPercent val="0"/>
          <c:showBubbleSize val="0"/>
        </c:dLbls>
        <c:marker val="1"/>
        <c:smooth val="0"/>
        <c:axId val="235049688"/>
        <c:axId val="235050080"/>
      </c:lineChart>
      <c:catAx>
        <c:axId val="23504968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050080"/>
        <c:crosses val="autoZero"/>
        <c:auto val="1"/>
        <c:lblAlgn val="ctr"/>
        <c:lblOffset val="100"/>
        <c:noMultiLvlLbl val="0"/>
      </c:catAx>
      <c:valAx>
        <c:axId val="235050080"/>
        <c:scaling>
          <c:orientation val="minMax"/>
        </c:scaling>
        <c:delete val="1"/>
        <c:axPos val="l"/>
        <c:numFmt formatCode="#,##0" sourceLinked="1"/>
        <c:majorTickMark val="out"/>
        <c:minorTickMark val="none"/>
        <c:tickLblPos val="nextTo"/>
        <c:crossAx val="23504968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430464380038235"/>
          <c:y val="2.8143644617380031E-2"/>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8.9077100656535582E-3"/>
          <c:y val="0.1229739515780372"/>
          <c:w val="0.97335156634832409"/>
          <c:h val="0.75212440553393856"/>
        </c:manualLayout>
      </c:layout>
      <c:lineChart>
        <c:grouping val="standard"/>
        <c:varyColors val="0"/>
        <c:ser>
          <c:idx val="0"/>
          <c:order val="0"/>
          <c:tx>
            <c:v>Chimney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Trend'!$H$9:$H$32</c:f>
              <c:numCache>
                <c:formatCode>#,##0</c:formatCode>
                <c:ptCount val="24"/>
                <c:pt idx="1">
                  <c:v>6057</c:v>
                </c:pt>
                <c:pt idx="2">
                  <c:v>5416</c:v>
                </c:pt>
                <c:pt idx="3">
                  <c:v>4279</c:v>
                </c:pt>
                <c:pt idx="4">
                  <c:v>3863</c:v>
                </c:pt>
                <c:pt idx="5">
                  <c:v>3249</c:v>
                </c:pt>
                <c:pt idx="6">
                  <c:v>3485</c:v>
                </c:pt>
                <c:pt idx="7">
                  <c:v>2761</c:v>
                </c:pt>
                <c:pt idx="8">
                  <c:v>2396</c:v>
                </c:pt>
                <c:pt idx="9">
                  <c:v>1893</c:v>
                </c:pt>
                <c:pt idx="10">
                  <c:v>1474</c:v>
                </c:pt>
                <c:pt idx="11">
                  <c:v>1696</c:v>
                </c:pt>
                <c:pt idx="12">
                  <c:v>1430</c:v>
                </c:pt>
                <c:pt idx="13">
                  <c:v>1633</c:v>
                </c:pt>
                <c:pt idx="14">
                  <c:v>1745</c:v>
                </c:pt>
                <c:pt idx="15">
                  <c:v>1738</c:v>
                </c:pt>
                <c:pt idx="16">
                  <c:v>1565</c:v>
                </c:pt>
                <c:pt idx="17">
                  <c:v>1243</c:v>
                </c:pt>
                <c:pt idx="18">
                  <c:v>1375</c:v>
                </c:pt>
                <c:pt idx="19">
                  <c:v>1093</c:v>
                </c:pt>
                <c:pt idx="20">
                  <c:v>977</c:v>
                </c:pt>
                <c:pt idx="21">
                  <c:v>883</c:v>
                </c:pt>
                <c:pt idx="22">
                  <c:v>710</c:v>
                </c:pt>
                <c:pt idx="23">
                  <c:v>763</c:v>
                </c:pt>
              </c:numCache>
            </c:numRef>
          </c:val>
          <c:smooth val="0"/>
          <c:extLst>
            <c:ext xmlns:c16="http://schemas.microsoft.com/office/drawing/2014/chart" uri="{C3380CC4-5D6E-409C-BE32-E72D297353CC}">
              <c16:uniqueId val="{00000000-1F96-4BAB-A42A-9494097151DE}"/>
            </c:ext>
          </c:extLst>
        </c:ser>
        <c:dLbls>
          <c:showLegendKey val="0"/>
          <c:showVal val="0"/>
          <c:showCatName val="0"/>
          <c:showSerName val="0"/>
          <c:showPercent val="0"/>
          <c:showBubbleSize val="0"/>
        </c:dLbls>
        <c:marker val="1"/>
        <c:smooth val="0"/>
        <c:axId val="168872488"/>
        <c:axId val="167461632"/>
      </c:lineChart>
      <c:catAx>
        <c:axId val="168872488"/>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167461632"/>
        <c:crosses val="autoZero"/>
        <c:auto val="1"/>
        <c:lblAlgn val="ctr"/>
        <c:lblOffset val="100"/>
        <c:tickLblSkip val="3"/>
        <c:noMultiLvlLbl val="0"/>
      </c:catAx>
      <c:valAx>
        <c:axId val="167461632"/>
        <c:scaling>
          <c:orientation val="minMax"/>
        </c:scaling>
        <c:delete val="0"/>
        <c:axPos val="l"/>
        <c:numFmt formatCode="#,##0" sourceLinked="1"/>
        <c:majorTickMark val="out"/>
        <c:minorTickMark val="none"/>
        <c:tickLblPos val="nextTo"/>
        <c:crossAx val="16887248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Rescue or</a:t>
            </a:r>
            <a:r>
              <a:rPr lang="en-US" baseline="0"/>
              <a:t> Evacuation from Water</a:t>
            </a:r>
            <a:endParaRPr lang="en-US"/>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11'!$A$13:$A$19</c:f>
              <c:strCache>
                <c:ptCount val="7"/>
                <c:pt idx="0">
                  <c:v>2011-12</c:v>
                </c:pt>
                <c:pt idx="1">
                  <c:v>2012-13</c:v>
                </c:pt>
                <c:pt idx="2">
                  <c:v>2013-14</c:v>
                </c:pt>
                <c:pt idx="3">
                  <c:v>2014-15</c:v>
                </c:pt>
                <c:pt idx="4">
                  <c:v>2015-16</c:v>
                </c:pt>
                <c:pt idx="5">
                  <c:v>2016-17</c:v>
                </c:pt>
                <c:pt idx="6">
                  <c:v>2017-18</c:v>
                </c:pt>
              </c:strCache>
            </c:strRef>
          </c:cat>
          <c:val>
            <c:numRef>
              <c:f>'Figure 11'!$E$13:$E$19</c:f>
              <c:numCache>
                <c:formatCode>#,##0</c:formatCode>
                <c:ptCount val="7"/>
                <c:pt idx="0">
                  <c:v>163</c:v>
                </c:pt>
                <c:pt idx="1">
                  <c:v>167</c:v>
                </c:pt>
                <c:pt idx="2">
                  <c:v>149</c:v>
                </c:pt>
                <c:pt idx="3">
                  <c:v>116</c:v>
                </c:pt>
                <c:pt idx="4">
                  <c:v>176</c:v>
                </c:pt>
                <c:pt idx="5">
                  <c:v>119</c:v>
                </c:pt>
                <c:pt idx="6">
                  <c:v>146</c:v>
                </c:pt>
              </c:numCache>
            </c:numRef>
          </c:val>
          <c:smooth val="0"/>
          <c:extLst>
            <c:ext xmlns:c16="http://schemas.microsoft.com/office/drawing/2014/chart" uri="{C3380CC4-5D6E-409C-BE32-E72D297353CC}">
              <c16:uniqueId val="{00000000-0856-45F4-8256-360F680CE3F5}"/>
            </c:ext>
          </c:extLst>
        </c:ser>
        <c:dLbls>
          <c:showLegendKey val="0"/>
          <c:showVal val="0"/>
          <c:showCatName val="0"/>
          <c:showSerName val="0"/>
          <c:showPercent val="0"/>
          <c:showBubbleSize val="0"/>
        </c:dLbls>
        <c:marker val="1"/>
        <c:smooth val="0"/>
        <c:axId val="235050864"/>
        <c:axId val="235051256"/>
      </c:lineChart>
      <c:catAx>
        <c:axId val="235050864"/>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051256"/>
        <c:crosses val="autoZero"/>
        <c:auto val="1"/>
        <c:lblAlgn val="ctr"/>
        <c:lblOffset val="100"/>
        <c:noMultiLvlLbl val="0"/>
      </c:catAx>
      <c:valAx>
        <c:axId val="235051256"/>
        <c:scaling>
          <c:orientation val="minMax"/>
        </c:scaling>
        <c:delete val="1"/>
        <c:axPos val="l"/>
        <c:numFmt formatCode="#,##0" sourceLinked="1"/>
        <c:majorTickMark val="out"/>
        <c:minorTickMark val="none"/>
        <c:tickLblPos val="nextTo"/>
        <c:crossAx val="23505086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Road Traffic</a:t>
            </a:r>
            <a:r>
              <a:rPr lang="en-US" baseline="0"/>
              <a:t> </a:t>
            </a:r>
            <a:r>
              <a:rPr lang="en-US"/>
              <a:t>Collision </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7212607740134611"/>
          <c:w val="0.97335156634832409"/>
          <c:h val="0.68597758799555586"/>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13'!$C$7:$I$7</c:f>
              <c:numCache>
                <c:formatCode>General</c:formatCode>
                <c:ptCount val="7"/>
                <c:pt idx="0">
                  <c:v>98</c:v>
                </c:pt>
                <c:pt idx="1">
                  <c:v>90</c:v>
                </c:pt>
                <c:pt idx="2">
                  <c:v>110</c:v>
                </c:pt>
                <c:pt idx="3">
                  <c:v>105</c:v>
                </c:pt>
                <c:pt idx="4">
                  <c:v>104</c:v>
                </c:pt>
                <c:pt idx="5">
                  <c:v>94</c:v>
                </c:pt>
                <c:pt idx="6">
                  <c:v>81</c:v>
                </c:pt>
              </c:numCache>
            </c:numRef>
          </c:val>
          <c:smooth val="0"/>
          <c:extLst>
            <c:ext xmlns:c16="http://schemas.microsoft.com/office/drawing/2014/chart" uri="{C3380CC4-5D6E-409C-BE32-E72D297353CC}">
              <c16:uniqueId val="{00000000-3F38-40D2-850B-DBD9ACBD0A65}"/>
            </c:ext>
          </c:extLst>
        </c:ser>
        <c:dLbls>
          <c:showLegendKey val="0"/>
          <c:showVal val="0"/>
          <c:showCatName val="0"/>
          <c:showSerName val="0"/>
          <c:showPercent val="0"/>
          <c:showBubbleSize val="0"/>
        </c:dLbls>
        <c:marker val="1"/>
        <c:smooth val="0"/>
        <c:axId val="235052040"/>
        <c:axId val="233777392"/>
      </c:lineChart>
      <c:catAx>
        <c:axId val="235052040"/>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3777392"/>
        <c:crosses val="autoZero"/>
        <c:auto val="1"/>
        <c:lblAlgn val="ctr"/>
        <c:lblOffset val="100"/>
        <c:noMultiLvlLbl val="0"/>
      </c:catAx>
      <c:valAx>
        <c:axId val="233777392"/>
        <c:scaling>
          <c:orientation val="minMax"/>
        </c:scaling>
        <c:delete val="1"/>
        <c:axPos val="l"/>
        <c:numFmt formatCode="General" sourceLinked="1"/>
        <c:majorTickMark val="out"/>
        <c:minorTickMark val="none"/>
        <c:tickLblPos val="nextTo"/>
        <c:crossAx val="23505204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Suicide</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13'!$C$15:$I$15</c:f>
              <c:numCache>
                <c:formatCode>General</c:formatCode>
                <c:ptCount val="7"/>
                <c:pt idx="0">
                  <c:v>36</c:v>
                </c:pt>
                <c:pt idx="1">
                  <c:v>19</c:v>
                </c:pt>
                <c:pt idx="2">
                  <c:v>11</c:v>
                </c:pt>
                <c:pt idx="3">
                  <c:v>30</c:v>
                </c:pt>
                <c:pt idx="4">
                  <c:v>30</c:v>
                </c:pt>
                <c:pt idx="5">
                  <c:v>36</c:v>
                </c:pt>
                <c:pt idx="6">
                  <c:v>22</c:v>
                </c:pt>
              </c:numCache>
            </c:numRef>
          </c:val>
          <c:smooth val="0"/>
          <c:extLst>
            <c:ext xmlns:c16="http://schemas.microsoft.com/office/drawing/2014/chart" uri="{C3380CC4-5D6E-409C-BE32-E72D297353CC}">
              <c16:uniqueId val="{00000000-D54B-49EE-BD92-0946E12007B3}"/>
            </c:ext>
          </c:extLst>
        </c:ser>
        <c:dLbls>
          <c:showLegendKey val="0"/>
          <c:showVal val="0"/>
          <c:showCatName val="0"/>
          <c:showSerName val="0"/>
          <c:showPercent val="0"/>
          <c:showBubbleSize val="0"/>
        </c:dLbls>
        <c:marker val="1"/>
        <c:smooth val="0"/>
        <c:axId val="233778176"/>
        <c:axId val="233778568"/>
      </c:lineChart>
      <c:catAx>
        <c:axId val="233778176"/>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3778568"/>
        <c:crosses val="autoZero"/>
        <c:auto val="1"/>
        <c:lblAlgn val="ctr"/>
        <c:lblOffset val="100"/>
        <c:noMultiLvlLbl val="0"/>
      </c:catAx>
      <c:valAx>
        <c:axId val="233778568"/>
        <c:scaling>
          <c:orientation val="minMax"/>
        </c:scaling>
        <c:delete val="1"/>
        <c:axPos val="l"/>
        <c:numFmt formatCode="General" sourceLinked="1"/>
        <c:majorTickMark val="out"/>
        <c:minorTickMark val="none"/>
        <c:tickLblPos val="nextTo"/>
        <c:crossAx val="23377817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Assist Other Agencies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68110835460636"/>
          <c:w val="0.97335156634832409"/>
          <c:h val="0.7012926808806433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13'!$C$25:$I$25</c:f>
              <c:numCache>
                <c:formatCode>General</c:formatCode>
                <c:ptCount val="7"/>
                <c:pt idx="0">
                  <c:v>25</c:v>
                </c:pt>
                <c:pt idx="1">
                  <c:v>26</c:v>
                </c:pt>
                <c:pt idx="2">
                  <c:v>30</c:v>
                </c:pt>
                <c:pt idx="3">
                  <c:v>42</c:v>
                </c:pt>
                <c:pt idx="4">
                  <c:v>76</c:v>
                </c:pt>
                <c:pt idx="5">
                  <c:v>78</c:v>
                </c:pt>
                <c:pt idx="6">
                  <c:v>72</c:v>
                </c:pt>
              </c:numCache>
            </c:numRef>
          </c:val>
          <c:smooth val="0"/>
          <c:extLst>
            <c:ext xmlns:c16="http://schemas.microsoft.com/office/drawing/2014/chart" uri="{C3380CC4-5D6E-409C-BE32-E72D297353CC}">
              <c16:uniqueId val="{00000000-F5CB-4F54-8A18-F5C90A992F54}"/>
            </c:ext>
          </c:extLst>
        </c:ser>
        <c:dLbls>
          <c:showLegendKey val="0"/>
          <c:showVal val="0"/>
          <c:showCatName val="0"/>
          <c:showSerName val="0"/>
          <c:showPercent val="0"/>
          <c:showBubbleSize val="0"/>
        </c:dLbls>
        <c:marker val="1"/>
        <c:smooth val="0"/>
        <c:axId val="233779352"/>
        <c:axId val="233779744"/>
      </c:lineChart>
      <c:catAx>
        <c:axId val="233779352"/>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3779744"/>
        <c:crosses val="autoZero"/>
        <c:auto val="1"/>
        <c:lblAlgn val="ctr"/>
        <c:lblOffset val="100"/>
        <c:noMultiLvlLbl val="0"/>
      </c:catAx>
      <c:valAx>
        <c:axId val="233779744"/>
        <c:scaling>
          <c:orientation val="minMax"/>
        </c:scaling>
        <c:delete val="1"/>
        <c:axPos val="l"/>
        <c:numFmt formatCode="General" sourceLinked="1"/>
        <c:majorTickMark val="out"/>
        <c:minorTickMark val="none"/>
        <c:tickLblPos val="nextTo"/>
        <c:crossAx val="23377935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7100656535582E-3"/>
          <c:y val="0.16580961526150695"/>
          <c:w val="0.97335156634832409"/>
          <c:h val="0.69229370718904037"/>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13'!$C$14:$I$14</c:f>
              <c:numCache>
                <c:formatCode>General</c:formatCode>
                <c:ptCount val="7"/>
                <c:pt idx="0">
                  <c:v>15</c:v>
                </c:pt>
                <c:pt idx="1">
                  <c:v>7</c:v>
                </c:pt>
                <c:pt idx="2">
                  <c:v>7</c:v>
                </c:pt>
                <c:pt idx="3">
                  <c:v>20</c:v>
                </c:pt>
                <c:pt idx="4">
                  <c:v>80</c:v>
                </c:pt>
                <c:pt idx="5">
                  <c:v>130</c:v>
                </c:pt>
                <c:pt idx="6">
                  <c:v>59</c:v>
                </c:pt>
              </c:numCache>
            </c:numRef>
          </c:val>
          <c:smooth val="0"/>
          <c:extLst>
            <c:ext xmlns:c16="http://schemas.microsoft.com/office/drawing/2014/chart" uri="{C3380CC4-5D6E-409C-BE32-E72D297353CC}">
              <c16:uniqueId val="{00000000-D42D-437B-8D8F-24017BF284E8}"/>
            </c:ext>
          </c:extLst>
        </c:ser>
        <c:dLbls>
          <c:showLegendKey val="0"/>
          <c:showVal val="0"/>
          <c:showCatName val="0"/>
          <c:showSerName val="0"/>
          <c:showPercent val="0"/>
          <c:showBubbleSize val="0"/>
        </c:dLbls>
        <c:marker val="1"/>
        <c:smooth val="0"/>
        <c:axId val="233780528"/>
        <c:axId val="233780920"/>
      </c:lineChart>
      <c:catAx>
        <c:axId val="23378052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3780920"/>
        <c:crosses val="autoZero"/>
        <c:auto val="1"/>
        <c:lblAlgn val="ctr"/>
        <c:lblOffset val="100"/>
        <c:noMultiLvlLbl val="0"/>
      </c:catAx>
      <c:valAx>
        <c:axId val="233780920"/>
        <c:scaling>
          <c:orientation val="minMax"/>
        </c:scaling>
        <c:delete val="1"/>
        <c:axPos val="l"/>
        <c:numFmt formatCode="General" sourceLinked="1"/>
        <c:majorTickMark val="out"/>
        <c:minorTickMark val="none"/>
        <c:tickLblPos val="nextTo"/>
        <c:crossAx val="23378052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Effect Entry or Exit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13'!$C$20:$I$20</c:f>
              <c:numCache>
                <c:formatCode>General</c:formatCode>
                <c:ptCount val="7"/>
                <c:pt idx="0">
                  <c:v>5</c:v>
                </c:pt>
                <c:pt idx="1">
                  <c:v>5</c:v>
                </c:pt>
                <c:pt idx="2">
                  <c:v>18</c:v>
                </c:pt>
                <c:pt idx="3">
                  <c:v>34</c:v>
                </c:pt>
                <c:pt idx="4">
                  <c:v>77</c:v>
                </c:pt>
                <c:pt idx="5">
                  <c:v>116</c:v>
                </c:pt>
                <c:pt idx="6">
                  <c:v>128</c:v>
                </c:pt>
              </c:numCache>
            </c:numRef>
          </c:val>
          <c:smooth val="0"/>
          <c:extLst>
            <c:ext xmlns:c16="http://schemas.microsoft.com/office/drawing/2014/chart" uri="{C3380CC4-5D6E-409C-BE32-E72D297353CC}">
              <c16:uniqueId val="{00000000-AEF8-4BFF-AB5C-BF040879B50E}"/>
            </c:ext>
          </c:extLst>
        </c:ser>
        <c:dLbls>
          <c:showLegendKey val="0"/>
          <c:showVal val="0"/>
          <c:showCatName val="0"/>
          <c:showSerName val="0"/>
          <c:showPercent val="0"/>
          <c:showBubbleSize val="0"/>
        </c:dLbls>
        <c:marker val="1"/>
        <c:smooth val="0"/>
        <c:axId val="235372496"/>
        <c:axId val="235372888"/>
      </c:lineChart>
      <c:catAx>
        <c:axId val="235372496"/>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372888"/>
        <c:crosses val="autoZero"/>
        <c:auto val="1"/>
        <c:lblAlgn val="ctr"/>
        <c:lblOffset val="100"/>
        <c:noMultiLvlLbl val="0"/>
      </c:catAx>
      <c:valAx>
        <c:axId val="235372888"/>
        <c:scaling>
          <c:orientation val="minMax"/>
        </c:scaling>
        <c:delete val="1"/>
        <c:axPos val="l"/>
        <c:numFmt formatCode="General" sourceLinked="1"/>
        <c:majorTickMark val="out"/>
        <c:minorTickMark val="none"/>
        <c:tickLblPos val="nextTo"/>
        <c:crossAx val="23537249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Rescue or Evacuation from Water</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7212607740134611"/>
          <c:w val="0.97335156634832409"/>
          <c:h val="0.68597758799555586"/>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13'!$C$6:$I$6</c:f>
              <c:strCache>
                <c:ptCount val="7"/>
                <c:pt idx="0">
                  <c:v>2011-12</c:v>
                </c:pt>
                <c:pt idx="1">
                  <c:v>2012-13</c:v>
                </c:pt>
                <c:pt idx="2">
                  <c:v>2013-14</c:v>
                </c:pt>
                <c:pt idx="3">
                  <c:v>2014-15</c:v>
                </c:pt>
                <c:pt idx="4">
                  <c:v>2015-16</c:v>
                </c:pt>
                <c:pt idx="5">
                  <c:v>2016-17</c:v>
                </c:pt>
                <c:pt idx="6">
                  <c:v>2017-18</c:v>
                </c:pt>
              </c:strCache>
            </c:strRef>
          </c:cat>
          <c:val>
            <c:numRef>
              <c:f>'Figure 13'!$C$10:$I$10</c:f>
              <c:numCache>
                <c:formatCode>General</c:formatCode>
                <c:ptCount val="7"/>
                <c:pt idx="0">
                  <c:v>17</c:v>
                </c:pt>
                <c:pt idx="1">
                  <c:v>23</c:v>
                </c:pt>
                <c:pt idx="2">
                  <c:v>18</c:v>
                </c:pt>
                <c:pt idx="3">
                  <c:v>14</c:v>
                </c:pt>
                <c:pt idx="4">
                  <c:v>15</c:v>
                </c:pt>
                <c:pt idx="5">
                  <c:v>24</c:v>
                </c:pt>
                <c:pt idx="6">
                  <c:v>24</c:v>
                </c:pt>
              </c:numCache>
            </c:numRef>
          </c:val>
          <c:smooth val="0"/>
          <c:extLst>
            <c:ext xmlns:c16="http://schemas.microsoft.com/office/drawing/2014/chart" uri="{C3380CC4-5D6E-409C-BE32-E72D297353CC}">
              <c16:uniqueId val="{00000000-3F38-40D2-850B-DBD9ACBD0A65}"/>
            </c:ext>
          </c:extLst>
        </c:ser>
        <c:dLbls>
          <c:showLegendKey val="0"/>
          <c:showVal val="0"/>
          <c:showCatName val="0"/>
          <c:showSerName val="0"/>
          <c:showPercent val="0"/>
          <c:showBubbleSize val="0"/>
        </c:dLbls>
        <c:marker val="1"/>
        <c:smooth val="0"/>
        <c:axId val="235373672"/>
        <c:axId val="235374064"/>
      </c:lineChart>
      <c:catAx>
        <c:axId val="235373672"/>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374064"/>
        <c:crosses val="autoZero"/>
        <c:auto val="1"/>
        <c:lblAlgn val="ctr"/>
        <c:lblOffset val="100"/>
        <c:noMultiLvlLbl val="0"/>
      </c:catAx>
      <c:valAx>
        <c:axId val="235374064"/>
        <c:scaling>
          <c:orientation val="minMax"/>
        </c:scaling>
        <c:delete val="1"/>
        <c:axPos val="l"/>
        <c:numFmt formatCode="General" sourceLinked="1"/>
        <c:majorTickMark val="out"/>
        <c:minorTickMark val="none"/>
        <c:tickLblPos val="nextTo"/>
        <c:crossAx val="23537367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Road Traffic Collision</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44634523424298"/>
          <c:w val="0.97335156634832409"/>
          <c:h val="0.7134692410024089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14'!$C$7:$I$7</c:f>
              <c:numCache>
                <c:formatCode>General</c:formatCode>
                <c:ptCount val="7"/>
                <c:pt idx="0">
                  <c:v>1772</c:v>
                </c:pt>
                <c:pt idx="1">
                  <c:v>1797</c:v>
                </c:pt>
                <c:pt idx="2">
                  <c:v>1881</c:v>
                </c:pt>
                <c:pt idx="3">
                  <c:v>1846</c:v>
                </c:pt>
                <c:pt idx="4">
                  <c:v>2046</c:v>
                </c:pt>
                <c:pt idx="5">
                  <c:v>2059</c:v>
                </c:pt>
                <c:pt idx="6">
                  <c:v>2057</c:v>
                </c:pt>
              </c:numCache>
            </c:numRef>
          </c:val>
          <c:smooth val="0"/>
          <c:extLst>
            <c:ext xmlns:c16="http://schemas.microsoft.com/office/drawing/2014/chart" uri="{C3380CC4-5D6E-409C-BE32-E72D297353CC}">
              <c16:uniqueId val="{00000000-575E-4D8C-BA23-35BC5731B150}"/>
            </c:ext>
          </c:extLst>
        </c:ser>
        <c:dLbls>
          <c:showLegendKey val="0"/>
          <c:showVal val="0"/>
          <c:showCatName val="0"/>
          <c:showSerName val="0"/>
          <c:showPercent val="0"/>
          <c:showBubbleSize val="0"/>
        </c:dLbls>
        <c:marker val="1"/>
        <c:smooth val="0"/>
        <c:axId val="235374848"/>
        <c:axId val="235375240"/>
      </c:lineChart>
      <c:catAx>
        <c:axId val="23537484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5375240"/>
        <c:crosses val="autoZero"/>
        <c:auto val="1"/>
        <c:lblAlgn val="ctr"/>
        <c:lblOffset val="100"/>
        <c:noMultiLvlLbl val="0"/>
      </c:catAx>
      <c:valAx>
        <c:axId val="235375240"/>
        <c:scaling>
          <c:orientation val="minMax"/>
        </c:scaling>
        <c:delete val="1"/>
        <c:axPos val="l"/>
        <c:numFmt formatCode="General" sourceLinked="1"/>
        <c:majorTickMark val="out"/>
        <c:minorTickMark val="none"/>
        <c:tickLblPos val="nextTo"/>
        <c:crossAx val="23537484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Rescue</a:t>
            </a:r>
            <a:r>
              <a:rPr lang="en-US" baseline="0"/>
              <a:t> or Evacuation from Water</a:t>
            </a:r>
            <a:endParaRPr lang="en-US"/>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385462433634152"/>
          <c:w val="0.97335156634832409"/>
          <c:h val="0.7195575210632917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14'!$C$10:$I$10</c:f>
              <c:numCache>
                <c:formatCode>General</c:formatCode>
                <c:ptCount val="7"/>
                <c:pt idx="0">
                  <c:v>31</c:v>
                </c:pt>
                <c:pt idx="1">
                  <c:v>42</c:v>
                </c:pt>
                <c:pt idx="2">
                  <c:v>45</c:v>
                </c:pt>
                <c:pt idx="3">
                  <c:v>34</c:v>
                </c:pt>
                <c:pt idx="4">
                  <c:v>55</c:v>
                </c:pt>
                <c:pt idx="5">
                  <c:v>46</c:v>
                </c:pt>
                <c:pt idx="6">
                  <c:v>60</c:v>
                </c:pt>
              </c:numCache>
            </c:numRef>
          </c:val>
          <c:smooth val="0"/>
          <c:extLst>
            <c:ext xmlns:c16="http://schemas.microsoft.com/office/drawing/2014/chart" uri="{C3380CC4-5D6E-409C-BE32-E72D297353CC}">
              <c16:uniqueId val="{00000000-F7D4-4B6E-AA11-0867FE4FCCC9}"/>
            </c:ext>
          </c:extLst>
        </c:ser>
        <c:dLbls>
          <c:showLegendKey val="0"/>
          <c:showVal val="0"/>
          <c:showCatName val="0"/>
          <c:showSerName val="0"/>
          <c:showPercent val="0"/>
          <c:showBubbleSize val="0"/>
        </c:dLbls>
        <c:marker val="1"/>
        <c:smooth val="0"/>
        <c:axId val="254836848"/>
        <c:axId val="254837240"/>
      </c:lineChart>
      <c:catAx>
        <c:axId val="25483684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837240"/>
        <c:crosses val="autoZero"/>
        <c:auto val="1"/>
        <c:lblAlgn val="ctr"/>
        <c:lblOffset val="100"/>
        <c:noMultiLvlLbl val="0"/>
      </c:catAx>
      <c:valAx>
        <c:axId val="254837240"/>
        <c:scaling>
          <c:orientation val="minMax"/>
        </c:scaling>
        <c:delete val="1"/>
        <c:axPos val="l"/>
        <c:numFmt formatCode="General" sourceLinked="1"/>
        <c:majorTickMark val="out"/>
        <c:minorTickMark val="none"/>
        <c:tickLblPos val="nextTo"/>
        <c:crossAx val="25483684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Suicide Attempts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14'!$C$15:$I$15</c:f>
              <c:numCache>
                <c:formatCode>General</c:formatCode>
                <c:ptCount val="7"/>
                <c:pt idx="0">
                  <c:v>18</c:v>
                </c:pt>
                <c:pt idx="1">
                  <c:v>10</c:v>
                </c:pt>
                <c:pt idx="2">
                  <c:v>12</c:v>
                </c:pt>
                <c:pt idx="3">
                  <c:v>16</c:v>
                </c:pt>
                <c:pt idx="4">
                  <c:v>13</c:v>
                </c:pt>
                <c:pt idx="5">
                  <c:v>30</c:v>
                </c:pt>
                <c:pt idx="6">
                  <c:v>27</c:v>
                </c:pt>
              </c:numCache>
            </c:numRef>
          </c:val>
          <c:smooth val="0"/>
          <c:extLst>
            <c:ext xmlns:c16="http://schemas.microsoft.com/office/drawing/2014/chart" uri="{C3380CC4-5D6E-409C-BE32-E72D297353CC}">
              <c16:uniqueId val="{00000000-94CE-409E-AD34-3EFE666126BA}"/>
            </c:ext>
          </c:extLst>
        </c:ser>
        <c:dLbls>
          <c:showLegendKey val="0"/>
          <c:showVal val="0"/>
          <c:showCatName val="0"/>
          <c:showSerName val="0"/>
          <c:showPercent val="0"/>
          <c:showBubbleSize val="0"/>
        </c:dLbls>
        <c:marker val="1"/>
        <c:smooth val="0"/>
        <c:axId val="254838024"/>
        <c:axId val="254838416"/>
      </c:lineChart>
      <c:catAx>
        <c:axId val="254838024"/>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838416"/>
        <c:crosses val="autoZero"/>
        <c:auto val="1"/>
        <c:lblAlgn val="ctr"/>
        <c:lblOffset val="100"/>
        <c:noMultiLvlLbl val="0"/>
      </c:catAx>
      <c:valAx>
        <c:axId val="254838416"/>
        <c:scaling>
          <c:orientation val="minMax"/>
        </c:scaling>
        <c:delete val="1"/>
        <c:axPos val="l"/>
        <c:numFmt formatCode="General" sourceLinked="1"/>
        <c:majorTickMark val="out"/>
        <c:minorTickMark val="none"/>
        <c:tickLblPos val="nextTo"/>
        <c:crossAx val="25483802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705820496185957"/>
          <c:y val="3.0011348897535668E-2"/>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8.9077100656535582E-3"/>
          <c:y val="0.14449794638996974"/>
          <c:w val="0.97335156634832409"/>
          <c:h val="0.72733192823173365"/>
        </c:manualLayout>
      </c:layout>
      <c:lineChart>
        <c:grouping val="standard"/>
        <c:varyColors val="0"/>
        <c:ser>
          <c:idx val="0"/>
          <c:order val="0"/>
          <c:tx>
            <c:v>Non-Fire Incidents</c:v>
          </c:tx>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Trend'!$U$9:$U$32</c:f>
              <c:numCache>
                <c:formatCode>#,##0</c:formatCode>
                <c:ptCount val="24"/>
                <c:pt idx="15">
                  <c:v>11495</c:v>
                </c:pt>
                <c:pt idx="16">
                  <c:v>11319</c:v>
                </c:pt>
                <c:pt idx="17">
                  <c:v>10117</c:v>
                </c:pt>
                <c:pt idx="18">
                  <c:v>9158</c:v>
                </c:pt>
                <c:pt idx="19">
                  <c:v>9162</c:v>
                </c:pt>
                <c:pt idx="20">
                  <c:v>10743</c:v>
                </c:pt>
                <c:pt idx="21">
                  <c:v>12840</c:v>
                </c:pt>
                <c:pt idx="22">
                  <c:v>12369</c:v>
                </c:pt>
                <c:pt idx="23">
                  <c:v>13128</c:v>
                </c:pt>
              </c:numCache>
            </c:numRef>
          </c:val>
          <c:smooth val="0"/>
          <c:extLst>
            <c:ext xmlns:c16="http://schemas.microsoft.com/office/drawing/2014/chart" uri="{C3380CC4-5D6E-409C-BE32-E72D297353CC}">
              <c16:uniqueId val="{00000000-9F22-40B5-8C94-2C07F7F8B282}"/>
            </c:ext>
          </c:extLst>
        </c:ser>
        <c:dLbls>
          <c:showLegendKey val="0"/>
          <c:showVal val="0"/>
          <c:showCatName val="0"/>
          <c:showSerName val="0"/>
          <c:showPercent val="0"/>
          <c:showBubbleSize val="0"/>
        </c:dLbls>
        <c:marker val="1"/>
        <c:smooth val="0"/>
        <c:axId val="230474080"/>
        <c:axId val="230429752"/>
      </c:lineChart>
      <c:catAx>
        <c:axId val="23047408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30429752"/>
        <c:crosses val="autoZero"/>
        <c:auto val="1"/>
        <c:lblAlgn val="ctr"/>
        <c:lblOffset val="100"/>
        <c:tickLblSkip val="3"/>
        <c:noMultiLvlLbl val="0"/>
      </c:catAx>
      <c:valAx>
        <c:axId val="230429752"/>
        <c:scaling>
          <c:orientation val="minMax"/>
        </c:scaling>
        <c:delete val="0"/>
        <c:axPos val="l"/>
        <c:numFmt formatCode="#,##0" sourceLinked="1"/>
        <c:majorTickMark val="out"/>
        <c:minorTickMark val="none"/>
        <c:tickLblPos val="nextTo"/>
        <c:crossAx val="23047408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Assist Other Agencies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68110835460636"/>
          <c:w val="0.97335156634832409"/>
          <c:h val="0.7012926808806433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14'!$C$25:$I$25</c:f>
              <c:numCache>
                <c:formatCode>General</c:formatCode>
                <c:ptCount val="7"/>
                <c:pt idx="0">
                  <c:v>111</c:v>
                </c:pt>
                <c:pt idx="1">
                  <c:v>105</c:v>
                </c:pt>
                <c:pt idx="2">
                  <c:v>156</c:v>
                </c:pt>
                <c:pt idx="3">
                  <c:v>163</c:v>
                </c:pt>
                <c:pt idx="4">
                  <c:v>267</c:v>
                </c:pt>
                <c:pt idx="5">
                  <c:v>333</c:v>
                </c:pt>
                <c:pt idx="6">
                  <c:v>332</c:v>
                </c:pt>
              </c:numCache>
            </c:numRef>
          </c:val>
          <c:smooth val="0"/>
          <c:extLst>
            <c:ext xmlns:c16="http://schemas.microsoft.com/office/drawing/2014/chart" uri="{C3380CC4-5D6E-409C-BE32-E72D297353CC}">
              <c16:uniqueId val="{00000000-5DB9-4CE0-BC4A-328353EFF80B}"/>
            </c:ext>
          </c:extLst>
        </c:ser>
        <c:dLbls>
          <c:showLegendKey val="0"/>
          <c:showVal val="0"/>
          <c:showCatName val="0"/>
          <c:showSerName val="0"/>
          <c:showPercent val="0"/>
          <c:showBubbleSize val="0"/>
        </c:dLbls>
        <c:marker val="1"/>
        <c:smooth val="0"/>
        <c:axId val="254839200"/>
        <c:axId val="254839592"/>
      </c:lineChart>
      <c:catAx>
        <c:axId val="254839200"/>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839592"/>
        <c:crosses val="autoZero"/>
        <c:auto val="1"/>
        <c:lblAlgn val="ctr"/>
        <c:lblOffset val="100"/>
        <c:noMultiLvlLbl val="0"/>
      </c:catAx>
      <c:valAx>
        <c:axId val="254839592"/>
        <c:scaling>
          <c:orientation val="minMax"/>
        </c:scaling>
        <c:delete val="1"/>
        <c:axPos val="l"/>
        <c:numFmt formatCode="General" sourceLinked="1"/>
        <c:majorTickMark val="out"/>
        <c:minorTickMark val="none"/>
        <c:tickLblPos val="nextTo"/>
        <c:crossAx val="25483920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7100656535582E-3"/>
          <c:y val="0.16580961526150695"/>
          <c:w val="0.97335156634832409"/>
          <c:h val="0.69229370718904037"/>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14'!$C$14:$I$14</c:f>
              <c:numCache>
                <c:formatCode>General</c:formatCode>
                <c:ptCount val="7"/>
                <c:pt idx="0">
                  <c:v>183</c:v>
                </c:pt>
                <c:pt idx="1">
                  <c:v>143</c:v>
                </c:pt>
                <c:pt idx="2">
                  <c:v>157</c:v>
                </c:pt>
                <c:pt idx="3">
                  <c:v>182</c:v>
                </c:pt>
                <c:pt idx="4">
                  <c:v>265</c:v>
                </c:pt>
                <c:pt idx="5">
                  <c:v>270</c:v>
                </c:pt>
                <c:pt idx="6">
                  <c:v>277</c:v>
                </c:pt>
              </c:numCache>
            </c:numRef>
          </c:val>
          <c:smooth val="0"/>
          <c:extLst>
            <c:ext xmlns:c16="http://schemas.microsoft.com/office/drawing/2014/chart" uri="{C3380CC4-5D6E-409C-BE32-E72D297353CC}">
              <c16:uniqueId val="{00000000-7173-49E3-900A-48087F4ADAE5}"/>
            </c:ext>
          </c:extLst>
        </c:ser>
        <c:dLbls>
          <c:showLegendKey val="0"/>
          <c:showVal val="0"/>
          <c:showCatName val="0"/>
          <c:showSerName val="0"/>
          <c:showPercent val="0"/>
          <c:showBubbleSize val="0"/>
        </c:dLbls>
        <c:marker val="1"/>
        <c:smooth val="0"/>
        <c:axId val="254840376"/>
        <c:axId val="254742624"/>
      </c:lineChart>
      <c:catAx>
        <c:axId val="254840376"/>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742624"/>
        <c:crosses val="autoZero"/>
        <c:auto val="1"/>
        <c:lblAlgn val="ctr"/>
        <c:lblOffset val="100"/>
        <c:noMultiLvlLbl val="0"/>
      </c:catAx>
      <c:valAx>
        <c:axId val="254742624"/>
        <c:scaling>
          <c:orientation val="minMax"/>
        </c:scaling>
        <c:delete val="1"/>
        <c:axPos val="l"/>
        <c:numFmt formatCode="General" sourceLinked="1"/>
        <c:majorTickMark val="out"/>
        <c:minorTickMark val="none"/>
        <c:tickLblPos val="nextTo"/>
        <c:crossAx val="25484037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Effect Entry or Exit</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1507228034851808"/>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14'!$C$6:$I$6</c:f>
              <c:strCache>
                <c:ptCount val="7"/>
                <c:pt idx="0">
                  <c:v>2011-12</c:v>
                </c:pt>
                <c:pt idx="1">
                  <c:v>2012-13</c:v>
                </c:pt>
                <c:pt idx="2">
                  <c:v>2013-14</c:v>
                </c:pt>
                <c:pt idx="3">
                  <c:v>2014-15</c:v>
                </c:pt>
                <c:pt idx="4">
                  <c:v>2015-16</c:v>
                </c:pt>
                <c:pt idx="5">
                  <c:v>2016-17</c:v>
                </c:pt>
                <c:pt idx="6">
                  <c:v>2017-18</c:v>
                </c:pt>
              </c:strCache>
            </c:strRef>
          </c:cat>
          <c:val>
            <c:numRef>
              <c:f>'Figure 14'!$C$20:$I$20</c:f>
              <c:numCache>
                <c:formatCode>General</c:formatCode>
                <c:ptCount val="7"/>
                <c:pt idx="0">
                  <c:v>37</c:v>
                </c:pt>
                <c:pt idx="1">
                  <c:v>73</c:v>
                </c:pt>
                <c:pt idx="2">
                  <c:v>118</c:v>
                </c:pt>
                <c:pt idx="3">
                  <c:v>281</c:v>
                </c:pt>
                <c:pt idx="4">
                  <c:v>444</c:v>
                </c:pt>
                <c:pt idx="5">
                  <c:v>549</c:v>
                </c:pt>
                <c:pt idx="6">
                  <c:v>632</c:v>
                </c:pt>
              </c:numCache>
            </c:numRef>
          </c:val>
          <c:smooth val="0"/>
          <c:extLst>
            <c:ext xmlns:c16="http://schemas.microsoft.com/office/drawing/2014/chart" uri="{C3380CC4-5D6E-409C-BE32-E72D297353CC}">
              <c16:uniqueId val="{00000000-52FF-4263-A266-6229DDF1FA93}"/>
            </c:ext>
          </c:extLst>
        </c:ser>
        <c:dLbls>
          <c:showLegendKey val="0"/>
          <c:showVal val="0"/>
          <c:showCatName val="0"/>
          <c:showSerName val="0"/>
          <c:showPercent val="0"/>
          <c:showBubbleSize val="0"/>
        </c:dLbls>
        <c:marker val="1"/>
        <c:smooth val="0"/>
        <c:axId val="254743408"/>
        <c:axId val="254743800"/>
      </c:lineChart>
      <c:catAx>
        <c:axId val="25474340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743800"/>
        <c:crosses val="autoZero"/>
        <c:auto val="1"/>
        <c:lblAlgn val="ctr"/>
        <c:lblOffset val="100"/>
        <c:noMultiLvlLbl val="0"/>
      </c:catAx>
      <c:valAx>
        <c:axId val="254743800"/>
        <c:scaling>
          <c:orientation val="minMax"/>
        </c:scaling>
        <c:delete val="1"/>
        <c:axPos val="l"/>
        <c:numFmt formatCode="General" sourceLinked="1"/>
        <c:majorTickMark val="out"/>
        <c:minorTickMark val="none"/>
        <c:tickLblPos val="nextTo"/>
        <c:crossAx val="25474340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Non-fire Incidents</a:t>
            </a:r>
          </a:p>
        </c:rich>
      </c:tx>
      <c:layout>
        <c:manualLayout>
          <c:xMode val="edge"/>
          <c:yMode val="edge"/>
          <c:x val="2.3170831082937719E-2"/>
          <c:y val="1.9975018120382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All Non-fire Incidents</c:v>
          </c:tx>
          <c:spPr>
            <a:ln w="28575" cap="rnd">
              <a:solidFill>
                <a:schemeClr val="tx1">
                  <a:lumMod val="50000"/>
                  <a:lumOff val="50000"/>
                </a:schemeClr>
              </a:solidFill>
              <a:round/>
            </a:ln>
            <a:effectLst/>
          </c:spPr>
          <c:marker>
            <c:symbol val="none"/>
          </c:marker>
          <c:cat>
            <c:strRef>
              <c:f>'6 6a'!$A$4:$A$11</c:f>
              <c:strCache>
                <c:ptCount val="8"/>
                <c:pt idx="0">
                  <c:v>2010-11</c:v>
                </c:pt>
                <c:pt idx="1">
                  <c:v>2011-12</c:v>
                </c:pt>
                <c:pt idx="2">
                  <c:v>2012-13</c:v>
                </c:pt>
                <c:pt idx="3">
                  <c:v>2013-14</c:v>
                </c:pt>
                <c:pt idx="4">
                  <c:v>2014-15</c:v>
                </c:pt>
                <c:pt idx="5">
                  <c:v>2015-16</c:v>
                </c:pt>
                <c:pt idx="6">
                  <c:v>2016-17</c:v>
                </c:pt>
                <c:pt idx="7">
                  <c:v>2017-18</c:v>
                </c:pt>
              </c:strCache>
            </c:strRef>
          </c:cat>
          <c:val>
            <c:numRef>
              <c:f>'6 6a'!$V$4:$V$11</c:f>
              <c:numCache>
                <c:formatCode>#,##0</c:formatCode>
                <c:ptCount val="8"/>
                <c:pt idx="0">
                  <c:v>11319</c:v>
                </c:pt>
                <c:pt idx="1">
                  <c:v>10117</c:v>
                </c:pt>
                <c:pt idx="2">
                  <c:v>9158</c:v>
                </c:pt>
                <c:pt idx="3">
                  <c:v>9162</c:v>
                </c:pt>
                <c:pt idx="4">
                  <c:v>10743</c:v>
                </c:pt>
                <c:pt idx="5">
                  <c:v>12840</c:v>
                </c:pt>
                <c:pt idx="6">
                  <c:v>12369</c:v>
                </c:pt>
                <c:pt idx="7">
                  <c:v>13128</c:v>
                </c:pt>
              </c:numCache>
            </c:numRef>
          </c:val>
          <c:smooth val="0"/>
          <c:extLst>
            <c:ext xmlns:c16="http://schemas.microsoft.com/office/drawing/2014/chart" uri="{C3380CC4-5D6E-409C-BE32-E72D297353CC}">
              <c16:uniqueId val="{00000000-FED5-46BC-9B0B-999E615D1DBB}"/>
            </c:ext>
          </c:extLst>
        </c:ser>
        <c:ser>
          <c:idx val="1"/>
          <c:order val="1"/>
          <c:tx>
            <c:v>Non-fire Incidents Excluding Effect Entry/Exit</c:v>
          </c:tx>
          <c:spPr>
            <a:ln w="28575" cap="rnd">
              <a:solidFill>
                <a:schemeClr val="tx1">
                  <a:lumMod val="50000"/>
                  <a:lumOff val="50000"/>
                </a:schemeClr>
              </a:solidFill>
              <a:prstDash val="dash"/>
              <a:round/>
            </a:ln>
            <a:effectLst/>
          </c:spPr>
          <c:marker>
            <c:symbol val="none"/>
          </c:marker>
          <c:cat>
            <c:strRef>
              <c:f>'6 6a'!$A$4:$A$11</c:f>
              <c:strCache>
                <c:ptCount val="8"/>
                <c:pt idx="0">
                  <c:v>2010-11</c:v>
                </c:pt>
                <c:pt idx="1">
                  <c:v>2011-12</c:v>
                </c:pt>
                <c:pt idx="2">
                  <c:v>2012-13</c:v>
                </c:pt>
                <c:pt idx="3">
                  <c:v>2013-14</c:v>
                </c:pt>
                <c:pt idx="4">
                  <c:v>2014-15</c:v>
                </c:pt>
                <c:pt idx="5">
                  <c:v>2015-16</c:v>
                </c:pt>
                <c:pt idx="6">
                  <c:v>2016-17</c:v>
                </c:pt>
                <c:pt idx="7">
                  <c:v>2017-18</c:v>
                </c:pt>
              </c:strCache>
            </c:strRef>
          </c:cat>
          <c:val>
            <c:numRef>
              <c:f>'Figure 15'!$B$7:$B$14</c:f>
              <c:numCache>
                <c:formatCode>#,##0</c:formatCode>
                <c:ptCount val="8"/>
                <c:pt idx="0">
                  <c:v>10420</c:v>
                </c:pt>
                <c:pt idx="1">
                  <c:v>9235</c:v>
                </c:pt>
                <c:pt idx="2">
                  <c:v>8275</c:v>
                </c:pt>
                <c:pt idx="3">
                  <c:v>8089</c:v>
                </c:pt>
                <c:pt idx="4">
                  <c:v>8961</c:v>
                </c:pt>
                <c:pt idx="5">
                  <c:v>10345</c:v>
                </c:pt>
                <c:pt idx="6">
                  <c:v>9517</c:v>
                </c:pt>
                <c:pt idx="7">
                  <c:v>10012</c:v>
                </c:pt>
              </c:numCache>
            </c:numRef>
          </c:val>
          <c:smooth val="0"/>
          <c:extLst>
            <c:ext xmlns:c16="http://schemas.microsoft.com/office/drawing/2014/chart" uri="{C3380CC4-5D6E-409C-BE32-E72D297353CC}">
              <c16:uniqueId val="{00000001-FED5-46BC-9B0B-999E615D1DBB}"/>
            </c:ext>
          </c:extLst>
        </c:ser>
        <c:ser>
          <c:idx val="2"/>
          <c:order val="2"/>
          <c:tx>
            <c:v>Non-fire Incidents Excluding Effect Entry/Exit, Assist Other Agencies and Medical Responder</c:v>
          </c:tx>
          <c:spPr>
            <a:ln w="28575" cap="rnd">
              <a:solidFill>
                <a:schemeClr val="tx1">
                  <a:lumMod val="50000"/>
                  <a:lumOff val="50000"/>
                </a:schemeClr>
              </a:solidFill>
              <a:prstDash val="sysDot"/>
              <a:round/>
            </a:ln>
            <a:effectLst/>
          </c:spPr>
          <c:marker>
            <c:symbol val="none"/>
          </c:marker>
          <c:cat>
            <c:strRef>
              <c:f>'6 6a'!$A$4:$A$11</c:f>
              <c:strCache>
                <c:ptCount val="8"/>
                <c:pt idx="0">
                  <c:v>2010-11</c:v>
                </c:pt>
                <c:pt idx="1">
                  <c:v>2011-12</c:v>
                </c:pt>
                <c:pt idx="2">
                  <c:v>2012-13</c:v>
                </c:pt>
                <c:pt idx="3">
                  <c:v>2013-14</c:v>
                </c:pt>
                <c:pt idx="4">
                  <c:v>2014-15</c:v>
                </c:pt>
                <c:pt idx="5">
                  <c:v>2015-16</c:v>
                </c:pt>
                <c:pt idx="6">
                  <c:v>2016-17</c:v>
                </c:pt>
                <c:pt idx="7">
                  <c:v>2017-18</c:v>
                </c:pt>
              </c:strCache>
            </c:strRef>
          </c:cat>
          <c:val>
            <c:numRef>
              <c:f>'Figure 15'!$C$7:$C$14</c:f>
              <c:numCache>
                <c:formatCode>#,##0</c:formatCode>
                <c:ptCount val="8"/>
                <c:pt idx="0">
                  <c:v>9522</c:v>
                </c:pt>
                <c:pt idx="1">
                  <c:v>8385</c:v>
                </c:pt>
                <c:pt idx="2">
                  <c:v>7561</c:v>
                </c:pt>
                <c:pt idx="3">
                  <c:v>7256</c:v>
                </c:pt>
                <c:pt idx="4">
                  <c:v>7813</c:v>
                </c:pt>
                <c:pt idx="5">
                  <c:v>8621</c:v>
                </c:pt>
                <c:pt idx="6">
                  <c:v>7811</c:v>
                </c:pt>
                <c:pt idx="7">
                  <c:v>8362</c:v>
                </c:pt>
              </c:numCache>
            </c:numRef>
          </c:val>
          <c:smooth val="0"/>
          <c:extLst>
            <c:ext xmlns:c16="http://schemas.microsoft.com/office/drawing/2014/chart" uri="{C3380CC4-5D6E-409C-BE32-E72D297353CC}">
              <c16:uniqueId val="{00000002-FED5-46BC-9B0B-999E615D1DBB}"/>
            </c:ext>
          </c:extLst>
        </c:ser>
        <c:dLbls>
          <c:showLegendKey val="0"/>
          <c:showVal val="0"/>
          <c:showCatName val="0"/>
          <c:showSerName val="0"/>
          <c:showPercent val="0"/>
          <c:showBubbleSize val="0"/>
        </c:dLbls>
        <c:smooth val="0"/>
        <c:axId val="254744584"/>
        <c:axId val="254744976"/>
      </c:lineChart>
      <c:catAx>
        <c:axId val="25474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744976"/>
        <c:crosses val="autoZero"/>
        <c:auto val="1"/>
        <c:lblAlgn val="ctr"/>
        <c:lblOffset val="100"/>
        <c:noMultiLvlLbl val="0"/>
      </c:catAx>
      <c:valAx>
        <c:axId val="254744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4744584"/>
        <c:crosses val="autoZero"/>
        <c:crossBetween val="between"/>
      </c:valAx>
      <c:spPr>
        <a:noFill/>
        <a:ln>
          <a:noFill/>
        </a:ln>
        <a:effectLst/>
      </c:spPr>
    </c:plotArea>
    <c:legend>
      <c:legendPos val="b"/>
      <c:layout>
        <c:manualLayout>
          <c:xMode val="edge"/>
          <c:yMode val="edge"/>
          <c:x val="1.9443569553805771E-3"/>
          <c:y val="0.74739728397424221"/>
          <c:w val="0.98472230971128605"/>
          <c:h val="0.23595686759210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Refuse Secondary</a:t>
            </a:r>
            <a:r>
              <a:rPr lang="en-US" baseline="0"/>
              <a:t> </a:t>
            </a:r>
            <a:r>
              <a:rPr lang="en-US"/>
              <a:t>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5061618953259976E-2"/>
          <c:y val="0.15657096126120612"/>
          <c:w val="0.97335156634832409"/>
          <c:h val="0.70738096094152614"/>
        </c:manualLayout>
      </c:layout>
      <c:lineChart>
        <c:grouping val="standard"/>
        <c:varyColors val="0"/>
        <c:ser>
          <c:idx val="0"/>
          <c:order val="0"/>
          <c:tx>
            <c:v>Refuse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16'!$B$5:$B$13</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'Figure 16'!$C$5:$C$13</c:f>
              <c:numCache>
                <c:formatCode>#,##0</c:formatCode>
                <c:ptCount val="9"/>
                <c:pt idx="0">
                  <c:v>11824</c:v>
                </c:pt>
                <c:pt idx="1">
                  <c:v>11070</c:v>
                </c:pt>
                <c:pt idx="2">
                  <c:v>9927</c:v>
                </c:pt>
                <c:pt idx="3">
                  <c:v>7946</c:v>
                </c:pt>
                <c:pt idx="4">
                  <c:v>7555</c:v>
                </c:pt>
                <c:pt idx="5">
                  <c:v>7142</c:v>
                </c:pt>
                <c:pt idx="6">
                  <c:v>7434</c:v>
                </c:pt>
                <c:pt idx="7">
                  <c:v>7934</c:v>
                </c:pt>
                <c:pt idx="8">
                  <c:v>6888</c:v>
                </c:pt>
              </c:numCache>
            </c:numRef>
          </c:val>
          <c:smooth val="0"/>
          <c:extLst>
            <c:ext xmlns:c16="http://schemas.microsoft.com/office/drawing/2014/chart" uri="{C3380CC4-5D6E-409C-BE32-E72D297353CC}">
              <c16:uniqueId val="{00000000-E0A4-48D2-882A-953582175F73}"/>
            </c:ext>
          </c:extLst>
        </c:ser>
        <c:dLbls>
          <c:showLegendKey val="0"/>
          <c:showVal val="0"/>
          <c:showCatName val="0"/>
          <c:showSerName val="0"/>
          <c:showPercent val="0"/>
          <c:showBubbleSize val="0"/>
        </c:dLbls>
        <c:marker val="1"/>
        <c:smooth val="0"/>
        <c:axId val="254745760"/>
        <c:axId val="254746152"/>
      </c:lineChart>
      <c:catAx>
        <c:axId val="254745760"/>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4746152"/>
        <c:crosses val="autoZero"/>
        <c:auto val="1"/>
        <c:lblAlgn val="ctr"/>
        <c:lblOffset val="100"/>
        <c:noMultiLvlLbl val="0"/>
      </c:catAx>
      <c:valAx>
        <c:axId val="254746152"/>
        <c:scaling>
          <c:orientation val="minMax"/>
        </c:scaling>
        <c:delete val="1"/>
        <c:axPos val="l"/>
        <c:numFmt formatCode="#,##0" sourceLinked="1"/>
        <c:majorTickMark val="out"/>
        <c:minorTickMark val="none"/>
        <c:tickLblPos val="nextTo"/>
        <c:crossAx val="25474576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Non-Refuse</a:t>
            </a:r>
            <a:r>
              <a:rPr lang="en-US" baseline="0"/>
              <a:t> Secondary 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7.6231596878204799E-2"/>
          <c:y val="0.16241891717038134"/>
          <c:w val="0.97335156634832409"/>
          <c:h val="0.70738096094152614"/>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dLbl>
              <c:idx val="2"/>
              <c:layout>
                <c:manualLayout>
                  <c:x val="-6.8907545497210204E-2"/>
                  <c:y val="-9.288027484471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0-4E36-99EA-9ABABA946F9C}"/>
                </c:ext>
              </c:extLst>
            </c:dLbl>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16'!$B$5:$B$13</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'Figure 16'!$D$5:$D$13</c:f>
              <c:numCache>
                <c:formatCode>#,##0</c:formatCode>
                <c:ptCount val="9"/>
                <c:pt idx="0">
                  <c:v>11157</c:v>
                </c:pt>
                <c:pt idx="1">
                  <c:v>13137</c:v>
                </c:pt>
                <c:pt idx="2">
                  <c:v>8754</c:v>
                </c:pt>
                <c:pt idx="3">
                  <c:v>6332</c:v>
                </c:pt>
                <c:pt idx="4">
                  <c:v>8805</c:v>
                </c:pt>
                <c:pt idx="5">
                  <c:v>6264</c:v>
                </c:pt>
                <c:pt idx="6">
                  <c:v>7298</c:v>
                </c:pt>
                <c:pt idx="7">
                  <c:v>7723</c:v>
                </c:pt>
                <c:pt idx="8">
                  <c:v>7810</c:v>
                </c:pt>
              </c:numCache>
            </c:numRef>
          </c:val>
          <c:smooth val="0"/>
          <c:extLst>
            <c:ext xmlns:c16="http://schemas.microsoft.com/office/drawing/2014/chart" uri="{C3380CC4-5D6E-409C-BE32-E72D297353CC}">
              <c16:uniqueId val="{00000000-F280-4E36-99EA-9ABABA946F9C}"/>
            </c:ext>
          </c:extLst>
        </c:ser>
        <c:dLbls>
          <c:showLegendKey val="0"/>
          <c:showVal val="0"/>
          <c:showCatName val="0"/>
          <c:showSerName val="0"/>
          <c:showPercent val="0"/>
          <c:showBubbleSize val="0"/>
        </c:dLbls>
        <c:marker val="1"/>
        <c:smooth val="0"/>
        <c:axId val="255234560"/>
        <c:axId val="255234952"/>
      </c:lineChart>
      <c:catAx>
        <c:axId val="255234560"/>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5234952"/>
        <c:crosses val="autoZero"/>
        <c:auto val="1"/>
        <c:lblAlgn val="ctr"/>
        <c:lblOffset val="100"/>
        <c:noMultiLvlLbl val="0"/>
      </c:catAx>
      <c:valAx>
        <c:axId val="255234952"/>
        <c:scaling>
          <c:orientation val="minMax"/>
        </c:scaling>
        <c:delete val="1"/>
        <c:axPos val="l"/>
        <c:numFmt formatCode="#,##0" sourceLinked="1"/>
        <c:majorTickMark val="out"/>
        <c:minorTickMark val="none"/>
        <c:tickLblPos val="nextTo"/>
        <c:crossAx val="25523456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Accidental Refuse Secondary</a:t>
            </a:r>
            <a:r>
              <a:rPr lang="en-US" baseline="0"/>
              <a:t> </a:t>
            </a:r>
            <a:r>
              <a:rPr lang="en-US"/>
              <a:t>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2.2233578418591714E-2"/>
          <c:y val="0.18581074080708238"/>
          <c:w val="0.97335156634832409"/>
          <c:h val="0.57055696945110712"/>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16'!$B$6:$B$13</c:f>
              <c:strCache>
                <c:ptCount val="8"/>
                <c:pt idx="0">
                  <c:v>2010-11</c:v>
                </c:pt>
                <c:pt idx="1">
                  <c:v>2011-12</c:v>
                </c:pt>
                <c:pt idx="2">
                  <c:v>2012-13</c:v>
                </c:pt>
                <c:pt idx="3">
                  <c:v>2013-14</c:v>
                </c:pt>
                <c:pt idx="4">
                  <c:v>2014-15</c:v>
                </c:pt>
                <c:pt idx="5">
                  <c:v>2015-16</c:v>
                </c:pt>
                <c:pt idx="6">
                  <c:v>2016-17</c:v>
                </c:pt>
                <c:pt idx="7">
                  <c:v>2017-18</c:v>
                </c:pt>
              </c:strCache>
            </c:strRef>
          </c:cat>
          <c:val>
            <c:numRef>
              <c:f>'Figure 16'!$E$6:$E$13</c:f>
              <c:numCache>
                <c:formatCode>#,##0</c:formatCode>
                <c:ptCount val="8"/>
                <c:pt idx="0">
                  <c:v>908</c:v>
                </c:pt>
                <c:pt idx="1">
                  <c:v>956</c:v>
                </c:pt>
                <c:pt idx="2">
                  <c:v>853</c:v>
                </c:pt>
                <c:pt idx="3">
                  <c:v>1065</c:v>
                </c:pt>
                <c:pt idx="4">
                  <c:v>1094</c:v>
                </c:pt>
                <c:pt idx="5">
                  <c:v>1200</c:v>
                </c:pt>
                <c:pt idx="6">
                  <c:v>1139</c:v>
                </c:pt>
                <c:pt idx="7">
                  <c:v>1038</c:v>
                </c:pt>
              </c:numCache>
            </c:numRef>
          </c:val>
          <c:smooth val="0"/>
          <c:extLst>
            <c:ext xmlns:c16="http://schemas.microsoft.com/office/drawing/2014/chart" uri="{C3380CC4-5D6E-409C-BE32-E72D297353CC}">
              <c16:uniqueId val="{00000000-7D88-43D8-9372-98EB4BBD8BAA}"/>
            </c:ext>
          </c:extLst>
        </c:ser>
        <c:dLbls>
          <c:showLegendKey val="0"/>
          <c:showVal val="0"/>
          <c:showCatName val="0"/>
          <c:showSerName val="0"/>
          <c:showPercent val="0"/>
          <c:showBubbleSize val="0"/>
        </c:dLbls>
        <c:marker val="1"/>
        <c:smooth val="0"/>
        <c:axId val="255235736"/>
        <c:axId val="255236128"/>
      </c:lineChart>
      <c:catAx>
        <c:axId val="255235736"/>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5236128"/>
        <c:crosses val="autoZero"/>
        <c:auto val="1"/>
        <c:lblAlgn val="ctr"/>
        <c:lblOffset val="100"/>
        <c:noMultiLvlLbl val="0"/>
      </c:catAx>
      <c:valAx>
        <c:axId val="255236128"/>
        <c:scaling>
          <c:orientation val="minMax"/>
        </c:scaling>
        <c:delete val="1"/>
        <c:axPos val="l"/>
        <c:numFmt formatCode="#,##0" sourceLinked="1"/>
        <c:majorTickMark val="out"/>
        <c:minorTickMark val="none"/>
        <c:tickLblPos val="nextTo"/>
        <c:crossAx val="25523573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Accidental</a:t>
            </a:r>
            <a:r>
              <a:rPr lang="en-US" baseline="0"/>
              <a:t> </a:t>
            </a:r>
            <a:r>
              <a:rPr lang="en-US"/>
              <a:t>Non-Refuse</a:t>
            </a:r>
            <a:r>
              <a:rPr lang="en-US" baseline="0"/>
              <a:t> Secondary 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5.8005596982496396E-2"/>
          <c:y val="0.17082615961051695"/>
          <c:w val="0.97335156634832409"/>
          <c:h val="0.57287819352497749"/>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dLbl>
              <c:idx val="2"/>
              <c:layout>
                <c:manualLayout>
                  <c:x val="-6.8907545497210204E-2"/>
                  <c:y val="-9.288027484471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79-48E3-B06A-0DA95667B4F9}"/>
                </c:ext>
              </c:extLst>
            </c:dLbl>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16'!$B$6:$B$13</c:f>
              <c:strCache>
                <c:ptCount val="8"/>
                <c:pt idx="0">
                  <c:v>2010-11</c:v>
                </c:pt>
                <c:pt idx="1">
                  <c:v>2011-12</c:v>
                </c:pt>
                <c:pt idx="2">
                  <c:v>2012-13</c:v>
                </c:pt>
                <c:pt idx="3">
                  <c:v>2013-14</c:v>
                </c:pt>
                <c:pt idx="4">
                  <c:v>2014-15</c:v>
                </c:pt>
                <c:pt idx="5">
                  <c:v>2015-16</c:v>
                </c:pt>
                <c:pt idx="6">
                  <c:v>2016-17</c:v>
                </c:pt>
                <c:pt idx="7">
                  <c:v>2017-18</c:v>
                </c:pt>
              </c:strCache>
            </c:strRef>
          </c:cat>
          <c:val>
            <c:numRef>
              <c:f>'Figure 16'!$G$6:$G$13</c:f>
              <c:numCache>
                <c:formatCode>#,##0</c:formatCode>
                <c:ptCount val="8"/>
                <c:pt idx="0">
                  <c:v>1698</c:v>
                </c:pt>
                <c:pt idx="1">
                  <c:v>1528</c:v>
                </c:pt>
                <c:pt idx="2">
                  <c:v>1173</c:v>
                </c:pt>
                <c:pt idx="3">
                  <c:v>1849</c:v>
                </c:pt>
                <c:pt idx="4">
                  <c:v>1145</c:v>
                </c:pt>
                <c:pt idx="5">
                  <c:v>1254</c:v>
                </c:pt>
                <c:pt idx="6">
                  <c:v>1327</c:v>
                </c:pt>
                <c:pt idx="7">
                  <c:v>1557</c:v>
                </c:pt>
              </c:numCache>
            </c:numRef>
          </c:val>
          <c:smooth val="0"/>
          <c:extLst>
            <c:ext xmlns:c16="http://schemas.microsoft.com/office/drawing/2014/chart" uri="{C3380CC4-5D6E-409C-BE32-E72D297353CC}">
              <c16:uniqueId val="{00000001-8B79-48E3-B06A-0DA95667B4F9}"/>
            </c:ext>
          </c:extLst>
        </c:ser>
        <c:dLbls>
          <c:showLegendKey val="0"/>
          <c:showVal val="0"/>
          <c:showCatName val="0"/>
          <c:showSerName val="0"/>
          <c:showPercent val="0"/>
          <c:showBubbleSize val="0"/>
        </c:dLbls>
        <c:marker val="1"/>
        <c:smooth val="0"/>
        <c:axId val="255236912"/>
        <c:axId val="255237304"/>
      </c:lineChart>
      <c:catAx>
        <c:axId val="255236912"/>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55237304"/>
        <c:crosses val="autoZero"/>
        <c:auto val="1"/>
        <c:lblAlgn val="ctr"/>
        <c:lblOffset val="100"/>
        <c:noMultiLvlLbl val="0"/>
      </c:catAx>
      <c:valAx>
        <c:axId val="255237304"/>
        <c:scaling>
          <c:orientation val="minMax"/>
        </c:scaling>
        <c:delete val="1"/>
        <c:axPos val="l"/>
        <c:numFmt formatCode="#,##0" sourceLinked="1"/>
        <c:majorTickMark val="out"/>
        <c:minorTickMark val="none"/>
        <c:tickLblPos val="nextTo"/>
        <c:crossAx val="25523691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Deliberate Refuse Secondary</a:t>
            </a:r>
            <a:r>
              <a:rPr lang="en-US" baseline="0"/>
              <a:t> </a:t>
            </a:r>
            <a:r>
              <a:rPr lang="en-US"/>
              <a:t>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2.6648589456119309E-2"/>
          <c:y val="0.16497820370134167"/>
          <c:w val="0.97335156634832409"/>
          <c:h val="0.5904220612525031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16'!$B$6:$B$13</c:f>
              <c:strCache>
                <c:ptCount val="8"/>
                <c:pt idx="0">
                  <c:v>2010-11</c:v>
                </c:pt>
                <c:pt idx="1">
                  <c:v>2011-12</c:v>
                </c:pt>
                <c:pt idx="2">
                  <c:v>2012-13</c:v>
                </c:pt>
                <c:pt idx="3">
                  <c:v>2013-14</c:v>
                </c:pt>
                <c:pt idx="4">
                  <c:v>2014-15</c:v>
                </c:pt>
                <c:pt idx="5">
                  <c:v>2015-16</c:v>
                </c:pt>
                <c:pt idx="6">
                  <c:v>2016-17</c:v>
                </c:pt>
                <c:pt idx="7">
                  <c:v>2017-18</c:v>
                </c:pt>
              </c:strCache>
            </c:strRef>
          </c:cat>
          <c:val>
            <c:numRef>
              <c:f>'Figure 16'!$F$6:$F$13</c:f>
              <c:numCache>
                <c:formatCode>#,##0</c:formatCode>
                <c:ptCount val="8"/>
                <c:pt idx="0">
                  <c:v>10162</c:v>
                </c:pt>
                <c:pt idx="1">
                  <c:v>8971</c:v>
                </c:pt>
                <c:pt idx="2">
                  <c:v>7093</c:v>
                </c:pt>
                <c:pt idx="3">
                  <c:v>6490</c:v>
                </c:pt>
                <c:pt idx="4">
                  <c:v>6048</c:v>
                </c:pt>
                <c:pt idx="5">
                  <c:v>6234</c:v>
                </c:pt>
                <c:pt idx="6">
                  <c:v>6795</c:v>
                </c:pt>
                <c:pt idx="7">
                  <c:v>5850</c:v>
                </c:pt>
              </c:numCache>
            </c:numRef>
          </c:val>
          <c:smooth val="0"/>
          <c:extLst>
            <c:ext xmlns:c16="http://schemas.microsoft.com/office/drawing/2014/chart" uri="{C3380CC4-5D6E-409C-BE32-E72D297353CC}">
              <c16:uniqueId val="{00000000-D2BF-4D50-9441-8C43049B24EF}"/>
            </c:ext>
          </c:extLst>
        </c:ser>
        <c:dLbls>
          <c:showLegendKey val="0"/>
          <c:showVal val="0"/>
          <c:showCatName val="0"/>
          <c:showSerName val="0"/>
          <c:showPercent val="0"/>
          <c:showBubbleSize val="0"/>
        </c:dLbls>
        <c:marker val="1"/>
        <c:smooth val="0"/>
        <c:axId val="234375248"/>
        <c:axId val="234375640"/>
      </c:lineChart>
      <c:catAx>
        <c:axId val="234375248"/>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4375640"/>
        <c:crosses val="autoZero"/>
        <c:auto val="1"/>
        <c:lblAlgn val="ctr"/>
        <c:lblOffset val="100"/>
        <c:noMultiLvlLbl val="0"/>
      </c:catAx>
      <c:valAx>
        <c:axId val="234375640"/>
        <c:scaling>
          <c:orientation val="minMax"/>
        </c:scaling>
        <c:delete val="1"/>
        <c:axPos val="l"/>
        <c:numFmt formatCode="#,##0" sourceLinked="1"/>
        <c:majorTickMark val="out"/>
        <c:minorTickMark val="none"/>
        <c:tickLblPos val="nextTo"/>
        <c:crossAx val="23437524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Deliberate Non-Refuse</a:t>
            </a:r>
            <a:r>
              <a:rPr lang="en-US" baseline="0"/>
              <a:t> Secondary 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2.6648589456119309E-2"/>
          <c:y val="0.11920344393951464"/>
          <c:w val="0.97335156634832409"/>
          <c:h val="0.648901620344255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dLbl>
              <c:idx val="2"/>
              <c:layout>
                <c:manualLayout>
                  <c:x val="-6.8907545497210204E-2"/>
                  <c:y val="-9.288027484471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9-4854-A9E9-62773D5135D0}"/>
                </c:ext>
              </c:extLst>
            </c:dLbl>
            <c:spPr>
              <a:noFill/>
              <a:ln>
                <a:noFill/>
              </a:ln>
              <a:effectLst/>
            </c:spPr>
            <c:txPr>
              <a:bodyPr/>
              <a:lstStyle/>
              <a:p>
                <a:pPr>
                  <a:defRPr sz="800" baseline="0">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16'!$B$6:$B$13</c:f>
              <c:strCache>
                <c:ptCount val="8"/>
                <c:pt idx="0">
                  <c:v>2010-11</c:v>
                </c:pt>
                <c:pt idx="1">
                  <c:v>2011-12</c:v>
                </c:pt>
                <c:pt idx="2">
                  <c:v>2012-13</c:v>
                </c:pt>
                <c:pt idx="3">
                  <c:v>2013-14</c:v>
                </c:pt>
                <c:pt idx="4">
                  <c:v>2014-15</c:v>
                </c:pt>
                <c:pt idx="5">
                  <c:v>2015-16</c:v>
                </c:pt>
                <c:pt idx="6">
                  <c:v>2016-17</c:v>
                </c:pt>
                <c:pt idx="7">
                  <c:v>2017-18</c:v>
                </c:pt>
              </c:strCache>
            </c:strRef>
          </c:cat>
          <c:val>
            <c:numRef>
              <c:f>'Figure 16'!$H$6:$H$13</c:f>
              <c:numCache>
                <c:formatCode>#,##0</c:formatCode>
                <c:ptCount val="8"/>
                <c:pt idx="0">
                  <c:v>11439</c:v>
                </c:pt>
                <c:pt idx="1">
                  <c:v>7226</c:v>
                </c:pt>
                <c:pt idx="2">
                  <c:v>5159</c:v>
                </c:pt>
                <c:pt idx="3">
                  <c:v>6956</c:v>
                </c:pt>
                <c:pt idx="4">
                  <c:v>5119</c:v>
                </c:pt>
                <c:pt idx="5">
                  <c:v>6044</c:v>
                </c:pt>
                <c:pt idx="6">
                  <c:v>6396</c:v>
                </c:pt>
                <c:pt idx="7">
                  <c:v>6253</c:v>
                </c:pt>
              </c:numCache>
            </c:numRef>
          </c:val>
          <c:smooth val="0"/>
          <c:extLst>
            <c:ext xmlns:c16="http://schemas.microsoft.com/office/drawing/2014/chart" uri="{C3380CC4-5D6E-409C-BE32-E72D297353CC}">
              <c16:uniqueId val="{00000001-2ED9-4854-A9E9-62773D5135D0}"/>
            </c:ext>
          </c:extLst>
        </c:ser>
        <c:dLbls>
          <c:showLegendKey val="0"/>
          <c:showVal val="0"/>
          <c:showCatName val="0"/>
          <c:showSerName val="0"/>
          <c:showPercent val="0"/>
          <c:showBubbleSize val="0"/>
        </c:dLbls>
        <c:marker val="1"/>
        <c:smooth val="0"/>
        <c:axId val="234376424"/>
        <c:axId val="234376816"/>
      </c:lineChart>
      <c:catAx>
        <c:axId val="234376424"/>
        <c:scaling>
          <c:orientation val="minMax"/>
        </c:scaling>
        <c:delete val="0"/>
        <c:axPos val="b"/>
        <c:numFmt formatCode="General" sourceLinked="1"/>
        <c:majorTickMark val="out"/>
        <c:minorTickMark val="none"/>
        <c:tickLblPos val="nextTo"/>
        <c:spPr>
          <a:ln>
            <a:noFill/>
          </a:ln>
        </c:spPr>
        <c:txPr>
          <a:bodyPr/>
          <a:lstStyle/>
          <a:p>
            <a:pPr>
              <a:defRPr sz="900" baseline="0"/>
            </a:pPr>
            <a:endParaRPr lang="en-US"/>
          </a:p>
        </c:txPr>
        <c:crossAx val="234376816"/>
        <c:crosses val="autoZero"/>
        <c:auto val="1"/>
        <c:lblAlgn val="ctr"/>
        <c:lblOffset val="100"/>
        <c:noMultiLvlLbl val="0"/>
      </c:catAx>
      <c:valAx>
        <c:axId val="234376816"/>
        <c:scaling>
          <c:orientation val="minMax"/>
        </c:scaling>
        <c:delete val="1"/>
        <c:axPos val="l"/>
        <c:numFmt formatCode="#,##0" sourceLinked="1"/>
        <c:majorTickMark val="out"/>
        <c:minorTickMark val="none"/>
        <c:tickLblPos val="nextTo"/>
        <c:crossAx val="23437642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29732940685784"/>
          <c:y val="1.4416882836143537E-2"/>
        </c:manualLayout>
      </c:layout>
      <c:overlay val="0"/>
      <c:txPr>
        <a:bodyPr/>
        <a:lstStyle/>
        <a:p>
          <a:pPr>
            <a:defRPr sz="1100">
              <a:solidFill>
                <a:schemeClr val="tx1">
                  <a:lumMod val="75000"/>
                  <a:lumOff val="25000"/>
                </a:schemeClr>
              </a:solidFill>
            </a:defRPr>
          </a:pPr>
          <a:endParaRPr lang="en-US"/>
        </a:p>
      </c:txPr>
    </c:title>
    <c:autoTitleDeleted val="0"/>
    <c:plotArea>
      <c:layout>
        <c:manualLayout>
          <c:layoutTarget val="inner"/>
          <c:xMode val="edge"/>
          <c:yMode val="edge"/>
          <c:x val="4.5569056298096398E-2"/>
          <c:y val="0.13077118460873324"/>
          <c:w val="0.95443094370190362"/>
          <c:h val="0.74432717250324254"/>
        </c:manualLayout>
      </c:layout>
      <c:lineChart>
        <c:grouping val="standard"/>
        <c:varyColors val="0"/>
        <c:ser>
          <c:idx val="0"/>
          <c:order val="0"/>
          <c:tx>
            <c:v>False Alarms</c:v>
          </c:tx>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Trend'!$S$9:$S$32</c:f>
              <c:numCache>
                <c:formatCode>General</c:formatCode>
                <c:ptCount val="24"/>
                <c:pt idx="15" formatCode="#,##0">
                  <c:v>53549</c:v>
                </c:pt>
                <c:pt idx="16" formatCode="#,##0">
                  <c:v>51125</c:v>
                </c:pt>
                <c:pt idx="17" formatCode="#,##0">
                  <c:v>49103</c:v>
                </c:pt>
                <c:pt idx="18" formatCode="#,##0">
                  <c:v>47926</c:v>
                </c:pt>
                <c:pt idx="19" formatCode="#,##0">
                  <c:v>47753</c:v>
                </c:pt>
                <c:pt idx="20" formatCode="#,##0">
                  <c:v>49303</c:v>
                </c:pt>
                <c:pt idx="21" formatCode="#,##0">
                  <c:v>49401</c:v>
                </c:pt>
                <c:pt idx="22" formatCode="#,##0">
                  <c:v>51580</c:v>
                </c:pt>
                <c:pt idx="23" formatCode="#,##0">
                  <c:v>52452</c:v>
                </c:pt>
              </c:numCache>
            </c:numRef>
          </c:val>
          <c:smooth val="0"/>
          <c:extLst>
            <c:ext xmlns:c16="http://schemas.microsoft.com/office/drawing/2014/chart" uri="{C3380CC4-5D6E-409C-BE32-E72D297353CC}">
              <c16:uniqueId val="{00000000-C23E-4C82-A7C5-45FAF045B7C0}"/>
            </c:ext>
          </c:extLst>
        </c:ser>
        <c:dLbls>
          <c:showLegendKey val="0"/>
          <c:showVal val="0"/>
          <c:showCatName val="0"/>
          <c:showSerName val="0"/>
          <c:showPercent val="0"/>
          <c:showBubbleSize val="0"/>
        </c:dLbls>
        <c:marker val="1"/>
        <c:smooth val="0"/>
        <c:axId val="230292856"/>
        <c:axId val="167710496"/>
      </c:lineChart>
      <c:catAx>
        <c:axId val="23029285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167710496"/>
        <c:crosses val="autoZero"/>
        <c:auto val="1"/>
        <c:lblAlgn val="ctr"/>
        <c:lblOffset val="100"/>
        <c:tickLblSkip val="3"/>
        <c:noMultiLvlLbl val="0"/>
      </c:catAx>
      <c:valAx>
        <c:axId val="167710496"/>
        <c:scaling>
          <c:orientation val="minMax"/>
          <c:min val="0"/>
        </c:scaling>
        <c:delete val="0"/>
        <c:axPos val="l"/>
        <c:numFmt formatCode="General" sourceLinked="1"/>
        <c:majorTickMark val="out"/>
        <c:minorTickMark val="none"/>
        <c:tickLblPos val="nextTo"/>
        <c:crossAx val="230292856"/>
        <c:crosses val="autoZero"/>
        <c:crossBetween val="between"/>
      </c:valAx>
      <c:spPr>
        <a:noFill/>
        <a:ln w="25400">
          <a:noFill/>
        </a:ln>
      </c:spPr>
    </c:plotArea>
    <c:plotVisOnly val="1"/>
    <c:dispBlanksAs val="gap"/>
    <c:showDLblsOverMax val="0"/>
  </c:chart>
  <c:printSettings>
    <c:headerFooter/>
    <c:pageMargins b="0.75" l="0.25" r="0.25"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67289285034372E-3"/>
          <c:y val="5.1099200676768576E-2"/>
          <c:w val="0.98444945868092282"/>
          <c:h val="0.79411635016241466"/>
        </c:manualLayout>
      </c:layout>
      <c:lineChart>
        <c:grouping val="standard"/>
        <c:varyColors val="0"/>
        <c:ser>
          <c:idx val="0"/>
          <c:order val="0"/>
          <c:tx>
            <c:strRef>
              <c:f>'Figure 17'!$C$6</c:f>
              <c:strCache>
                <c:ptCount val="1"/>
                <c:pt idx="0">
                  <c:v>England</c:v>
                </c:pt>
              </c:strCache>
            </c:strRef>
          </c:tx>
          <c:spPr>
            <a:ln w="25400">
              <a:solidFill>
                <a:schemeClr val="tx1">
                  <a:lumMod val="65000"/>
                  <a:lumOff val="35000"/>
                </a:schemeClr>
              </a:solidFill>
              <a:prstDash val="sysDash"/>
            </a:ln>
          </c:spPr>
          <c:marker>
            <c:symbol val="square"/>
            <c:size val="7"/>
            <c:spPr>
              <a:solidFill>
                <a:schemeClr val="tx1">
                  <a:lumMod val="65000"/>
                  <a:lumOff val="35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17'!$C$8:$C$17</c:f>
              <c:numCache>
                <c:formatCode>#,##0</c:formatCode>
                <c:ptCount val="10"/>
                <c:pt idx="0">
                  <c:v>2013.8220121622901</c:v>
                </c:pt>
                <c:pt idx="1">
                  <c:v>1938.0455357074434</c:v>
                </c:pt>
                <c:pt idx="2">
                  <c:v>1752.2913995345966</c:v>
                </c:pt>
                <c:pt idx="3">
                  <c:v>1637.8570137382503</c:v>
                </c:pt>
                <c:pt idx="4">
                  <c:v>1396.5943653177851</c:v>
                </c:pt>
                <c:pt idx="5">
                  <c:v>1359.3968714843184</c:v>
                </c:pt>
                <c:pt idx="6">
                  <c:v>1309.213021433595</c:v>
                </c:pt>
                <c:pt idx="7">
                  <c:v>1340.9191713986893</c:v>
                </c:pt>
                <c:pt idx="8">
                  <c:v>1355.4654493279124</c:v>
                </c:pt>
                <c:pt idx="9">
                  <c:v>1332.5925846017758</c:v>
                </c:pt>
              </c:numCache>
            </c:numRef>
          </c:val>
          <c:smooth val="0"/>
          <c:extLst>
            <c:ext xmlns:c16="http://schemas.microsoft.com/office/drawing/2014/chart" uri="{C3380CC4-5D6E-409C-BE32-E72D297353CC}">
              <c16:uniqueId val="{00000000-ED58-4AFD-84A9-56A0DA88B4A0}"/>
            </c:ext>
          </c:extLst>
        </c:ser>
        <c:ser>
          <c:idx val="1"/>
          <c:order val="1"/>
          <c:tx>
            <c:strRef>
              <c:f>'Figure 17'!$D$6</c:f>
              <c:strCache>
                <c:ptCount val="1"/>
                <c:pt idx="0">
                  <c:v>Scotland</c:v>
                </c:pt>
              </c:strCache>
            </c:strRef>
          </c:tx>
          <c:spPr>
            <a:ln w="19050">
              <a:solidFill>
                <a:schemeClr val="tx1">
                  <a:lumMod val="75000"/>
                  <a:lumOff val="25000"/>
                </a:schemeClr>
              </a:solidFill>
            </a:ln>
          </c:spPr>
          <c:marker>
            <c:symbol val="circle"/>
            <c:size val="7"/>
            <c:spPr>
              <a:solidFill>
                <a:schemeClr val="tx1">
                  <a:lumMod val="65000"/>
                  <a:lumOff val="35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17'!$D$8:$D$17</c:f>
              <c:numCache>
                <c:formatCode>#,##0</c:formatCode>
                <c:ptCount val="10"/>
                <c:pt idx="0">
                  <c:v>2532.0494339695174</c:v>
                </c:pt>
                <c:pt idx="1">
                  <c:v>2679.3325560503831</c:v>
                </c:pt>
                <c:pt idx="2">
                  <c:v>2508.0764699175252</c:v>
                </c:pt>
                <c:pt idx="3">
                  <c:v>2342.30834544048</c:v>
                </c:pt>
                <c:pt idx="4">
                  <c:v>2087.6618488407107</c:v>
                </c:pt>
                <c:pt idx="5">
                  <c:v>1978.1519229686355</c:v>
                </c:pt>
                <c:pt idx="6">
                  <c:v>1990.2386117136659</c:v>
                </c:pt>
                <c:pt idx="7">
                  <c:v>2049.6929089893911</c:v>
                </c:pt>
                <c:pt idx="8">
                  <c:v>2017.5032841785851</c:v>
                </c:pt>
                <c:pt idx="9">
                  <c:v>1963.9433711841912</c:v>
                </c:pt>
              </c:numCache>
            </c:numRef>
          </c:val>
          <c:smooth val="0"/>
          <c:extLst>
            <c:ext xmlns:c16="http://schemas.microsoft.com/office/drawing/2014/chart" uri="{C3380CC4-5D6E-409C-BE32-E72D297353CC}">
              <c16:uniqueId val="{00000001-ED58-4AFD-84A9-56A0DA88B4A0}"/>
            </c:ext>
          </c:extLst>
        </c:ser>
        <c:ser>
          <c:idx val="2"/>
          <c:order val="2"/>
          <c:tx>
            <c:strRef>
              <c:f>'Figure 17'!$E$6</c:f>
              <c:strCache>
                <c:ptCount val="1"/>
                <c:pt idx="0">
                  <c:v>Wales</c:v>
                </c:pt>
              </c:strCache>
            </c:strRef>
          </c:tx>
          <c:spPr>
            <a:ln>
              <a:solidFill>
                <a:schemeClr val="bg1">
                  <a:lumMod val="65000"/>
                </a:schemeClr>
              </a:solidFill>
              <a:prstDash val="sysDot"/>
            </a:ln>
          </c:spPr>
          <c:marker>
            <c:spPr>
              <a:solidFill>
                <a:schemeClr val="bg1">
                  <a:lumMod val="50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17'!$E$8:$E$17</c:f>
              <c:numCache>
                <c:formatCode>#,##0</c:formatCode>
                <c:ptCount val="10"/>
                <c:pt idx="0">
                  <c:v>2308.4041111735351</c:v>
                </c:pt>
                <c:pt idx="1">
                  <c:v>2237.6517818947646</c:v>
                </c:pt>
                <c:pt idx="2">
                  <c:v>2102.9508196721313</c:v>
                </c:pt>
                <c:pt idx="3">
                  <c:v>1856.1916574188915</c:v>
                </c:pt>
                <c:pt idx="4">
                  <c:v>1543.5411990501284</c:v>
                </c:pt>
                <c:pt idx="5">
                  <c:v>1553.9839086426161</c:v>
                </c:pt>
                <c:pt idx="6">
                  <c:v>1475.0970245795602</c:v>
                </c:pt>
                <c:pt idx="7">
                  <c:v>1509.4704914329966</c:v>
                </c:pt>
                <c:pt idx="8">
                  <c:v>1528.0097648721573</c:v>
                </c:pt>
                <c:pt idx="9">
                  <c:v>1380.7116344553949</c:v>
                </c:pt>
              </c:numCache>
            </c:numRef>
          </c:val>
          <c:smooth val="0"/>
          <c:extLst>
            <c:ext xmlns:c16="http://schemas.microsoft.com/office/drawing/2014/chart" uri="{C3380CC4-5D6E-409C-BE32-E72D297353CC}">
              <c16:uniqueId val="{00000002-ED58-4AFD-84A9-56A0DA88B4A0}"/>
            </c:ext>
          </c:extLst>
        </c:ser>
        <c:dLbls>
          <c:showLegendKey val="0"/>
          <c:showVal val="0"/>
          <c:showCatName val="0"/>
          <c:showSerName val="0"/>
          <c:showPercent val="0"/>
          <c:showBubbleSize val="0"/>
        </c:dLbls>
        <c:marker val="1"/>
        <c:smooth val="0"/>
        <c:axId val="234377600"/>
        <c:axId val="234377992"/>
      </c:lineChart>
      <c:catAx>
        <c:axId val="234377600"/>
        <c:scaling>
          <c:orientation val="minMax"/>
        </c:scaling>
        <c:delete val="0"/>
        <c:axPos val="b"/>
        <c:numFmt formatCode="General" sourceLinked="0"/>
        <c:majorTickMark val="out"/>
        <c:minorTickMark val="none"/>
        <c:tickLblPos val="nextTo"/>
        <c:spPr>
          <a:ln>
            <a:noFill/>
          </a:ln>
        </c:spPr>
        <c:txPr>
          <a:bodyPr rot="0"/>
          <a:lstStyle/>
          <a:p>
            <a:pPr>
              <a:defRPr sz="900" baseline="0"/>
            </a:pPr>
            <a:endParaRPr lang="en-US"/>
          </a:p>
        </c:txPr>
        <c:crossAx val="234377992"/>
        <c:crosses val="autoZero"/>
        <c:auto val="1"/>
        <c:lblAlgn val="ctr"/>
        <c:lblOffset val="100"/>
        <c:noMultiLvlLbl val="0"/>
      </c:catAx>
      <c:valAx>
        <c:axId val="234377992"/>
        <c:scaling>
          <c:orientation val="minMax"/>
        </c:scaling>
        <c:delete val="1"/>
        <c:axPos val="l"/>
        <c:numFmt formatCode="#,##0" sourceLinked="1"/>
        <c:majorTickMark val="out"/>
        <c:minorTickMark val="none"/>
        <c:tickLblPos val="nextTo"/>
        <c:crossAx val="234377600"/>
        <c:crosses val="autoZero"/>
        <c:crossBetween val="between"/>
      </c:valAx>
      <c:spPr>
        <a:noFill/>
        <a:ln w="25400">
          <a:noFill/>
        </a:ln>
      </c:spPr>
    </c:plotArea>
    <c:legend>
      <c:legendPos val="r"/>
      <c:layout>
        <c:manualLayout>
          <c:xMode val="edge"/>
          <c:yMode val="edge"/>
          <c:x val="4.9472537692598184E-2"/>
          <c:y val="0.91444621418577676"/>
          <c:w val="0.89345255148695002"/>
          <c:h val="7.4811064494356497E-2"/>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67289285034372E-3"/>
          <c:y val="5.1099200676768576E-2"/>
          <c:w val="0.98444945868092282"/>
          <c:h val="0.79411635016241466"/>
        </c:manualLayout>
      </c:layout>
      <c:lineChart>
        <c:grouping val="standard"/>
        <c:varyColors val="0"/>
        <c:ser>
          <c:idx val="0"/>
          <c:order val="0"/>
          <c:tx>
            <c:strRef>
              <c:f>'Figure 18'!$C$6</c:f>
              <c:strCache>
                <c:ptCount val="1"/>
                <c:pt idx="0">
                  <c:v>England</c:v>
                </c:pt>
              </c:strCache>
            </c:strRef>
          </c:tx>
          <c:spPr>
            <a:ln w="25400">
              <a:solidFill>
                <a:schemeClr val="tx1">
                  <a:lumMod val="65000"/>
                  <a:lumOff val="35000"/>
                </a:schemeClr>
              </a:solidFill>
              <a:prstDash val="sysDash"/>
            </a:ln>
          </c:spPr>
          <c:marker>
            <c:symbol val="square"/>
            <c:size val="7"/>
            <c:spPr>
              <a:solidFill>
                <a:schemeClr val="tx1">
                  <a:lumMod val="65000"/>
                  <a:lumOff val="35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18'!$B$8:$B$17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18'!$C$8:$C$17</c:f>
              <c:numCache>
                <c:formatCode>#,##0</c:formatCode>
                <c:ptCount val="10"/>
                <c:pt idx="0">
                  <c:v>2639.035508405721</c:v>
                </c:pt>
                <c:pt idx="1">
                  <c:v>2546.9381030109357</c:v>
                </c:pt>
                <c:pt idx="2">
                  <c:v>2440.5565845087144</c:v>
                </c:pt>
                <c:pt idx="3">
                  <c:v>2469.0437454808389</c:v>
                </c:pt>
                <c:pt idx="4">
                  <c:v>1355.2437015947671</c:v>
                </c:pt>
                <c:pt idx="5">
                  <c:v>1710.3802412662578</c:v>
                </c:pt>
                <c:pt idx="6">
                  <c:v>1449.6489102778894</c:v>
                </c:pt>
                <c:pt idx="7">
                  <c:v>1543.8531165638124</c:v>
                </c:pt>
                <c:pt idx="8">
                  <c:v>1498.9116687564797</c:v>
                </c:pt>
                <c:pt idx="9">
                  <c:v>1600.466743618234</c:v>
                </c:pt>
              </c:numCache>
            </c:numRef>
          </c:val>
          <c:smooth val="0"/>
          <c:extLst>
            <c:ext xmlns:c16="http://schemas.microsoft.com/office/drawing/2014/chart" uri="{C3380CC4-5D6E-409C-BE32-E72D297353CC}">
              <c16:uniqueId val="{00000000-ED58-4AFD-84A9-56A0DA88B4A0}"/>
            </c:ext>
          </c:extLst>
        </c:ser>
        <c:ser>
          <c:idx val="1"/>
          <c:order val="1"/>
          <c:tx>
            <c:strRef>
              <c:f>'Figure 18'!$D$6</c:f>
              <c:strCache>
                <c:ptCount val="1"/>
                <c:pt idx="0">
                  <c:v>Scotland</c:v>
                </c:pt>
              </c:strCache>
            </c:strRef>
          </c:tx>
          <c:spPr>
            <a:ln w="19050">
              <a:solidFill>
                <a:schemeClr val="tx1">
                  <a:lumMod val="75000"/>
                  <a:lumOff val="25000"/>
                </a:schemeClr>
              </a:solidFill>
            </a:ln>
          </c:spPr>
          <c:marker>
            <c:symbol val="circle"/>
            <c:size val="7"/>
            <c:spPr>
              <a:solidFill>
                <a:schemeClr val="tx1">
                  <a:lumMod val="65000"/>
                  <a:lumOff val="35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18'!$B$8:$B$17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18'!$D$8:$D$17</c:f>
              <c:numCache>
                <c:formatCode>#,##0</c:formatCode>
                <c:ptCount val="10"/>
                <c:pt idx="0">
                  <c:v>4930.1351169540067</c:v>
                </c:pt>
                <c:pt idx="1">
                  <c:v>4392.4769204304357</c:v>
                </c:pt>
                <c:pt idx="2">
                  <c:v>4600.167230435939</c:v>
                </c:pt>
                <c:pt idx="3">
                  <c:v>3524.7834864808769</c:v>
                </c:pt>
                <c:pt idx="4">
                  <c:v>2687.0671484492623</c:v>
                </c:pt>
                <c:pt idx="5">
                  <c:v>3070.7434727931377</c:v>
                </c:pt>
                <c:pt idx="6">
                  <c:v>2506.91899169721</c:v>
                </c:pt>
                <c:pt idx="7">
                  <c:v>2741.8574353247723</c:v>
                </c:pt>
                <c:pt idx="8">
                  <c:v>2896.9230484578238</c:v>
                </c:pt>
                <c:pt idx="9">
                  <c:v>2709.4086417932458</c:v>
                </c:pt>
              </c:numCache>
            </c:numRef>
          </c:val>
          <c:smooth val="0"/>
          <c:extLst>
            <c:ext xmlns:c16="http://schemas.microsoft.com/office/drawing/2014/chart" uri="{C3380CC4-5D6E-409C-BE32-E72D297353CC}">
              <c16:uniqueId val="{00000001-ED58-4AFD-84A9-56A0DA88B4A0}"/>
            </c:ext>
          </c:extLst>
        </c:ser>
        <c:ser>
          <c:idx val="2"/>
          <c:order val="2"/>
          <c:tx>
            <c:strRef>
              <c:f>'Figure 18'!$E$6</c:f>
              <c:strCache>
                <c:ptCount val="1"/>
                <c:pt idx="0">
                  <c:v>Wales</c:v>
                </c:pt>
              </c:strCache>
            </c:strRef>
          </c:tx>
          <c:spPr>
            <a:ln>
              <a:solidFill>
                <a:schemeClr val="bg1">
                  <a:lumMod val="65000"/>
                </a:schemeClr>
              </a:solidFill>
              <a:prstDash val="sysDot"/>
            </a:ln>
          </c:spPr>
          <c:marker>
            <c:spPr>
              <a:solidFill>
                <a:schemeClr val="bg1">
                  <a:lumMod val="50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18'!$B$8:$B$17</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'Figure 18'!$E$8:$E$17</c:f>
              <c:numCache>
                <c:formatCode>#,##0</c:formatCode>
                <c:ptCount val="10"/>
                <c:pt idx="0">
                  <c:v>3874.5497207442413</c:v>
                </c:pt>
                <c:pt idx="1">
                  <c:v>3804.6661620981272</c:v>
                </c:pt>
                <c:pt idx="2">
                  <c:v>4427.2131147540986</c:v>
                </c:pt>
                <c:pt idx="3">
                  <c:v>3316.7961355179841</c:v>
                </c:pt>
                <c:pt idx="4">
                  <c:v>1926.4174880452817</c:v>
                </c:pt>
                <c:pt idx="5">
                  <c:v>2530.8201401505316</c:v>
                </c:pt>
                <c:pt idx="6">
                  <c:v>2115.4592496765845</c:v>
                </c:pt>
                <c:pt idx="7">
                  <c:v>2258.0749249782198</c:v>
                </c:pt>
                <c:pt idx="8">
                  <c:v>1791.0831298984967</c:v>
                </c:pt>
                <c:pt idx="9">
                  <c:v>2015.551004735697</c:v>
                </c:pt>
              </c:numCache>
            </c:numRef>
          </c:val>
          <c:smooth val="0"/>
          <c:extLst>
            <c:ext xmlns:c16="http://schemas.microsoft.com/office/drawing/2014/chart" uri="{C3380CC4-5D6E-409C-BE32-E72D297353CC}">
              <c16:uniqueId val="{00000002-ED58-4AFD-84A9-56A0DA88B4A0}"/>
            </c:ext>
          </c:extLst>
        </c:ser>
        <c:dLbls>
          <c:showLegendKey val="0"/>
          <c:showVal val="0"/>
          <c:showCatName val="0"/>
          <c:showSerName val="0"/>
          <c:showPercent val="0"/>
          <c:showBubbleSize val="0"/>
        </c:dLbls>
        <c:marker val="1"/>
        <c:smooth val="0"/>
        <c:axId val="234378776"/>
        <c:axId val="255010168"/>
      </c:lineChart>
      <c:catAx>
        <c:axId val="234378776"/>
        <c:scaling>
          <c:orientation val="minMax"/>
        </c:scaling>
        <c:delete val="0"/>
        <c:axPos val="b"/>
        <c:numFmt formatCode="General" sourceLinked="0"/>
        <c:majorTickMark val="out"/>
        <c:minorTickMark val="none"/>
        <c:tickLblPos val="nextTo"/>
        <c:spPr>
          <a:ln>
            <a:noFill/>
          </a:ln>
        </c:spPr>
        <c:txPr>
          <a:bodyPr rot="0"/>
          <a:lstStyle/>
          <a:p>
            <a:pPr>
              <a:defRPr sz="900" baseline="0"/>
            </a:pPr>
            <a:endParaRPr lang="en-US"/>
          </a:p>
        </c:txPr>
        <c:crossAx val="255010168"/>
        <c:crosses val="autoZero"/>
        <c:auto val="1"/>
        <c:lblAlgn val="ctr"/>
        <c:lblOffset val="100"/>
        <c:noMultiLvlLbl val="0"/>
      </c:catAx>
      <c:valAx>
        <c:axId val="255010168"/>
        <c:scaling>
          <c:orientation val="minMax"/>
        </c:scaling>
        <c:delete val="1"/>
        <c:axPos val="l"/>
        <c:numFmt formatCode="#,##0" sourceLinked="1"/>
        <c:majorTickMark val="out"/>
        <c:minorTickMark val="none"/>
        <c:tickLblPos val="nextTo"/>
        <c:crossAx val="234378776"/>
        <c:crosses val="autoZero"/>
        <c:crossBetween val="between"/>
      </c:valAx>
      <c:spPr>
        <a:noFill/>
        <a:ln w="25400">
          <a:noFill/>
        </a:ln>
      </c:spPr>
    </c:plotArea>
    <c:legend>
      <c:legendPos val="r"/>
      <c:layout>
        <c:manualLayout>
          <c:xMode val="edge"/>
          <c:yMode val="edge"/>
          <c:x val="4.9472537692598184E-2"/>
          <c:y val="0.91444621418577676"/>
          <c:w val="0.89345255148695002"/>
          <c:h val="7.4811064494356497E-2"/>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67289285034372E-3"/>
          <c:y val="5.1099200676768576E-2"/>
          <c:w val="0.98444945868092282"/>
          <c:h val="0.79411635016241466"/>
        </c:manualLayout>
      </c:layout>
      <c:lineChart>
        <c:grouping val="standard"/>
        <c:varyColors val="0"/>
        <c:ser>
          <c:idx val="0"/>
          <c:order val="0"/>
          <c:tx>
            <c:strRef>
              <c:f>'Figure 19'!$C$4</c:f>
              <c:strCache>
                <c:ptCount val="1"/>
                <c:pt idx="0">
                  <c:v>England</c:v>
                </c:pt>
              </c:strCache>
            </c:strRef>
          </c:tx>
          <c:spPr>
            <a:ln w="25400">
              <a:solidFill>
                <a:schemeClr val="tx1">
                  <a:lumMod val="65000"/>
                  <a:lumOff val="35000"/>
                </a:schemeClr>
              </a:solidFill>
              <a:prstDash val="sysDash"/>
            </a:ln>
          </c:spPr>
          <c:marker>
            <c:symbol val="square"/>
            <c:size val="7"/>
            <c:spPr>
              <a:solidFill>
                <a:schemeClr val="tx1">
                  <a:lumMod val="65000"/>
                  <a:lumOff val="35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19'!$B$5:$B$11</c:f>
              <c:strCache>
                <c:ptCount val="7"/>
                <c:pt idx="0">
                  <c:v>2011-12</c:v>
                </c:pt>
                <c:pt idx="1">
                  <c:v>2012-13</c:v>
                </c:pt>
                <c:pt idx="2">
                  <c:v>2013-14</c:v>
                </c:pt>
                <c:pt idx="3">
                  <c:v>2014-15</c:v>
                </c:pt>
                <c:pt idx="4">
                  <c:v>2015-16</c:v>
                </c:pt>
                <c:pt idx="5">
                  <c:v>2016-17</c:v>
                </c:pt>
                <c:pt idx="6">
                  <c:v>2017-18</c:v>
                </c:pt>
              </c:strCache>
            </c:strRef>
          </c:cat>
          <c:val>
            <c:numRef>
              <c:f>'Figure 19'!$C$5:$C$11</c:f>
              <c:numCache>
                <c:formatCode>#,##0.0</c:formatCode>
                <c:ptCount val="7"/>
                <c:pt idx="0">
                  <c:v>5.9313991323210411</c:v>
                </c:pt>
                <c:pt idx="1">
                  <c:v>5.3464239714209336</c:v>
                </c:pt>
                <c:pt idx="2">
                  <c:v>5.123844814334884</c:v>
                </c:pt>
                <c:pt idx="3">
                  <c:v>4.8419820091831962</c:v>
                </c:pt>
                <c:pt idx="4">
                  <c:v>5.5305797252232765</c:v>
                </c:pt>
                <c:pt idx="5">
                  <c:v>4.7586220622746209</c:v>
                </c:pt>
                <c:pt idx="6">
                  <c:v>6.0050989402978097</c:v>
                </c:pt>
              </c:numCache>
            </c:numRef>
          </c:val>
          <c:smooth val="0"/>
          <c:extLst>
            <c:ext xmlns:c16="http://schemas.microsoft.com/office/drawing/2014/chart" uri="{C3380CC4-5D6E-409C-BE32-E72D297353CC}">
              <c16:uniqueId val="{00000000-0EC7-4577-AD32-D0210CEB4B4F}"/>
            </c:ext>
          </c:extLst>
        </c:ser>
        <c:ser>
          <c:idx val="1"/>
          <c:order val="1"/>
          <c:tx>
            <c:strRef>
              <c:f>'Figure 19'!$D$4</c:f>
              <c:strCache>
                <c:ptCount val="1"/>
                <c:pt idx="0">
                  <c:v>Scotland</c:v>
                </c:pt>
              </c:strCache>
            </c:strRef>
          </c:tx>
          <c:spPr>
            <a:ln w="25400">
              <a:solidFill>
                <a:schemeClr val="tx1">
                  <a:lumMod val="75000"/>
                  <a:lumOff val="25000"/>
                </a:schemeClr>
              </a:solidFill>
            </a:ln>
          </c:spPr>
          <c:marker>
            <c:symbol val="circle"/>
            <c:size val="7"/>
            <c:spPr>
              <a:solidFill>
                <a:schemeClr val="tx1">
                  <a:lumMod val="65000"/>
                  <a:lumOff val="35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19'!$B$5:$B$11</c:f>
              <c:strCache>
                <c:ptCount val="7"/>
                <c:pt idx="0">
                  <c:v>2011-12</c:v>
                </c:pt>
                <c:pt idx="1">
                  <c:v>2012-13</c:v>
                </c:pt>
                <c:pt idx="2">
                  <c:v>2013-14</c:v>
                </c:pt>
                <c:pt idx="3">
                  <c:v>2014-15</c:v>
                </c:pt>
                <c:pt idx="4">
                  <c:v>2015-16</c:v>
                </c:pt>
                <c:pt idx="5">
                  <c:v>2016-17</c:v>
                </c:pt>
                <c:pt idx="6">
                  <c:v>2017-18</c:v>
                </c:pt>
              </c:strCache>
            </c:strRef>
          </c:cat>
          <c:val>
            <c:numRef>
              <c:f>'Figure 19'!$D$5:$D$11</c:f>
              <c:numCache>
                <c:formatCode>#,##0.0</c:formatCode>
                <c:ptCount val="7"/>
                <c:pt idx="0">
                  <c:v>11.132285514821033</c:v>
                </c:pt>
                <c:pt idx="1">
                  <c:v>8.6570310147545921</c:v>
                </c:pt>
                <c:pt idx="2">
                  <c:v>5.8186459447791732</c:v>
                </c:pt>
                <c:pt idx="3">
                  <c:v>7.4799910240107712</c:v>
                </c:pt>
                <c:pt idx="4">
                  <c:v>8.3752093802345069</c:v>
                </c:pt>
                <c:pt idx="5">
                  <c:v>8.1410624086443288</c:v>
                </c:pt>
                <c:pt idx="6">
                  <c:v>8.1108980976257197</c:v>
                </c:pt>
              </c:numCache>
            </c:numRef>
          </c:val>
          <c:smooth val="0"/>
          <c:extLst>
            <c:ext xmlns:c16="http://schemas.microsoft.com/office/drawing/2014/chart" uri="{C3380CC4-5D6E-409C-BE32-E72D297353CC}">
              <c16:uniqueId val="{00000001-0EC7-4577-AD32-D0210CEB4B4F}"/>
            </c:ext>
          </c:extLst>
        </c:ser>
        <c:ser>
          <c:idx val="2"/>
          <c:order val="2"/>
          <c:tx>
            <c:strRef>
              <c:f>'Figure 19'!$E$4</c:f>
              <c:strCache>
                <c:ptCount val="1"/>
                <c:pt idx="0">
                  <c:v>Wales</c:v>
                </c:pt>
              </c:strCache>
            </c:strRef>
          </c:tx>
          <c:spPr>
            <a:ln>
              <a:solidFill>
                <a:schemeClr val="bg1">
                  <a:lumMod val="65000"/>
                </a:schemeClr>
              </a:solidFill>
              <a:prstDash val="sysDot"/>
            </a:ln>
          </c:spPr>
          <c:marker>
            <c:spPr>
              <a:solidFill>
                <a:schemeClr val="bg1">
                  <a:lumMod val="50000"/>
                </a:schemeClr>
              </a:solidFill>
              <a:ln>
                <a:noFill/>
              </a:ln>
            </c:spPr>
          </c:marker>
          <c:dLbls>
            <c:dLbl>
              <c:idx val="6"/>
              <c:layout>
                <c:manualLayout>
                  <c:x val="-2.8941956025988556E-2"/>
                  <c:y val="3.2940674729501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7E-4FD7-9E70-4C90EEB9D2DD}"/>
                </c:ext>
              </c:extLst>
            </c:dLbl>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19'!$B$5:$B$11</c:f>
              <c:strCache>
                <c:ptCount val="7"/>
                <c:pt idx="0">
                  <c:v>2011-12</c:v>
                </c:pt>
                <c:pt idx="1">
                  <c:v>2012-13</c:v>
                </c:pt>
                <c:pt idx="2">
                  <c:v>2013-14</c:v>
                </c:pt>
                <c:pt idx="3">
                  <c:v>2014-15</c:v>
                </c:pt>
                <c:pt idx="4">
                  <c:v>2015-16</c:v>
                </c:pt>
                <c:pt idx="5">
                  <c:v>2016-17</c:v>
                </c:pt>
                <c:pt idx="6">
                  <c:v>2017-18</c:v>
                </c:pt>
              </c:strCache>
            </c:strRef>
          </c:cat>
          <c:val>
            <c:numRef>
              <c:f>'Figure 19'!$E$5:$E$11</c:f>
              <c:numCache>
                <c:formatCode>#,##0.0</c:formatCode>
                <c:ptCount val="7"/>
                <c:pt idx="0">
                  <c:v>7.5070174293361189</c:v>
                </c:pt>
                <c:pt idx="1">
                  <c:v>5.5300738427507241</c:v>
                </c:pt>
                <c:pt idx="2">
                  <c:v>5.5151829743057359</c:v>
                </c:pt>
                <c:pt idx="3">
                  <c:v>6.4683053040103493</c:v>
                </c:pt>
                <c:pt idx="4">
                  <c:v>6.1308121712755312</c:v>
                </c:pt>
                <c:pt idx="5">
                  <c:v>6.1030450982911466</c:v>
                </c:pt>
                <c:pt idx="6">
                  <c:v>4.7996928196595414</c:v>
                </c:pt>
              </c:numCache>
            </c:numRef>
          </c:val>
          <c:smooth val="0"/>
          <c:extLst>
            <c:ext xmlns:c16="http://schemas.microsoft.com/office/drawing/2014/chart" uri="{C3380CC4-5D6E-409C-BE32-E72D297353CC}">
              <c16:uniqueId val="{00000002-0EC7-4577-AD32-D0210CEB4B4F}"/>
            </c:ext>
          </c:extLst>
        </c:ser>
        <c:dLbls>
          <c:showLegendKey val="0"/>
          <c:showVal val="0"/>
          <c:showCatName val="0"/>
          <c:showSerName val="0"/>
          <c:showPercent val="0"/>
          <c:showBubbleSize val="0"/>
        </c:dLbls>
        <c:marker val="1"/>
        <c:smooth val="0"/>
        <c:axId val="255010952"/>
        <c:axId val="255011344"/>
      </c:lineChart>
      <c:catAx>
        <c:axId val="255010952"/>
        <c:scaling>
          <c:orientation val="minMax"/>
        </c:scaling>
        <c:delete val="0"/>
        <c:axPos val="b"/>
        <c:numFmt formatCode="General" sourceLinked="0"/>
        <c:majorTickMark val="out"/>
        <c:minorTickMark val="none"/>
        <c:tickLblPos val="nextTo"/>
        <c:spPr>
          <a:ln>
            <a:noFill/>
          </a:ln>
        </c:spPr>
        <c:txPr>
          <a:bodyPr rot="0"/>
          <a:lstStyle/>
          <a:p>
            <a:pPr>
              <a:defRPr sz="900" baseline="0"/>
            </a:pPr>
            <a:endParaRPr lang="en-US"/>
          </a:p>
        </c:txPr>
        <c:crossAx val="255011344"/>
        <c:crosses val="autoZero"/>
        <c:auto val="1"/>
        <c:lblAlgn val="ctr"/>
        <c:lblOffset val="100"/>
        <c:noMultiLvlLbl val="0"/>
      </c:catAx>
      <c:valAx>
        <c:axId val="255011344"/>
        <c:scaling>
          <c:orientation val="minMax"/>
        </c:scaling>
        <c:delete val="1"/>
        <c:axPos val="l"/>
        <c:numFmt formatCode="#,##0.0" sourceLinked="1"/>
        <c:majorTickMark val="out"/>
        <c:minorTickMark val="none"/>
        <c:tickLblPos val="nextTo"/>
        <c:crossAx val="255010952"/>
        <c:crosses val="autoZero"/>
        <c:crossBetween val="between"/>
      </c:valAx>
      <c:spPr>
        <a:noFill/>
        <a:ln w="25400">
          <a:noFill/>
        </a:ln>
      </c:spPr>
    </c:plotArea>
    <c:legend>
      <c:legendPos val="r"/>
      <c:layout>
        <c:manualLayout>
          <c:xMode val="edge"/>
          <c:yMode val="edge"/>
          <c:x val="4.9472537692598184E-2"/>
          <c:y val="0.91444621418577676"/>
          <c:w val="0.89345255148695002"/>
          <c:h val="7.4811064494356497E-2"/>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67289285034372E-3"/>
          <c:y val="5.1099200676768576E-2"/>
          <c:w val="0.98444945868092282"/>
          <c:h val="0.79411635016241466"/>
        </c:manualLayout>
      </c:layout>
      <c:lineChart>
        <c:grouping val="standard"/>
        <c:varyColors val="0"/>
        <c:ser>
          <c:idx val="0"/>
          <c:order val="0"/>
          <c:tx>
            <c:strRef>
              <c:f>'Figure 20'!$C$4</c:f>
              <c:strCache>
                <c:ptCount val="1"/>
                <c:pt idx="0">
                  <c:v>England</c:v>
                </c:pt>
              </c:strCache>
            </c:strRef>
          </c:tx>
          <c:spPr>
            <a:ln w="25400">
              <a:solidFill>
                <a:schemeClr val="tx1">
                  <a:lumMod val="65000"/>
                  <a:lumOff val="35000"/>
                </a:schemeClr>
              </a:solidFill>
              <a:prstDash val="sysDash"/>
            </a:ln>
          </c:spPr>
          <c:marker>
            <c:symbol val="square"/>
            <c:size val="7"/>
            <c:spPr>
              <a:solidFill>
                <a:schemeClr val="tx1">
                  <a:lumMod val="65000"/>
                  <a:lumOff val="35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20'!$B$9:$B$15</c:f>
              <c:strCache>
                <c:ptCount val="7"/>
                <c:pt idx="0">
                  <c:v>2011-12</c:v>
                </c:pt>
                <c:pt idx="1">
                  <c:v>2012-13</c:v>
                </c:pt>
                <c:pt idx="2">
                  <c:v>2013-14</c:v>
                </c:pt>
                <c:pt idx="3">
                  <c:v>2014-15</c:v>
                </c:pt>
                <c:pt idx="4">
                  <c:v>2015-16</c:v>
                </c:pt>
                <c:pt idx="5">
                  <c:v>2016-17</c:v>
                </c:pt>
                <c:pt idx="6">
                  <c:v>2017-18</c:v>
                </c:pt>
              </c:strCache>
            </c:strRef>
          </c:cat>
          <c:val>
            <c:numRef>
              <c:f>'Figure 20'!$C$9:$C$15</c:f>
              <c:numCache>
                <c:formatCode>#,##0.0</c:formatCode>
                <c:ptCount val="7"/>
                <c:pt idx="0">
                  <c:v>176.52973608098335</c:v>
                </c:pt>
                <c:pt idx="1">
                  <c:v>157.56995683603864</c:v>
                </c:pt>
                <c:pt idx="2">
                  <c:v>145.1013444523241</c:v>
                </c:pt>
                <c:pt idx="3">
                  <c:v>139.69946572502698</c:v>
                </c:pt>
                <c:pt idx="4">
                  <c:v>139.88898684525148</c:v>
                </c:pt>
                <c:pt idx="5">
                  <c:v>128.31995310133695</c:v>
                </c:pt>
                <c:pt idx="6">
                  <c:v>131.06937507416478</c:v>
                </c:pt>
              </c:numCache>
            </c:numRef>
          </c:val>
          <c:smooth val="0"/>
          <c:extLst>
            <c:ext xmlns:c16="http://schemas.microsoft.com/office/drawing/2014/chart" uri="{C3380CC4-5D6E-409C-BE32-E72D297353CC}">
              <c16:uniqueId val="{00000000-37DC-43B7-A847-DB14283860D6}"/>
            </c:ext>
          </c:extLst>
        </c:ser>
        <c:ser>
          <c:idx val="1"/>
          <c:order val="1"/>
          <c:tx>
            <c:strRef>
              <c:f>'Figure 20'!$D$4</c:f>
              <c:strCache>
                <c:ptCount val="1"/>
                <c:pt idx="0">
                  <c:v>Scotland</c:v>
                </c:pt>
              </c:strCache>
            </c:strRef>
          </c:tx>
          <c:spPr>
            <a:ln w="25400">
              <a:solidFill>
                <a:schemeClr val="tx1">
                  <a:lumMod val="75000"/>
                  <a:lumOff val="25000"/>
                </a:schemeClr>
              </a:solidFill>
            </a:ln>
          </c:spPr>
          <c:marker>
            <c:symbol val="circle"/>
            <c:size val="7"/>
            <c:spPr>
              <a:solidFill>
                <a:schemeClr val="tx1">
                  <a:lumMod val="65000"/>
                  <a:lumOff val="35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20'!$B$9:$B$15</c:f>
              <c:strCache>
                <c:ptCount val="7"/>
                <c:pt idx="0">
                  <c:v>2011-12</c:v>
                </c:pt>
                <c:pt idx="1">
                  <c:v>2012-13</c:v>
                </c:pt>
                <c:pt idx="2">
                  <c:v>2013-14</c:v>
                </c:pt>
                <c:pt idx="3">
                  <c:v>2014-15</c:v>
                </c:pt>
                <c:pt idx="4">
                  <c:v>2015-16</c:v>
                </c:pt>
                <c:pt idx="5">
                  <c:v>2016-17</c:v>
                </c:pt>
                <c:pt idx="6">
                  <c:v>2017-18</c:v>
                </c:pt>
              </c:strCache>
            </c:strRef>
          </c:cat>
          <c:val>
            <c:numRef>
              <c:f>'Figure 20'!$D$9:$D$15</c:f>
              <c:numCache>
                <c:formatCode>#,##0.0</c:formatCode>
                <c:ptCount val="7"/>
                <c:pt idx="0">
                  <c:v>267.17485235570479</c:v>
                </c:pt>
                <c:pt idx="1">
                  <c:v>248.23095453176754</c:v>
                </c:pt>
                <c:pt idx="2">
                  <c:v>246.07241398727405</c:v>
                </c:pt>
                <c:pt idx="3">
                  <c:v>205.88675293589648</c:v>
                </c:pt>
                <c:pt idx="4">
                  <c:v>237.48371487064955</c:v>
                </c:pt>
                <c:pt idx="5">
                  <c:v>234.24056839417543</c:v>
                </c:pt>
                <c:pt idx="6">
                  <c:v>205.16885415130511</c:v>
                </c:pt>
              </c:numCache>
            </c:numRef>
          </c:val>
          <c:smooth val="0"/>
          <c:extLst>
            <c:ext xmlns:c16="http://schemas.microsoft.com/office/drawing/2014/chart" uri="{C3380CC4-5D6E-409C-BE32-E72D297353CC}">
              <c16:uniqueId val="{00000001-37DC-43B7-A847-DB14283860D6}"/>
            </c:ext>
          </c:extLst>
        </c:ser>
        <c:ser>
          <c:idx val="2"/>
          <c:order val="2"/>
          <c:tx>
            <c:strRef>
              <c:f>'Figure 20'!$E$4</c:f>
              <c:strCache>
                <c:ptCount val="1"/>
                <c:pt idx="0">
                  <c:v>Wales</c:v>
                </c:pt>
              </c:strCache>
            </c:strRef>
          </c:tx>
          <c:spPr>
            <a:ln>
              <a:solidFill>
                <a:schemeClr val="bg1">
                  <a:lumMod val="65000"/>
                </a:schemeClr>
              </a:solidFill>
              <a:prstDash val="sysDot"/>
            </a:ln>
          </c:spPr>
          <c:marker>
            <c:spPr>
              <a:solidFill>
                <a:schemeClr val="bg1">
                  <a:lumMod val="50000"/>
                </a:schemeClr>
              </a:solidFill>
              <a:ln>
                <a:noFill/>
              </a:ln>
            </c:spPr>
          </c:marker>
          <c:dLbls>
            <c:spPr>
              <a:noFill/>
              <a:ln>
                <a:noFill/>
              </a:ln>
              <a:effectLst/>
            </c:spPr>
            <c:txPr>
              <a:bodyPr/>
              <a:lstStyle/>
              <a:p>
                <a:pPr algn="ctr">
                  <a:defRPr lang="en-GB" sz="800" b="0" i="0" u="none" strike="noStrike" kern="1200" baseline="0">
                    <a:solidFill>
                      <a:sysClr val="windowText" lastClr="000000">
                        <a:lumMod val="65000"/>
                        <a:lumOff val="35000"/>
                      </a:sys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20'!$B$9:$B$15</c:f>
              <c:strCache>
                <c:ptCount val="7"/>
                <c:pt idx="0">
                  <c:v>2011-12</c:v>
                </c:pt>
                <c:pt idx="1">
                  <c:v>2012-13</c:v>
                </c:pt>
                <c:pt idx="2">
                  <c:v>2013-14</c:v>
                </c:pt>
                <c:pt idx="3">
                  <c:v>2014-15</c:v>
                </c:pt>
                <c:pt idx="4">
                  <c:v>2015-16</c:v>
                </c:pt>
                <c:pt idx="5">
                  <c:v>2016-17</c:v>
                </c:pt>
                <c:pt idx="6">
                  <c:v>2017-18</c:v>
                </c:pt>
              </c:strCache>
            </c:strRef>
          </c:cat>
          <c:val>
            <c:numRef>
              <c:f>'Figure 20'!$E$9:$E$15</c:f>
              <c:numCache>
                <c:formatCode>#,##0.0</c:formatCode>
                <c:ptCount val="7"/>
                <c:pt idx="0">
                  <c:v>193.22410078986877</c:v>
                </c:pt>
                <c:pt idx="1">
                  <c:v>175.98646758400832</c:v>
                </c:pt>
                <c:pt idx="2">
                  <c:v>203.08850246561121</c:v>
                </c:pt>
                <c:pt idx="3">
                  <c:v>175.61448900388098</c:v>
                </c:pt>
                <c:pt idx="4">
                  <c:v>191.0232002839534</c:v>
                </c:pt>
                <c:pt idx="5">
                  <c:v>199.4732108441475</c:v>
                </c:pt>
                <c:pt idx="6">
                  <c:v>168.3092282093946</c:v>
                </c:pt>
              </c:numCache>
            </c:numRef>
          </c:val>
          <c:smooth val="0"/>
          <c:extLst>
            <c:ext xmlns:c16="http://schemas.microsoft.com/office/drawing/2014/chart" uri="{C3380CC4-5D6E-409C-BE32-E72D297353CC}">
              <c16:uniqueId val="{00000002-37DC-43B7-A847-DB14283860D6}"/>
            </c:ext>
          </c:extLst>
        </c:ser>
        <c:dLbls>
          <c:showLegendKey val="0"/>
          <c:showVal val="0"/>
          <c:showCatName val="0"/>
          <c:showSerName val="0"/>
          <c:showPercent val="0"/>
          <c:showBubbleSize val="0"/>
        </c:dLbls>
        <c:marker val="1"/>
        <c:smooth val="0"/>
        <c:axId val="255012128"/>
        <c:axId val="255012520"/>
      </c:lineChart>
      <c:catAx>
        <c:axId val="255012128"/>
        <c:scaling>
          <c:orientation val="minMax"/>
        </c:scaling>
        <c:delete val="0"/>
        <c:axPos val="b"/>
        <c:numFmt formatCode="General" sourceLinked="0"/>
        <c:majorTickMark val="out"/>
        <c:minorTickMark val="none"/>
        <c:tickLblPos val="nextTo"/>
        <c:spPr>
          <a:ln>
            <a:noFill/>
          </a:ln>
        </c:spPr>
        <c:txPr>
          <a:bodyPr rot="0"/>
          <a:lstStyle/>
          <a:p>
            <a:pPr>
              <a:defRPr sz="900" baseline="0"/>
            </a:pPr>
            <a:endParaRPr lang="en-US"/>
          </a:p>
        </c:txPr>
        <c:crossAx val="255012520"/>
        <c:crosses val="autoZero"/>
        <c:auto val="1"/>
        <c:lblAlgn val="ctr"/>
        <c:lblOffset val="100"/>
        <c:noMultiLvlLbl val="0"/>
      </c:catAx>
      <c:valAx>
        <c:axId val="255012520"/>
        <c:scaling>
          <c:orientation val="minMax"/>
        </c:scaling>
        <c:delete val="1"/>
        <c:axPos val="l"/>
        <c:numFmt formatCode="#,##0.0" sourceLinked="1"/>
        <c:majorTickMark val="out"/>
        <c:minorTickMark val="none"/>
        <c:tickLblPos val="nextTo"/>
        <c:crossAx val="255012128"/>
        <c:crosses val="autoZero"/>
        <c:crossBetween val="between"/>
      </c:valAx>
      <c:spPr>
        <a:noFill/>
        <a:ln w="25400">
          <a:noFill/>
        </a:ln>
      </c:spPr>
    </c:plotArea>
    <c:legend>
      <c:legendPos val="r"/>
      <c:layout>
        <c:manualLayout>
          <c:xMode val="edge"/>
          <c:yMode val="edge"/>
          <c:x val="4.9472537692598184E-2"/>
          <c:y val="0.91444621418577676"/>
          <c:w val="0.89345255148695002"/>
          <c:h val="7.4811064494356497E-2"/>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Accidental</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023266828492E-3"/>
          <c:y val="0.12103397774490417"/>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21'!$B$6:$B$14</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'Figure 21'!$C$6:$C$14</c:f>
              <c:numCache>
                <c:formatCode>#,##0</c:formatCode>
                <c:ptCount val="9"/>
                <c:pt idx="0">
                  <c:v>9403</c:v>
                </c:pt>
                <c:pt idx="1">
                  <c:v>9110</c:v>
                </c:pt>
                <c:pt idx="2">
                  <c:v>8635</c:v>
                </c:pt>
                <c:pt idx="3">
                  <c:v>8260</c:v>
                </c:pt>
                <c:pt idx="4">
                  <c:v>7958</c:v>
                </c:pt>
                <c:pt idx="5">
                  <c:v>8229</c:v>
                </c:pt>
                <c:pt idx="6">
                  <c:v>8425</c:v>
                </c:pt>
                <c:pt idx="7">
                  <c:v>8209</c:v>
                </c:pt>
                <c:pt idx="8">
                  <c:v>7929</c:v>
                </c:pt>
              </c:numCache>
            </c:numRef>
          </c:val>
          <c:smooth val="0"/>
          <c:extLst>
            <c:ext xmlns:c16="http://schemas.microsoft.com/office/drawing/2014/chart" uri="{C3380CC4-5D6E-409C-BE32-E72D297353CC}">
              <c16:uniqueId val="{00000000-6126-4A33-87D0-3592B5CF175F}"/>
            </c:ext>
          </c:extLst>
        </c:ser>
        <c:dLbls>
          <c:showLegendKey val="0"/>
          <c:showVal val="0"/>
          <c:showCatName val="0"/>
          <c:showSerName val="0"/>
          <c:showPercent val="0"/>
          <c:showBubbleSize val="0"/>
        </c:dLbls>
        <c:marker val="1"/>
        <c:smooth val="0"/>
        <c:axId val="255013696"/>
        <c:axId val="257789296"/>
      </c:lineChart>
      <c:catAx>
        <c:axId val="25501369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789296"/>
        <c:crosses val="autoZero"/>
        <c:auto val="1"/>
        <c:lblAlgn val="ctr"/>
        <c:lblOffset val="100"/>
        <c:noMultiLvlLbl val="0"/>
      </c:catAx>
      <c:valAx>
        <c:axId val="257789296"/>
        <c:scaling>
          <c:orientation val="minMax"/>
        </c:scaling>
        <c:delete val="1"/>
        <c:axPos val="l"/>
        <c:numFmt formatCode="#,##0" sourceLinked="1"/>
        <c:majorTickMark val="out"/>
        <c:minorTickMark val="none"/>
        <c:tickLblPos val="nextTo"/>
        <c:crossAx val="25501369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Deliberate</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023266828492E-3"/>
          <c:y val="0.12103397774490417"/>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21'!$B$6:$B$14</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'Figure 21'!$D$6:$D$14</c:f>
              <c:numCache>
                <c:formatCode>#,##0</c:formatCode>
                <c:ptCount val="9"/>
                <c:pt idx="0">
                  <c:v>4614</c:v>
                </c:pt>
                <c:pt idx="1">
                  <c:v>4088</c:v>
                </c:pt>
                <c:pt idx="2">
                  <c:v>3780</c:v>
                </c:pt>
                <c:pt idx="3">
                  <c:v>2833</c:v>
                </c:pt>
                <c:pt idx="4">
                  <c:v>2581</c:v>
                </c:pt>
                <c:pt idx="5">
                  <c:v>2414</c:v>
                </c:pt>
                <c:pt idx="6">
                  <c:v>2588</c:v>
                </c:pt>
                <c:pt idx="7">
                  <c:v>2695</c:v>
                </c:pt>
                <c:pt idx="8">
                  <c:v>2725</c:v>
                </c:pt>
              </c:numCache>
            </c:numRef>
          </c:val>
          <c:smooth val="0"/>
          <c:extLst>
            <c:ext xmlns:c16="http://schemas.microsoft.com/office/drawing/2014/chart" uri="{C3380CC4-5D6E-409C-BE32-E72D297353CC}">
              <c16:uniqueId val="{00000000-6126-4A33-87D0-3592B5CF175F}"/>
            </c:ext>
          </c:extLst>
        </c:ser>
        <c:dLbls>
          <c:showLegendKey val="0"/>
          <c:showVal val="0"/>
          <c:showCatName val="0"/>
          <c:showSerName val="0"/>
          <c:showPercent val="0"/>
          <c:showBubbleSize val="0"/>
        </c:dLbls>
        <c:marker val="1"/>
        <c:smooth val="0"/>
        <c:axId val="257790080"/>
        <c:axId val="257790472"/>
      </c:lineChart>
      <c:catAx>
        <c:axId val="25779008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790472"/>
        <c:crosses val="autoZero"/>
        <c:auto val="1"/>
        <c:lblAlgn val="ctr"/>
        <c:lblOffset val="100"/>
        <c:noMultiLvlLbl val="0"/>
      </c:catAx>
      <c:valAx>
        <c:axId val="257790472"/>
        <c:scaling>
          <c:orientation val="minMax"/>
        </c:scaling>
        <c:delete val="1"/>
        <c:axPos val="l"/>
        <c:numFmt formatCode="#,##0" sourceLinked="1"/>
        <c:majorTickMark val="out"/>
        <c:minorTickMark val="none"/>
        <c:tickLblPos val="nextTo"/>
        <c:crossAx val="25779008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Accidental Road Vehicle</a:t>
            </a:r>
            <a:r>
              <a:rPr lang="en-GB" baseline="0"/>
              <a:t> </a:t>
            </a:r>
            <a:r>
              <a:rPr lang="en-GB"/>
              <a:t>Fires</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22'!$B$10:$B$16</c:f>
              <c:strCache>
                <c:ptCount val="7"/>
                <c:pt idx="0">
                  <c:v>2011-12</c:v>
                </c:pt>
                <c:pt idx="1">
                  <c:v>2012-13</c:v>
                </c:pt>
                <c:pt idx="2">
                  <c:v>2013-14</c:v>
                </c:pt>
                <c:pt idx="3">
                  <c:v>2014-15</c:v>
                </c:pt>
                <c:pt idx="4">
                  <c:v>2015-16</c:v>
                </c:pt>
                <c:pt idx="5">
                  <c:v>2016-17</c:v>
                </c:pt>
                <c:pt idx="6">
                  <c:v>2017-18</c:v>
                </c:pt>
              </c:strCache>
            </c:strRef>
          </c:cat>
          <c:val>
            <c:numRef>
              <c:f>'Figure 22'!$E$10:$E$16</c:f>
              <c:numCache>
                <c:formatCode>#,##0</c:formatCode>
                <c:ptCount val="7"/>
                <c:pt idx="0">
                  <c:v>1247</c:v>
                </c:pt>
                <c:pt idx="1">
                  <c:v>1220</c:v>
                </c:pt>
                <c:pt idx="2">
                  <c:v>1169</c:v>
                </c:pt>
                <c:pt idx="3">
                  <c:v>1148</c:v>
                </c:pt>
                <c:pt idx="4">
                  <c:v>1164</c:v>
                </c:pt>
                <c:pt idx="5">
                  <c:v>1210</c:v>
                </c:pt>
                <c:pt idx="6">
                  <c:v>1149</c:v>
                </c:pt>
              </c:numCache>
            </c:numRef>
          </c:val>
          <c:smooth val="0"/>
          <c:extLst>
            <c:ext xmlns:c16="http://schemas.microsoft.com/office/drawing/2014/chart" uri="{C3380CC4-5D6E-409C-BE32-E72D297353CC}">
              <c16:uniqueId val="{00000000-60DC-4FD6-8F42-74F7EC00BD67}"/>
            </c:ext>
          </c:extLst>
        </c:ser>
        <c:dLbls>
          <c:showLegendKey val="0"/>
          <c:showVal val="0"/>
          <c:showCatName val="0"/>
          <c:showSerName val="0"/>
          <c:showPercent val="0"/>
          <c:showBubbleSize val="0"/>
        </c:dLbls>
        <c:marker val="1"/>
        <c:smooth val="0"/>
        <c:axId val="257791256"/>
        <c:axId val="257791648"/>
      </c:lineChart>
      <c:catAx>
        <c:axId val="25779125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791648"/>
        <c:crosses val="autoZero"/>
        <c:auto val="1"/>
        <c:lblAlgn val="ctr"/>
        <c:lblOffset val="100"/>
        <c:noMultiLvlLbl val="0"/>
      </c:catAx>
      <c:valAx>
        <c:axId val="257791648"/>
        <c:scaling>
          <c:orientation val="minMax"/>
        </c:scaling>
        <c:delete val="1"/>
        <c:axPos val="l"/>
        <c:numFmt formatCode="#,##0" sourceLinked="1"/>
        <c:majorTickMark val="out"/>
        <c:minorTickMark val="none"/>
        <c:tickLblPos val="nextTo"/>
        <c:crossAx val="25779125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Accidental Others</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22'!$B$10:$B$16</c:f>
              <c:strCache>
                <c:ptCount val="7"/>
                <c:pt idx="0">
                  <c:v>2011-12</c:v>
                </c:pt>
                <c:pt idx="1">
                  <c:v>2012-13</c:v>
                </c:pt>
                <c:pt idx="2">
                  <c:v>2013-14</c:v>
                </c:pt>
                <c:pt idx="3">
                  <c:v>2014-15</c:v>
                </c:pt>
                <c:pt idx="4">
                  <c:v>2015-16</c:v>
                </c:pt>
                <c:pt idx="5">
                  <c:v>2016-17</c:v>
                </c:pt>
                <c:pt idx="6">
                  <c:v>2017-18</c:v>
                </c:pt>
              </c:strCache>
            </c:strRef>
          </c:cat>
          <c:val>
            <c:numRef>
              <c:f>'Figure 22'!$F$10:$F$16</c:f>
              <c:numCache>
                <c:formatCode>#,##0</c:formatCode>
                <c:ptCount val="7"/>
                <c:pt idx="0">
                  <c:v>412</c:v>
                </c:pt>
                <c:pt idx="1">
                  <c:v>316</c:v>
                </c:pt>
                <c:pt idx="2">
                  <c:v>388</c:v>
                </c:pt>
                <c:pt idx="3">
                  <c:v>360</c:v>
                </c:pt>
                <c:pt idx="4">
                  <c:v>336</c:v>
                </c:pt>
                <c:pt idx="5">
                  <c:v>347</c:v>
                </c:pt>
                <c:pt idx="6">
                  <c:v>395</c:v>
                </c:pt>
              </c:numCache>
            </c:numRef>
          </c:val>
          <c:smooth val="0"/>
          <c:extLst>
            <c:ext xmlns:c16="http://schemas.microsoft.com/office/drawing/2014/chart" uri="{C3380CC4-5D6E-409C-BE32-E72D297353CC}">
              <c16:uniqueId val="{00000000-CD80-4F75-91B9-677659C51409}"/>
            </c:ext>
          </c:extLst>
        </c:ser>
        <c:dLbls>
          <c:showLegendKey val="0"/>
          <c:showVal val="0"/>
          <c:showCatName val="0"/>
          <c:showSerName val="0"/>
          <c:showPercent val="0"/>
          <c:showBubbleSize val="0"/>
        </c:dLbls>
        <c:marker val="1"/>
        <c:smooth val="0"/>
        <c:axId val="257792432"/>
        <c:axId val="257792824"/>
      </c:lineChart>
      <c:catAx>
        <c:axId val="25779243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792824"/>
        <c:crosses val="autoZero"/>
        <c:auto val="1"/>
        <c:lblAlgn val="ctr"/>
        <c:lblOffset val="100"/>
        <c:noMultiLvlLbl val="0"/>
      </c:catAx>
      <c:valAx>
        <c:axId val="257792824"/>
        <c:scaling>
          <c:orientation val="minMax"/>
        </c:scaling>
        <c:delete val="1"/>
        <c:axPos val="l"/>
        <c:numFmt formatCode="#,##0" sourceLinked="1"/>
        <c:majorTickMark val="out"/>
        <c:minorTickMark val="none"/>
        <c:tickLblPos val="nextTo"/>
        <c:crossAx val="25779243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Accidental Dwelling</a:t>
            </a:r>
            <a:r>
              <a:rPr lang="en-GB" baseline="0"/>
              <a:t> 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22'!$B$10:$B$16</c:f>
              <c:strCache>
                <c:ptCount val="7"/>
                <c:pt idx="0">
                  <c:v>2011-12</c:v>
                </c:pt>
                <c:pt idx="1">
                  <c:v>2012-13</c:v>
                </c:pt>
                <c:pt idx="2">
                  <c:v>2013-14</c:v>
                </c:pt>
                <c:pt idx="3">
                  <c:v>2014-15</c:v>
                </c:pt>
                <c:pt idx="4">
                  <c:v>2015-16</c:v>
                </c:pt>
                <c:pt idx="5">
                  <c:v>2016-17</c:v>
                </c:pt>
                <c:pt idx="6">
                  <c:v>2017-18</c:v>
                </c:pt>
              </c:strCache>
            </c:strRef>
          </c:cat>
          <c:val>
            <c:numRef>
              <c:f>'Figure 22'!$C$10:$C$16</c:f>
              <c:numCache>
                <c:formatCode>#,##0</c:formatCode>
                <c:ptCount val="7"/>
                <c:pt idx="0">
                  <c:v>5121</c:v>
                </c:pt>
                <c:pt idx="1">
                  <c:v>5004</c:v>
                </c:pt>
                <c:pt idx="2">
                  <c:v>4684</c:v>
                </c:pt>
                <c:pt idx="3">
                  <c:v>4961</c:v>
                </c:pt>
                <c:pt idx="4">
                  <c:v>5072</c:v>
                </c:pt>
                <c:pt idx="5">
                  <c:v>4930</c:v>
                </c:pt>
                <c:pt idx="6">
                  <c:v>4752</c:v>
                </c:pt>
              </c:numCache>
            </c:numRef>
          </c:val>
          <c:smooth val="0"/>
          <c:extLst>
            <c:ext xmlns:c16="http://schemas.microsoft.com/office/drawing/2014/chart" uri="{C3380CC4-5D6E-409C-BE32-E72D297353CC}">
              <c16:uniqueId val="{00000000-3084-49EF-AA13-AB2D9BFBD8DC}"/>
            </c:ext>
          </c:extLst>
        </c:ser>
        <c:dLbls>
          <c:showLegendKey val="0"/>
          <c:showVal val="0"/>
          <c:showCatName val="0"/>
          <c:showSerName val="0"/>
          <c:showPercent val="0"/>
          <c:showBubbleSize val="0"/>
        </c:dLbls>
        <c:marker val="1"/>
        <c:smooth val="0"/>
        <c:axId val="257231064"/>
        <c:axId val="257231456"/>
      </c:lineChart>
      <c:catAx>
        <c:axId val="257231064"/>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231456"/>
        <c:crosses val="autoZero"/>
        <c:auto val="1"/>
        <c:lblAlgn val="ctr"/>
        <c:lblOffset val="100"/>
        <c:noMultiLvlLbl val="0"/>
      </c:catAx>
      <c:valAx>
        <c:axId val="257231456"/>
        <c:scaling>
          <c:orientation val="minMax"/>
        </c:scaling>
        <c:delete val="1"/>
        <c:axPos val="l"/>
        <c:numFmt formatCode="#,##0" sourceLinked="1"/>
        <c:majorTickMark val="out"/>
        <c:minorTickMark val="none"/>
        <c:tickLblPos val="nextTo"/>
        <c:crossAx val="25723106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Accidental Other Building Fires</a:t>
            </a:r>
            <a:endParaRPr lang="en-GB" baseline="0"/>
          </a:p>
        </c:rich>
      </c:tx>
      <c:layout>
        <c:manualLayout>
          <c:xMode val="edge"/>
          <c:yMode val="edge"/>
          <c:x val="2.3694378318989195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22'!$B$10:$B$16</c:f>
              <c:strCache>
                <c:ptCount val="7"/>
                <c:pt idx="0">
                  <c:v>2011-12</c:v>
                </c:pt>
                <c:pt idx="1">
                  <c:v>2012-13</c:v>
                </c:pt>
                <c:pt idx="2">
                  <c:v>2013-14</c:v>
                </c:pt>
                <c:pt idx="3">
                  <c:v>2014-15</c:v>
                </c:pt>
                <c:pt idx="4">
                  <c:v>2015-16</c:v>
                </c:pt>
                <c:pt idx="5">
                  <c:v>2016-17</c:v>
                </c:pt>
                <c:pt idx="6">
                  <c:v>2017-18</c:v>
                </c:pt>
              </c:strCache>
            </c:strRef>
          </c:cat>
          <c:val>
            <c:numRef>
              <c:f>'Figure 22'!$D$10:$D$16</c:f>
              <c:numCache>
                <c:formatCode>#,##0</c:formatCode>
                <c:ptCount val="7"/>
                <c:pt idx="0">
                  <c:v>1855</c:v>
                </c:pt>
                <c:pt idx="1">
                  <c:v>1720</c:v>
                </c:pt>
                <c:pt idx="2">
                  <c:v>1717</c:v>
                </c:pt>
                <c:pt idx="3">
                  <c:v>1760</c:v>
                </c:pt>
                <c:pt idx="4">
                  <c:v>1853</c:v>
                </c:pt>
                <c:pt idx="5">
                  <c:v>1722</c:v>
                </c:pt>
                <c:pt idx="6">
                  <c:v>1633</c:v>
                </c:pt>
              </c:numCache>
            </c:numRef>
          </c:val>
          <c:smooth val="0"/>
          <c:extLst>
            <c:ext xmlns:c16="http://schemas.microsoft.com/office/drawing/2014/chart" uri="{C3380CC4-5D6E-409C-BE32-E72D297353CC}">
              <c16:uniqueId val="{00000000-F457-435B-8D94-41497FE493F6}"/>
            </c:ext>
          </c:extLst>
        </c:ser>
        <c:dLbls>
          <c:showLegendKey val="0"/>
          <c:showVal val="0"/>
          <c:showCatName val="0"/>
          <c:showSerName val="0"/>
          <c:showPercent val="0"/>
          <c:showBubbleSize val="0"/>
        </c:dLbls>
        <c:marker val="1"/>
        <c:smooth val="0"/>
        <c:axId val="257232240"/>
        <c:axId val="257232632"/>
      </c:lineChart>
      <c:catAx>
        <c:axId val="25723224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232632"/>
        <c:crosses val="autoZero"/>
        <c:auto val="1"/>
        <c:lblAlgn val="ctr"/>
        <c:lblOffset val="100"/>
        <c:noMultiLvlLbl val="0"/>
      </c:catAx>
      <c:valAx>
        <c:axId val="257232632"/>
        <c:scaling>
          <c:orientation val="minMax"/>
        </c:scaling>
        <c:delete val="1"/>
        <c:axPos val="l"/>
        <c:numFmt formatCode="#,##0" sourceLinked="1"/>
        <c:majorTickMark val="out"/>
        <c:minorTickMark val="none"/>
        <c:tickLblPos val="nextTo"/>
        <c:crossAx val="25723224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Fire False Alarms</a:t>
            </a:r>
          </a:p>
        </c:rich>
      </c:tx>
      <c:layout>
        <c:manualLayout>
          <c:xMode val="edge"/>
          <c:yMode val="edge"/>
          <c:x val="0.41281859185077596"/>
          <c:y val="6.9012105490704758E-4"/>
        </c:manualLayout>
      </c:layout>
      <c:overlay val="0"/>
    </c:title>
    <c:autoTitleDeleted val="0"/>
    <c:plotArea>
      <c:layout>
        <c:manualLayout>
          <c:layoutTarget val="inner"/>
          <c:xMode val="edge"/>
          <c:yMode val="edge"/>
          <c:x val="4.5569056298096398E-2"/>
          <c:y val="0.13077118460873324"/>
          <c:w val="0.95443094370190362"/>
          <c:h val="0.74432717250324254"/>
        </c:manualLayout>
      </c:layout>
      <c:lineChart>
        <c:grouping val="standard"/>
        <c:varyColors val="0"/>
        <c:ser>
          <c:idx val="0"/>
          <c:order val="0"/>
          <c:tx>
            <c:v>False Alarms</c:v>
          </c:tx>
          <c:spPr>
            <a:ln w="19050">
              <a:solidFill>
                <a:schemeClr val="tx1">
                  <a:lumMod val="50000"/>
                  <a:lumOff val="50000"/>
                </a:schemeClr>
              </a:solidFill>
            </a:ln>
          </c:spPr>
          <c:marker>
            <c:symbol val="circle"/>
            <c:size val="7"/>
            <c:spPr>
              <a:solidFill>
                <a:schemeClr val="tx1">
                  <a:lumMod val="50000"/>
                  <a:lumOff val="50000"/>
                </a:schemeClr>
              </a:solidFill>
              <a:ln>
                <a:noFill/>
              </a:ln>
            </c:spPr>
          </c:marker>
          <c:cat>
            <c:strRef>
              <c:f>'Long-Term Trend'!$A$9:$A$32</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'Long-Term Trend'!$Q$9:$Q$32</c:f>
              <c:numCache>
                <c:formatCode>#,##0</c:formatCode>
                <c:ptCount val="24"/>
                <c:pt idx="1">
                  <c:v>50942</c:v>
                </c:pt>
                <c:pt idx="2">
                  <c:v>49262</c:v>
                </c:pt>
                <c:pt idx="3">
                  <c:v>48650</c:v>
                </c:pt>
                <c:pt idx="4">
                  <c:v>48183</c:v>
                </c:pt>
                <c:pt idx="5">
                  <c:v>51825</c:v>
                </c:pt>
                <c:pt idx="6">
                  <c:v>52140</c:v>
                </c:pt>
                <c:pt idx="7">
                  <c:v>53806</c:v>
                </c:pt>
                <c:pt idx="8">
                  <c:v>52103</c:v>
                </c:pt>
                <c:pt idx="9">
                  <c:v>52956</c:v>
                </c:pt>
                <c:pt idx="10">
                  <c:v>53842</c:v>
                </c:pt>
                <c:pt idx="11">
                  <c:v>53207</c:v>
                </c:pt>
                <c:pt idx="12">
                  <c:v>54281</c:v>
                </c:pt>
                <c:pt idx="13">
                  <c:v>54433</c:v>
                </c:pt>
                <c:pt idx="14">
                  <c:v>53235</c:v>
                </c:pt>
                <c:pt idx="15">
                  <c:v>52048</c:v>
                </c:pt>
                <c:pt idx="16">
                  <c:v>49813</c:v>
                </c:pt>
                <c:pt idx="17">
                  <c:v>47917</c:v>
                </c:pt>
                <c:pt idx="18">
                  <c:v>47288</c:v>
                </c:pt>
                <c:pt idx="19">
                  <c:v>47220</c:v>
                </c:pt>
                <c:pt idx="20">
                  <c:v>48668</c:v>
                </c:pt>
                <c:pt idx="21">
                  <c:v>48845</c:v>
                </c:pt>
                <c:pt idx="22">
                  <c:v>50863</c:v>
                </c:pt>
                <c:pt idx="23">
                  <c:v>51787</c:v>
                </c:pt>
              </c:numCache>
            </c:numRef>
          </c:val>
          <c:smooth val="0"/>
          <c:extLst>
            <c:ext xmlns:c16="http://schemas.microsoft.com/office/drawing/2014/chart" uri="{C3380CC4-5D6E-409C-BE32-E72D297353CC}">
              <c16:uniqueId val="{00000000-2C99-439B-BD21-E9232A36583E}"/>
            </c:ext>
          </c:extLst>
        </c:ser>
        <c:dLbls>
          <c:showLegendKey val="0"/>
          <c:showVal val="0"/>
          <c:showCatName val="0"/>
          <c:showSerName val="0"/>
          <c:showPercent val="0"/>
          <c:showBubbleSize val="0"/>
        </c:dLbls>
        <c:marker val="1"/>
        <c:smooth val="0"/>
        <c:axId val="230491408"/>
        <c:axId val="230491800"/>
      </c:lineChart>
      <c:catAx>
        <c:axId val="230491408"/>
        <c:scaling>
          <c:orientation val="minMax"/>
        </c:scaling>
        <c:delete val="0"/>
        <c:axPos val="b"/>
        <c:numFmt formatCode="General" sourceLinked="0"/>
        <c:majorTickMark val="out"/>
        <c:minorTickMark val="none"/>
        <c:tickLblPos val="nextTo"/>
        <c:spPr>
          <a:ln>
            <a:noFill/>
          </a:ln>
        </c:spPr>
        <c:txPr>
          <a:bodyPr anchor="b" anchorCtr="0"/>
          <a:lstStyle/>
          <a:p>
            <a:pPr>
              <a:defRPr sz="900" baseline="0"/>
            </a:pPr>
            <a:endParaRPr lang="en-US"/>
          </a:p>
        </c:txPr>
        <c:crossAx val="230491800"/>
        <c:crosses val="autoZero"/>
        <c:auto val="1"/>
        <c:lblAlgn val="ctr"/>
        <c:lblOffset val="100"/>
        <c:tickLblSkip val="3"/>
        <c:noMultiLvlLbl val="0"/>
      </c:catAx>
      <c:valAx>
        <c:axId val="230491800"/>
        <c:scaling>
          <c:orientation val="minMax"/>
        </c:scaling>
        <c:delete val="0"/>
        <c:axPos val="l"/>
        <c:numFmt formatCode="#,##0" sourceLinked="1"/>
        <c:majorTickMark val="out"/>
        <c:minorTickMark val="none"/>
        <c:tickLblPos val="nextTo"/>
        <c:spPr>
          <a:ln>
            <a:headEnd type="none" w="lg" len="lg"/>
          </a:ln>
        </c:spPr>
        <c:crossAx val="230491408"/>
        <c:crosses val="autoZero"/>
        <c:crossBetween val="between"/>
      </c:valAx>
      <c:spPr>
        <a:noFill/>
        <a:ln w="25400">
          <a:noFill/>
        </a:ln>
      </c:spPr>
    </c:plotArea>
    <c:plotVisOnly val="1"/>
    <c:dispBlanksAs val="gap"/>
    <c:showDLblsOverMax val="0"/>
  </c:chart>
  <c:printSettings>
    <c:headerFooter/>
    <c:pageMargins b="0.75" l="0.25" r="0.25"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Deliberate Road Vehicle</a:t>
            </a:r>
            <a:r>
              <a:rPr lang="en-GB" baseline="0"/>
              <a:t> </a:t>
            </a:r>
            <a:r>
              <a:rPr lang="en-GB"/>
              <a:t>Fires</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Dwelling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23'!$B$10:$B$16</c:f>
              <c:strCache>
                <c:ptCount val="7"/>
                <c:pt idx="0">
                  <c:v>2011-12</c:v>
                </c:pt>
                <c:pt idx="1">
                  <c:v>2012-13</c:v>
                </c:pt>
                <c:pt idx="2">
                  <c:v>2013-14</c:v>
                </c:pt>
                <c:pt idx="3">
                  <c:v>2014-15</c:v>
                </c:pt>
                <c:pt idx="4">
                  <c:v>2015-16</c:v>
                </c:pt>
                <c:pt idx="5">
                  <c:v>2016-17</c:v>
                </c:pt>
                <c:pt idx="6">
                  <c:v>2017-18</c:v>
                </c:pt>
              </c:strCache>
            </c:strRef>
          </c:cat>
          <c:val>
            <c:numRef>
              <c:f>'Figure 23'!$E$10:$E$16</c:f>
              <c:numCache>
                <c:formatCode>#,##0</c:formatCode>
                <c:ptCount val="7"/>
                <c:pt idx="0">
                  <c:v>1115</c:v>
                </c:pt>
                <c:pt idx="1">
                  <c:v>814</c:v>
                </c:pt>
                <c:pt idx="2">
                  <c:v>769</c:v>
                </c:pt>
                <c:pt idx="3">
                  <c:v>749</c:v>
                </c:pt>
                <c:pt idx="4">
                  <c:v>801</c:v>
                </c:pt>
                <c:pt idx="5">
                  <c:v>909</c:v>
                </c:pt>
                <c:pt idx="6">
                  <c:v>859</c:v>
                </c:pt>
              </c:numCache>
            </c:numRef>
          </c:val>
          <c:smooth val="0"/>
          <c:extLst>
            <c:ext xmlns:c16="http://schemas.microsoft.com/office/drawing/2014/chart" uri="{C3380CC4-5D6E-409C-BE32-E72D297353CC}">
              <c16:uniqueId val="{00000000-0237-40C8-B7C3-FE16B0708BE4}"/>
            </c:ext>
          </c:extLst>
        </c:ser>
        <c:dLbls>
          <c:showLegendKey val="0"/>
          <c:showVal val="0"/>
          <c:showCatName val="0"/>
          <c:showSerName val="0"/>
          <c:showPercent val="0"/>
          <c:showBubbleSize val="0"/>
        </c:dLbls>
        <c:marker val="1"/>
        <c:smooth val="0"/>
        <c:axId val="257233416"/>
        <c:axId val="257233808"/>
      </c:lineChart>
      <c:catAx>
        <c:axId val="25723341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7233808"/>
        <c:crosses val="autoZero"/>
        <c:auto val="1"/>
        <c:lblAlgn val="ctr"/>
        <c:lblOffset val="100"/>
        <c:noMultiLvlLbl val="0"/>
      </c:catAx>
      <c:valAx>
        <c:axId val="257233808"/>
        <c:scaling>
          <c:orientation val="minMax"/>
        </c:scaling>
        <c:delete val="1"/>
        <c:axPos val="l"/>
        <c:numFmt formatCode="#,##0" sourceLinked="1"/>
        <c:majorTickMark val="out"/>
        <c:minorTickMark val="none"/>
        <c:tickLblPos val="nextTo"/>
        <c:crossAx val="25723341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baseline="0"/>
              <a:t>Deliberate Primary </a:t>
            </a:r>
            <a:r>
              <a:rPr lang="en-GB"/>
              <a:t>Fires - Others</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Dwelling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23'!$B$10:$B$16</c:f>
              <c:strCache>
                <c:ptCount val="7"/>
                <c:pt idx="0">
                  <c:v>2011-12</c:v>
                </c:pt>
                <c:pt idx="1">
                  <c:v>2012-13</c:v>
                </c:pt>
                <c:pt idx="2">
                  <c:v>2013-14</c:v>
                </c:pt>
                <c:pt idx="3">
                  <c:v>2014-15</c:v>
                </c:pt>
                <c:pt idx="4">
                  <c:v>2015-16</c:v>
                </c:pt>
                <c:pt idx="5">
                  <c:v>2016-17</c:v>
                </c:pt>
                <c:pt idx="6">
                  <c:v>2017-18</c:v>
                </c:pt>
              </c:strCache>
            </c:strRef>
          </c:cat>
          <c:val>
            <c:numRef>
              <c:f>'Figure 23'!$F$10:$F$16</c:f>
              <c:numCache>
                <c:formatCode>#,##0</c:formatCode>
                <c:ptCount val="7"/>
                <c:pt idx="0">
                  <c:v>763</c:v>
                </c:pt>
                <c:pt idx="1">
                  <c:v>498</c:v>
                </c:pt>
                <c:pt idx="2">
                  <c:v>526</c:v>
                </c:pt>
                <c:pt idx="3">
                  <c:v>478</c:v>
                </c:pt>
                <c:pt idx="4">
                  <c:v>538</c:v>
                </c:pt>
                <c:pt idx="5">
                  <c:v>611</c:v>
                </c:pt>
                <c:pt idx="6">
                  <c:v>660</c:v>
                </c:pt>
              </c:numCache>
            </c:numRef>
          </c:val>
          <c:smooth val="0"/>
          <c:extLst>
            <c:ext xmlns:c16="http://schemas.microsoft.com/office/drawing/2014/chart" uri="{C3380CC4-5D6E-409C-BE32-E72D297353CC}">
              <c16:uniqueId val="{00000000-E131-49F3-BFDD-7F6D6E2B5AA4}"/>
            </c:ext>
          </c:extLst>
        </c:ser>
        <c:dLbls>
          <c:showLegendKey val="0"/>
          <c:showVal val="0"/>
          <c:showCatName val="0"/>
          <c:showSerName val="0"/>
          <c:showPercent val="0"/>
          <c:showBubbleSize val="0"/>
        </c:dLbls>
        <c:marker val="1"/>
        <c:smooth val="0"/>
        <c:axId val="259389024"/>
        <c:axId val="259389416"/>
      </c:lineChart>
      <c:catAx>
        <c:axId val="259389024"/>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9389416"/>
        <c:crosses val="autoZero"/>
        <c:auto val="1"/>
        <c:lblAlgn val="ctr"/>
        <c:lblOffset val="100"/>
        <c:noMultiLvlLbl val="0"/>
      </c:catAx>
      <c:valAx>
        <c:axId val="259389416"/>
        <c:scaling>
          <c:orientation val="minMax"/>
        </c:scaling>
        <c:delete val="1"/>
        <c:axPos val="l"/>
        <c:numFmt formatCode="#,##0" sourceLinked="1"/>
        <c:majorTickMark val="out"/>
        <c:minorTickMark val="none"/>
        <c:tickLblPos val="nextTo"/>
        <c:crossAx val="25938902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Deliberate Other Building Fires</a:t>
            </a:r>
            <a:endParaRPr lang="en-GB" baseline="0"/>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Dwelling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23'!$B$10:$B$16</c:f>
              <c:strCache>
                <c:ptCount val="7"/>
                <c:pt idx="0">
                  <c:v>2011-12</c:v>
                </c:pt>
                <c:pt idx="1">
                  <c:v>2012-13</c:v>
                </c:pt>
                <c:pt idx="2">
                  <c:v>2013-14</c:v>
                </c:pt>
                <c:pt idx="3">
                  <c:v>2014-15</c:v>
                </c:pt>
                <c:pt idx="4">
                  <c:v>2015-16</c:v>
                </c:pt>
                <c:pt idx="5">
                  <c:v>2016-17</c:v>
                </c:pt>
                <c:pt idx="6">
                  <c:v>2017-18</c:v>
                </c:pt>
              </c:strCache>
            </c:strRef>
          </c:cat>
          <c:val>
            <c:numRef>
              <c:f>'Figure 23'!$D$10:$D$16</c:f>
              <c:numCache>
                <c:formatCode>#,##0</c:formatCode>
                <c:ptCount val="7"/>
                <c:pt idx="0">
                  <c:v>863</c:v>
                </c:pt>
                <c:pt idx="1">
                  <c:v>689</c:v>
                </c:pt>
                <c:pt idx="2">
                  <c:v>636</c:v>
                </c:pt>
                <c:pt idx="3">
                  <c:v>566</c:v>
                </c:pt>
                <c:pt idx="4">
                  <c:v>644</c:v>
                </c:pt>
                <c:pt idx="5">
                  <c:v>557</c:v>
                </c:pt>
                <c:pt idx="6">
                  <c:v>648</c:v>
                </c:pt>
              </c:numCache>
            </c:numRef>
          </c:val>
          <c:smooth val="0"/>
          <c:extLst>
            <c:ext xmlns:c16="http://schemas.microsoft.com/office/drawing/2014/chart" uri="{C3380CC4-5D6E-409C-BE32-E72D297353CC}">
              <c16:uniqueId val="{00000000-8916-4F46-9AE0-09B0FD60E743}"/>
            </c:ext>
          </c:extLst>
        </c:ser>
        <c:dLbls>
          <c:showLegendKey val="0"/>
          <c:showVal val="0"/>
          <c:showCatName val="0"/>
          <c:showSerName val="0"/>
          <c:showPercent val="0"/>
          <c:showBubbleSize val="0"/>
        </c:dLbls>
        <c:marker val="1"/>
        <c:smooth val="0"/>
        <c:axId val="259390200"/>
        <c:axId val="259390592"/>
      </c:lineChart>
      <c:catAx>
        <c:axId val="259390200"/>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9390592"/>
        <c:crosses val="autoZero"/>
        <c:auto val="1"/>
        <c:lblAlgn val="ctr"/>
        <c:lblOffset val="100"/>
        <c:noMultiLvlLbl val="0"/>
      </c:catAx>
      <c:valAx>
        <c:axId val="259390592"/>
        <c:scaling>
          <c:orientation val="minMax"/>
        </c:scaling>
        <c:delete val="1"/>
        <c:axPos val="l"/>
        <c:numFmt formatCode="#,##0" sourceLinked="1"/>
        <c:majorTickMark val="out"/>
        <c:minorTickMark val="none"/>
        <c:tickLblPos val="nextTo"/>
        <c:crossAx val="25939020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GB"/>
              <a:t>Deliberate</a:t>
            </a:r>
            <a:r>
              <a:rPr lang="en-GB" baseline="0"/>
              <a:t> </a:t>
            </a:r>
            <a:r>
              <a:rPr lang="en-GB"/>
              <a:t>Dwelling</a:t>
            </a:r>
            <a:r>
              <a:rPr lang="en-GB" baseline="0"/>
              <a:t> Fires</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Dwelling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23'!$B$10:$B$16</c:f>
              <c:strCache>
                <c:ptCount val="7"/>
                <c:pt idx="0">
                  <c:v>2011-12</c:v>
                </c:pt>
                <c:pt idx="1">
                  <c:v>2012-13</c:v>
                </c:pt>
                <c:pt idx="2">
                  <c:v>2013-14</c:v>
                </c:pt>
                <c:pt idx="3">
                  <c:v>2014-15</c:v>
                </c:pt>
                <c:pt idx="4">
                  <c:v>2015-16</c:v>
                </c:pt>
                <c:pt idx="5">
                  <c:v>2016-17</c:v>
                </c:pt>
                <c:pt idx="6">
                  <c:v>2017-18</c:v>
                </c:pt>
              </c:strCache>
            </c:strRef>
          </c:cat>
          <c:val>
            <c:numRef>
              <c:f>'Figure 23'!$C$10:$C$16</c:f>
              <c:numCache>
                <c:formatCode>#,##0</c:formatCode>
                <c:ptCount val="7"/>
                <c:pt idx="0">
                  <c:v>1039</c:v>
                </c:pt>
                <c:pt idx="1">
                  <c:v>832</c:v>
                </c:pt>
                <c:pt idx="2">
                  <c:v>650</c:v>
                </c:pt>
                <c:pt idx="3">
                  <c:v>621</c:v>
                </c:pt>
                <c:pt idx="4">
                  <c:v>605</c:v>
                </c:pt>
                <c:pt idx="5">
                  <c:v>618</c:v>
                </c:pt>
                <c:pt idx="6">
                  <c:v>558</c:v>
                </c:pt>
              </c:numCache>
            </c:numRef>
          </c:val>
          <c:smooth val="0"/>
          <c:extLst>
            <c:ext xmlns:c16="http://schemas.microsoft.com/office/drawing/2014/chart" uri="{C3380CC4-5D6E-409C-BE32-E72D297353CC}">
              <c16:uniqueId val="{00000000-66E9-476C-BB39-0DBDD28B01F9}"/>
            </c:ext>
          </c:extLst>
        </c:ser>
        <c:dLbls>
          <c:showLegendKey val="0"/>
          <c:showVal val="0"/>
          <c:showCatName val="0"/>
          <c:showSerName val="0"/>
          <c:showPercent val="0"/>
          <c:showBubbleSize val="0"/>
        </c:dLbls>
        <c:marker val="1"/>
        <c:smooth val="0"/>
        <c:axId val="259391376"/>
        <c:axId val="259391768"/>
      </c:lineChart>
      <c:catAx>
        <c:axId val="259391376"/>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9391768"/>
        <c:crosses val="autoZero"/>
        <c:auto val="1"/>
        <c:lblAlgn val="ctr"/>
        <c:lblOffset val="100"/>
        <c:noMultiLvlLbl val="0"/>
      </c:catAx>
      <c:valAx>
        <c:axId val="259391768"/>
        <c:scaling>
          <c:orientation val="minMax"/>
        </c:scaling>
        <c:delete val="1"/>
        <c:axPos val="l"/>
        <c:numFmt formatCode="#,##0" sourceLinked="1"/>
        <c:majorTickMark val="out"/>
        <c:minorTickMark val="none"/>
        <c:tickLblPos val="nextTo"/>
        <c:crossAx val="25939137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Accidental</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Primary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24'!$B$4:$B$10</c:f>
              <c:strCache>
                <c:ptCount val="7"/>
                <c:pt idx="0">
                  <c:v>2011-12</c:v>
                </c:pt>
                <c:pt idx="1">
                  <c:v>2012-13</c:v>
                </c:pt>
                <c:pt idx="2">
                  <c:v>2013-14</c:v>
                </c:pt>
                <c:pt idx="3">
                  <c:v>2014-15</c:v>
                </c:pt>
                <c:pt idx="4">
                  <c:v>2015-16</c:v>
                </c:pt>
                <c:pt idx="5">
                  <c:v>2016-17</c:v>
                </c:pt>
                <c:pt idx="6">
                  <c:v>2017-18</c:v>
                </c:pt>
              </c:strCache>
            </c:strRef>
          </c:cat>
          <c:val>
            <c:numRef>
              <c:f>'Figure 24'!$C$4:$C$10</c:f>
              <c:numCache>
                <c:formatCode>#,##0</c:formatCode>
                <c:ptCount val="7"/>
                <c:pt idx="0">
                  <c:v>2484</c:v>
                </c:pt>
                <c:pt idx="1">
                  <c:v>2026</c:v>
                </c:pt>
                <c:pt idx="2">
                  <c:v>2914</c:v>
                </c:pt>
                <c:pt idx="3">
                  <c:v>2239</c:v>
                </c:pt>
                <c:pt idx="4">
                  <c:v>2454</c:v>
                </c:pt>
                <c:pt idx="5">
                  <c:v>2466</c:v>
                </c:pt>
                <c:pt idx="6">
                  <c:v>2595</c:v>
                </c:pt>
              </c:numCache>
            </c:numRef>
          </c:val>
          <c:smooth val="0"/>
          <c:extLst>
            <c:ext xmlns:c16="http://schemas.microsoft.com/office/drawing/2014/chart" uri="{C3380CC4-5D6E-409C-BE32-E72D297353CC}">
              <c16:uniqueId val="{00000000-F609-4118-8D2F-2EC790111AA6}"/>
            </c:ext>
          </c:extLst>
        </c:ser>
        <c:dLbls>
          <c:showLegendKey val="0"/>
          <c:showVal val="0"/>
          <c:showCatName val="0"/>
          <c:showSerName val="0"/>
          <c:showPercent val="0"/>
          <c:showBubbleSize val="0"/>
        </c:dLbls>
        <c:marker val="1"/>
        <c:smooth val="0"/>
        <c:axId val="259392552"/>
        <c:axId val="259392944"/>
      </c:lineChart>
      <c:catAx>
        <c:axId val="259392552"/>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9392944"/>
        <c:crosses val="autoZero"/>
        <c:auto val="1"/>
        <c:lblAlgn val="ctr"/>
        <c:lblOffset val="100"/>
        <c:noMultiLvlLbl val="0"/>
      </c:catAx>
      <c:valAx>
        <c:axId val="259392944"/>
        <c:scaling>
          <c:orientation val="minMax"/>
        </c:scaling>
        <c:delete val="1"/>
        <c:axPos val="l"/>
        <c:numFmt formatCode="#,##0" sourceLinked="1"/>
        <c:majorTickMark val="out"/>
        <c:minorTickMark val="none"/>
        <c:tickLblPos val="nextTo"/>
        <c:crossAx val="25939255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1">
                    <a:lumMod val="75000"/>
                    <a:lumOff val="25000"/>
                  </a:schemeClr>
                </a:solidFill>
              </a:defRPr>
            </a:pPr>
            <a:r>
              <a:rPr lang="en-US"/>
              <a:t>Deliberate</a:t>
            </a:r>
          </a:p>
        </c:rich>
      </c:tx>
      <c:layout>
        <c:manualLayout>
          <c:xMode val="edge"/>
          <c:yMode val="edge"/>
          <c:x val="2.3694378318989202E-2"/>
          <c:y val="7.5535341305791965E-3"/>
        </c:manualLayout>
      </c:layout>
      <c:overlay val="0"/>
    </c:title>
    <c:autoTitleDeleted val="0"/>
    <c:plotArea>
      <c:layout>
        <c:manualLayout>
          <c:layoutTarget val="inner"/>
          <c:xMode val="edge"/>
          <c:yMode val="edge"/>
          <c:x val="8.9077100656535582E-3"/>
          <c:y val="0.20813630374748124"/>
          <c:w val="0.97335156634832409"/>
          <c:h val="0.64996678483325498"/>
        </c:manualLayout>
      </c:layout>
      <c:lineChart>
        <c:grouping val="standard"/>
        <c:varyColors val="0"/>
        <c:ser>
          <c:idx val="0"/>
          <c:order val="0"/>
          <c:tx>
            <c:v>Primary Fires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24'!$B$4:$B$10</c:f>
              <c:strCache>
                <c:ptCount val="7"/>
                <c:pt idx="0">
                  <c:v>2011-12</c:v>
                </c:pt>
                <c:pt idx="1">
                  <c:v>2012-13</c:v>
                </c:pt>
                <c:pt idx="2">
                  <c:v>2013-14</c:v>
                </c:pt>
                <c:pt idx="3">
                  <c:v>2014-15</c:v>
                </c:pt>
                <c:pt idx="4">
                  <c:v>2015-16</c:v>
                </c:pt>
                <c:pt idx="5">
                  <c:v>2016-17</c:v>
                </c:pt>
                <c:pt idx="6">
                  <c:v>2017-18</c:v>
                </c:pt>
              </c:strCache>
            </c:strRef>
          </c:cat>
          <c:val>
            <c:numRef>
              <c:f>'Figure 24'!$D$4:$D$10</c:f>
              <c:numCache>
                <c:formatCode>#,##0</c:formatCode>
                <c:ptCount val="7"/>
                <c:pt idx="0">
                  <c:v>16197</c:v>
                </c:pt>
                <c:pt idx="1">
                  <c:v>12252</c:v>
                </c:pt>
                <c:pt idx="2">
                  <c:v>13446</c:v>
                </c:pt>
                <c:pt idx="3">
                  <c:v>11167</c:v>
                </c:pt>
                <c:pt idx="4">
                  <c:v>12278</c:v>
                </c:pt>
                <c:pt idx="5">
                  <c:v>13191</c:v>
                </c:pt>
                <c:pt idx="6">
                  <c:v>12103</c:v>
                </c:pt>
              </c:numCache>
            </c:numRef>
          </c:val>
          <c:smooth val="0"/>
          <c:extLst>
            <c:ext xmlns:c16="http://schemas.microsoft.com/office/drawing/2014/chart" uri="{C3380CC4-5D6E-409C-BE32-E72D297353CC}">
              <c16:uniqueId val="{00000000-02DB-42EF-AA36-47F93443C93F}"/>
            </c:ext>
          </c:extLst>
        </c:ser>
        <c:dLbls>
          <c:showLegendKey val="0"/>
          <c:showVal val="0"/>
          <c:showCatName val="0"/>
          <c:showSerName val="0"/>
          <c:showPercent val="0"/>
          <c:showBubbleSize val="0"/>
        </c:dLbls>
        <c:marker val="1"/>
        <c:smooth val="0"/>
        <c:axId val="259393728"/>
        <c:axId val="259394120"/>
      </c:lineChart>
      <c:catAx>
        <c:axId val="259393728"/>
        <c:scaling>
          <c:orientation val="minMax"/>
        </c:scaling>
        <c:delete val="0"/>
        <c:axPos val="b"/>
        <c:numFmt formatCode="General" sourceLinked="0"/>
        <c:majorTickMark val="out"/>
        <c:minorTickMark val="none"/>
        <c:tickLblPos val="nextTo"/>
        <c:spPr>
          <a:ln>
            <a:noFill/>
          </a:ln>
        </c:spPr>
        <c:txPr>
          <a:bodyPr/>
          <a:lstStyle/>
          <a:p>
            <a:pPr>
              <a:defRPr sz="900" baseline="0"/>
            </a:pPr>
            <a:endParaRPr lang="en-US"/>
          </a:p>
        </c:txPr>
        <c:crossAx val="259394120"/>
        <c:crosses val="autoZero"/>
        <c:auto val="1"/>
        <c:lblAlgn val="ctr"/>
        <c:lblOffset val="100"/>
        <c:noMultiLvlLbl val="0"/>
      </c:catAx>
      <c:valAx>
        <c:axId val="259394120"/>
        <c:scaling>
          <c:orientation val="minMax"/>
        </c:scaling>
        <c:delete val="1"/>
        <c:axPos val="l"/>
        <c:numFmt formatCode="#,##0" sourceLinked="1"/>
        <c:majorTickMark val="out"/>
        <c:minorTickMark val="none"/>
        <c:tickLblPos val="nextTo"/>
        <c:crossAx val="25939372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Hospital Visit Rates</a:t>
            </a:r>
            <a:endParaRPr lang="en-GB" baseline="0"/>
          </a:p>
        </c:rich>
      </c:tx>
      <c:overlay val="0"/>
      <c:spPr>
        <a:noFill/>
        <a:ln>
          <a:noFill/>
        </a:ln>
        <a:effectLst/>
      </c:spPr>
    </c:title>
    <c:autoTitleDeleted val="0"/>
    <c:plotArea>
      <c:layout/>
      <c:lineChart>
        <c:grouping val="standard"/>
        <c:varyColors val="0"/>
        <c:ser>
          <c:idx val="1"/>
          <c:order val="0"/>
          <c:tx>
            <c:v>Dwelling Fire Casualties per 1,000 Dwelling Fires</c:v>
          </c:tx>
          <c:spPr>
            <a:ln>
              <a:solidFill>
                <a:schemeClr val="tx1">
                  <a:lumMod val="50000"/>
                  <a:lumOff val="50000"/>
                </a:schemeClr>
              </a:solidFill>
              <a:prstDash val="sysDash"/>
            </a:ln>
          </c:spPr>
          <c:marker>
            <c:spPr>
              <a:solidFill>
                <a:schemeClr val="tx1">
                  <a:lumMod val="50000"/>
                  <a:lumOff val="50000"/>
                </a:schemeClr>
              </a:solidFill>
              <a:ln>
                <a:solidFill>
                  <a:schemeClr val="tx1">
                    <a:lumMod val="50000"/>
                    <a:lumOff val="50000"/>
                  </a:schemeClr>
                </a:solidFill>
                <a:prstDash val="sysDash"/>
              </a:ln>
            </c:spPr>
          </c:marker>
          <c:cat>
            <c:strRef>
              <c:f>'Figure 25'!$A$4:$A$11</c:f>
              <c:strCache>
                <c:ptCount val="8"/>
                <c:pt idx="0">
                  <c:v>2010-11</c:v>
                </c:pt>
                <c:pt idx="1">
                  <c:v>2011-12</c:v>
                </c:pt>
                <c:pt idx="2">
                  <c:v>2012-13</c:v>
                </c:pt>
                <c:pt idx="3">
                  <c:v>2013-14</c:v>
                </c:pt>
                <c:pt idx="4">
                  <c:v>2014-15</c:v>
                </c:pt>
                <c:pt idx="5">
                  <c:v>2015-16</c:v>
                </c:pt>
                <c:pt idx="6">
                  <c:v>2016-17</c:v>
                </c:pt>
                <c:pt idx="7">
                  <c:v>2017-18</c:v>
                </c:pt>
              </c:strCache>
            </c:strRef>
          </c:cat>
          <c:val>
            <c:numRef>
              <c:f>'Figure 25'!$C$4:$C$11</c:f>
              <c:numCache>
                <c:formatCode>General</c:formatCode>
                <c:ptCount val="8"/>
                <c:pt idx="0">
                  <c:v>86.19047619047619</c:v>
                </c:pt>
                <c:pt idx="1">
                  <c:v>81.006493506493513</c:v>
                </c:pt>
                <c:pt idx="2">
                  <c:v>71.453050034270049</c:v>
                </c:pt>
                <c:pt idx="3">
                  <c:v>78.927634045744284</c:v>
                </c:pt>
                <c:pt idx="4">
                  <c:v>67.717663919742023</c:v>
                </c:pt>
                <c:pt idx="5">
                  <c:v>66.584463625154129</c:v>
                </c:pt>
                <c:pt idx="6">
                  <c:v>67.411679884643107</c:v>
                </c:pt>
                <c:pt idx="7">
                  <c:v>64.97175141242937</c:v>
                </c:pt>
              </c:numCache>
            </c:numRef>
          </c:val>
          <c:smooth val="0"/>
          <c:extLst>
            <c:ext xmlns:c16="http://schemas.microsoft.com/office/drawing/2014/chart" uri="{C3380CC4-5D6E-409C-BE32-E72D297353CC}">
              <c16:uniqueId val="{00000000-D5E8-42AC-8618-11CEE57380D5}"/>
            </c:ext>
          </c:extLst>
        </c:ser>
        <c:ser>
          <c:idx val="0"/>
          <c:order val="1"/>
          <c:tx>
            <c:v>Casualties per 1,000 Primary Fires</c:v>
          </c:tx>
          <c:spPr>
            <a:ln>
              <a:solidFill>
                <a:schemeClr val="tx1">
                  <a:lumMod val="50000"/>
                  <a:lumOff val="50000"/>
                </a:schemeClr>
              </a:solidFill>
            </a:ln>
          </c:spPr>
          <c:marker>
            <c:spPr>
              <a:solidFill>
                <a:schemeClr val="tx1">
                  <a:lumMod val="50000"/>
                  <a:lumOff val="50000"/>
                </a:schemeClr>
              </a:solidFill>
              <a:ln>
                <a:solidFill>
                  <a:schemeClr val="tx1">
                    <a:lumMod val="50000"/>
                    <a:lumOff val="50000"/>
                  </a:schemeClr>
                </a:solidFill>
              </a:ln>
            </c:spPr>
          </c:marker>
          <c:cat>
            <c:strRef>
              <c:f>'Figure 25'!$A$4:$A$11</c:f>
              <c:strCache>
                <c:ptCount val="8"/>
                <c:pt idx="0">
                  <c:v>2010-11</c:v>
                </c:pt>
                <c:pt idx="1">
                  <c:v>2011-12</c:v>
                </c:pt>
                <c:pt idx="2">
                  <c:v>2012-13</c:v>
                </c:pt>
                <c:pt idx="3">
                  <c:v>2013-14</c:v>
                </c:pt>
                <c:pt idx="4">
                  <c:v>2014-15</c:v>
                </c:pt>
                <c:pt idx="5">
                  <c:v>2015-16</c:v>
                </c:pt>
                <c:pt idx="6">
                  <c:v>2016-17</c:v>
                </c:pt>
                <c:pt idx="7">
                  <c:v>2017-18</c:v>
                </c:pt>
              </c:strCache>
            </c:strRef>
          </c:cat>
          <c:val>
            <c:numRef>
              <c:f>'Figure 25'!$E$4:$E$11</c:f>
              <c:numCache>
                <c:formatCode>General</c:formatCode>
                <c:ptCount val="8"/>
                <c:pt idx="0">
                  <c:v>48.795272010910743</c:v>
                </c:pt>
                <c:pt idx="1">
                  <c:v>48.09086515224746</c:v>
                </c:pt>
                <c:pt idx="2">
                  <c:v>44.983322816190395</c:v>
                </c:pt>
                <c:pt idx="3">
                  <c:v>49.245658980927985</c:v>
                </c:pt>
                <c:pt idx="4">
                  <c:v>41.811519308465662</c:v>
                </c:pt>
                <c:pt idx="5">
                  <c:v>45.491691637156087</c:v>
                </c:pt>
                <c:pt idx="6">
                  <c:v>41.177549523110784</c:v>
                </c:pt>
                <c:pt idx="7">
                  <c:v>39.140229021963584</c:v>
                </c:pt>
              </c:numCache>
            </c:numRef>
          </c:val>
          <c:smooth val="0"/>
          <c:extLst>
            <c:ext xmlns:c16="http://schemas.microsoft.com/office/drawing/2014/chart" uri="{C3380CC4-5D6E-409C-BE32-E72D297353CC}">
              <c16:uniqueId val="{00000001-D5E8-42AC-8618-11CEE57380D5}"/>
            </c:ext>
          </c:extLst>
        </c:ser>
        <c:dLbls>
          <c:showLegendKey val="0"/>
          <c:showVal val="0"/>
          <c:showCatName val="0"/>
          <c:showSerName val="0"/>
          <c:showPercent val="0"/>
          <c:showBubbleSize val="0"/>
        </c:dLbls>
        <c:marker val="1"/>
        <c:smooth val="0"/>
        <c:axId val="259395296"/>
        <c:axId val="259395688"/>
      </c:lineChart>
      <c:catAx>
        <c:axId val="25939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395688"/>
        <c:crosses val="autoZero"/>
        <c:auto val="1"/>
        <c:lblAlgn val="ctr"/>
        <c:lblOffset val="100"/>
        <c:noMultiLvlLbl val="0"/>
      </c:catAx>
      <c:valAx>
        <c:axId val="259395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395296"/>
        <c:crosses val="autoZero"/>
        <c:crossBetween val="between"/>
      </c:valAx>
    </c:plotArea>
    <c:legend>
      <c:legendPos val="r"/>
      <c:overlay val="0"/>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baseline="0"/>
              <a:t>2017-18</a:t>
            </a:r>
            <a:endParaRPr lang="en-GB"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955251141552516"/>
          <c:y val="8.5852311939268455E-2"/>
          <c:w val="0.56281278538812785"/>
          <c:h val="0.85062801932367149"/>
        </c:manualLayout>
      </c:layout>
      <c:pieChart>
        <c:varyColors val="1"/>
        <c:ser>
          <c:idx val="0"/>
          <c:order val="0"/>
          <c:dPt>
            <c:idx val="0"/>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01-D3C4-4509-926D-84FABB346E62}"/>
              </c:ext>
            </c:extLst>
          </c:dPt>
          <c:dPt>
            <c:idx val="1"/>
            <c:bubble3D val="0"/>
            <c:spPr>
              <a:solidFill>
                <a:schemeClr val="tx1"/>
              </a:solidFill>
              <a:ln w="19050">
                <a:solidFill>
                  <a:schemeClr val="lt1"/>
                </a:solidFill>
              </a:ln>
              <a:effectLst/>
            </c:spPr>
            <c:extLst>
              <c:ext xmlns:c16="http://schemas.microsoft.com/office/drawing/2014/chart" uri="{C3380CC4-5D6E-409C-BE32-E72D297353CC}">
                <c16:uniqueId val="{00000003-D3C4-4509-926D-84FABB346E62}"/>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D3C4-4509-926D-84FABB346E62}"/>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7-D3C4-4509-926D-84FABB346E62}"/>
              </c:ext>
            </c:extLst>
          </c:dPt>
          <c:dPt>
            <c:idx val="4"/>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9-D3C4-4509-926D-84FABB346E62}"/>
              </c:ext>
            </c:extLst>
          </c:dPt>
          <c:dPt>
            <c:idx val="5"/>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B-D3C4-4509-926D-84FABB346E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3C4-4509-926D-84FABB346E62}"/>
              </c:ext>
            </c:extLst>
          </c:dPt>
          <c:dPt>
            <c:idx val="7"/>
            <c:bubble3D val="0"/>
            <c:spPr>
              <a:solidFill>
                <a:schemeClr val="tx1"/>
              </a:solidFill>
              <a:ln w="19050">
                <a:solidFill>
                  <a:schemeClr val="lt1"/>
                </a:solidFill>
              </a:ln>
              <a:effectLst/>
            </c:spPr>
            <c:extLst>
              <c:ext xmlns:c16="http://schemas.microsoft.com/office/drawing/2014/chart" uri="{C3380CC4-5D6E-409C-BE32-E72D297353CC}">
                <c16:uniqueId val="{0000000F-D3C4-4509-926D-84FABB346E62}"/>
              </c:ext>
            </c:extLst>
          </c:dPt>
          <c:dLbls>
            <c:dLbl>
              <c:idx val="0"/>
              <c:numFmt formatCode="0.0%" sourceLinked="0"/>
              <c:spPr>
                <a:noFill/>
                <a:ln>
                  <a:noFill/>
                </a:ln>
                <a:effectLst/>
              </c:spPr>
              <c:txPr>
                <a:bodyPr rot="0" spcFirstLastPara="1" vertOverflow="ellipsis" vert="horz" wrap="square" lIns="38100" tIns="19050" rIns="38100" bIns="19050" anchor="ctr" anchorCtr="0">
                  <a:spAutoFit/>
                </a:bodyPr>
                <a:lstStyle/>
                <a:p>
                  <a:pPr algn="ctr" rtl="0">
                    <a:defRPr lang="en-GB" sz="10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extLst>
                <c:ext xmlns:c16="http://schemas.microsoft.com/office/drawing/2014/chart" uri="{C3380CC4-5D6E-409C-BE32-E72D297353CC}">
                  <c16:uniqueId val="{00000001-D3C4-4509-926D-84FABB346E62}"/>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6="http://schemas.microsoft.com/office/drawing/2014/chart" uri="{C3380CC4-5D6E-409C-BE32-E72D297353CC}">
                  <c16:uniqueId val="{00000005-D3C4-4509-926D-84FABB346E62}"/>
                </c:ext>
              </c:extLst>
            </c:dLbl>
            <c:dLbl>
              <c:idx val="3"/>
              <c:layout>
                <c:manualLayout>
                  <c:x val="2.3081292920576458E-3"/>
                  <c:y val="9.047564706585589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C4-4509-926D-84FABB346E6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26'!$F$7:$F$12</c:f>
              <c:strCache>
                <c:ptCount val="6"/>
                <c:pt idx="0">
                  <c:v>Cooking Appliance</c:v>
                </c:pt>
                <c:pt idx="1">
                  <c:v>Smoking Related</c:v>
                </c:pt>
                <c:pt idx="2">
                  <c:v>Electrical Supply</c:v>
                </c:pt>
                <c:pt idx="3">
                  <c:v>Heating Equipment</c:v>
                </c:pt>
                <c:pt idx="4">
                  <c:v>Other Domestic Appliance</c:v>
                </c:pt>
                <c:pt idx="5">
                  <c:v>Other</c:v>
                </c:pt>
              </c:strCache>
            </c:strRef>
          </c:cat>
          <c:val>
            <c:numRef>
              <c:f>'Figure 26'!$G$7:$G$12</c:f>
              <c:numCache>
                <c:formatCode>General</c:formatCode>
                <c:ptCount val="6"/>
                <c:pt idx="0">
                  <c:v>0.62058080808080807</c:v>
                </c:pt>
                <c:pt idx="1">
                  <c:v>7.7441077441077436E-2</c:v>
                </c:pt>
                <c:pt idx="2">
                  <c:v>7.1759259259259259E-2</c:v>
                </c:pt>
                <c:pt idx="3">
                  <c:v>4.1245791245791252E-2</c:v>
                </c:pt>
                <c:pt idx="4">
                  <c:v>7.4074074074074084E-2</c:v>
                </c:pt>
                <c:pt idx="5">
                  <c:v>0.11489898989898994</c:v>
                </c:pt>
              </c:numCache>
            </c:numRef>
          </c:val>
          <c:extLst>
            <c:ext xmlns:c16="http://schemas.microsoft.com/office/drawing/2014/chart" uri="{C3380CC4-5D6E-409C-BE32-E72D297353CC}">
              <c16:uniqueId val="{00000010-D3C4-4509-926D-84FABB346E6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baseline="0"/>
              <a:t>5 year average</a:t>
            </a:r>
            <a:endParaRPr lang="en-GB"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955251141552516"/>
          <c:y val="8.5852311939268455E-2"/>
          <c:w val="0.56281278538812785"/>
          <c:h val="0.85062801932367149"/>
        </c:manualLayout>
      </c:layout>
      <c:pieChart>
        <c:varyColors val="1"/>
        <c:ser>
          <c:idx val="0"/>
          <c:order val="0"/>
          <c:dPt>
            <c:idx val="0"/>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01-D3C4-4509-926D-84FABB346E62}"/>
              </c:ext>
            </c:extLst>
          </c:dPt>
          <c:dPt>
            <c:idx val="1"/>
            <c:bubble3D val="0"/>
            <c:spPr>
              <a:solidFill>
                <a:schemeClr val="tx1"/>
              </a:solidFill>
              <a:ln w="19050">
                <a:solidFill>
                  <a:schemeClr val="lt1"/>
                </a:solidFill>
              </a:ln>
              <a:effectLst/>
            </c:spPr>
            <c:extLst>
              <c:ext xmlns:c16="http://schemas.microsoft.com/office/drawing/2014/chart" uri="{C3380CC4-5D6E-409C-BE32-E72D297353CC}">
                <c16:uniqueId val="{00000003-D3C4-4509-926D-84FABB346E62}"/>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D3C4-4509-926D-84FABB346E62}"/>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7-D3C4-4509-926D-84FABB346E62}"/>
              </c:ext>
            </c:extLst>
          </c:dPt>
          <c:dPt>
            <c:idx val="4"/>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9-D3C4-4509-926D-84FABB346E62}"/>
              </c:ext>
            </c:extLst>
          </c:dPt>
          <c:dPt>
            <c:idx val="5"/>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B-D3C4-4509-926D-84FABB346E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3C4-4509-926D-84FABB346E62}"/>
              </c:ext>
            </c:extLst>
          </c:dPt>
          <c:dPt>
            <c:idx val="7"/>
            <c:bubble3D val="0"/>
            <c:spPr>
              <a:solidFill>
                <a:schemeClr val="tx1"/>
              </a:solidFill>
              <a:ln w="19050">
                <a:solidFill>
                  <a:schemeClr val="lt1"/>
                </a:solidFill>
              </a:ln>
              <a:effectLst/>
            </c:spPr>
            <c:extLst>
              <c:ext xmlns:c16="http://schemas.microsoft.com/office/drawing/2014/chart" uri="{C3380CC4-5D6E-409C-BE32-E72D297353CC}">
                <c16:uniqueId val="{0000000F-D3C4-4509-926D-84FABB346E62}"/>
              </c:ext>
            </c:extLst>
          </c:dPt>
          <c:dLbls>
            <c:dLbl>
              <c:idx val="0"/>
              <c:numFmt formatCode="0.0%" sourceLinked="0"/>
              <c:spPr>
                <a:noFill/>
                <a:ln>
                  <a:noFill/>
                </a:ln>
                <a:effectLst/>
              </c:spPr>
              <c:txPr>
                <a:bodyPr rot="0" spcFirstLastPara="1" vertOverflow="ellipsis" vert="horz" wrap="square" lIns="38100" tIns="19050" rIns="38100" bIns="19050" anchor="ctr" anchorCtr="0">
                  <a:spAutoFit/>
                </a:bodyPr>
                <a:lstStyle/>
                <a:p>
                  <a:pPr algn="ctr" rtl="0">
                    <a:defRPr lang="en-GB" sz="10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extLst>
                <c:ext xmlns:c16="http://schemas.microsoft.com/office/drawing/2014/chart" uri="{C3380CC4-5D6E-409C-BE32-E72D297353CC}">
                  <c16:uniqueId val="{00000001-D3C4-4509-926D-84FABB346E62}"/>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6="http://schemas.microsoft.com/office/drawing/2014/chart" uri="{C3380CC4-5D6E-409C-BE32-E72D297353CC}">
                  <c16:uniqueId val="{00000005-D3C4-4509-926D-84FABB346E62}"/>
                </c:ext>
              </c:extLst>
            </c:dLbl>
            <c:dLbl>
              <c:idx val="3"/>
              <c:layout>
                <c:manualLayout>
                  <c:x val="2.3081292920576458E-3"/>
                  <c:y val="9.047564706585589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C4-4509-926D-84FABB346E6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26'!$F$7:$F$12</c:f>
              <c:strCache>
                <c:ptCount val="6"/>
                <c:pt idx="0">
                  <c:v>Cooking Appliance</c:v>
                </c:pt>
                <c:pt idx="1">
                  <c:v>Smoking Related</c:v>
                </c:pt>
                <c:pt idx="2">
                  <c:v>Electrical Supply</c:v>
                </c:pt>
                <c:pt idx="3">
                  <c:v>Heating Equipment</c:v>
                </c:pt>
                <c:pt idx="4">
                  <c:v>Other Domestic Appliance</c:v>
                </c:pt>
                <c:pt idx="5">
                  <c:v>Other</c:v>
                </c:pt>
              </c:strCache>
            </c:strRef>
          </c:cat>
          <c:val>
            <c:numRef>
              <c:f>'Figure 26'!$H$7:$H$12</c:f>
              <c:numCache>
                <c:formatCode>General</c:formatCode>
                <c:ptCount val="6"/>
                <c:pt idx="0">
                  <c:v>0.62264846919955741</c:v>
                </c:pt>
                <c:pt idx="1">
                  <c:v>7.3486618304028861E-2</c:v>
                </c:pt>
                <c:pt idx="2">
                  <c:v>7.8937661379564719E-2</c:v>
                </c:pt>
                <c:pt idx="3">
                  <c:v>3.9550801262346821E-2</c:v>
                </c:pt>
                <c:pt idx="4">
                  <c:v>6.9879913111193084E-2</c:v>
                </c:pt>
                <c:pt idx="5">
                  <c:v>0.11549653674330906</c:v>
                </c:pt>
              </c:numCache>
            </c:numRef>
          </c:val>
          <c:extLst>
            <c:ext xmlns:c16="http://schemas.microsoft.com/office/drawing/2014/chart" uri="{C3380CC4-5D6E-409C-BE32-E72D297353CC}">
              <c16:uniqueId val="{00000010-D3C4-4509-926D-84FABB346E6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v>All Primary Fires</c:v>
          </c:tx>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'24'!$B$4:$Y$4</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'24'!$B$15:$Y$15</c:f>
              <c:numCache>
                <c:formatCode>General</c:formatCode>
                <c:ptCount val="24"/>
                <c:pt idx="0">
                  <c:v>396</c:v>
                </c:pt>
                <c:pt idx="1">
                  <c:v>374</c:v>
                </c:pt>
                <c:pt idx="2">
                  <c:v>300</c:v>
                </c:pt>
                <c:pt idx="3">
                  <c:v>242</c:v>
                </c:pt>
                <c:pt idx="4">
                  <c:v>201</c:v>
                </c:pt>
                <c:pt idx="5">
                  <c:v>179</c:v>
                </c:pt>
                <c:pt idx="6">
                  <c:v>164</c:v>
                </c:pt>
                <c:pt idx="7">
                  <c:v>234</c:v>
                </c:pt>
                <c:pt idx="8">
                  <c:v>290</c:v>
                </c:pt>
                <c:pt idx="9">
                  <c:v>344</c:v>
                </c:pt>
                <c:pt idx="10">
                  <c:v>355</c:v>
                </c:pt>
                <c:pt idx="11">
                  <c:v>433</c:v>
                </c:pt>
                <c:pt idx="12">
                  <c:v>457</c:v>
                </c:pt>
                <c:pt idx="13">
                  <c:v>487</c:v>
                </c:pt>
                <c:pt idx="14">
                  <c:v>556</c:v>
                </c:pt>
                <c:pt idx="15">
                  <c:v>568</c:v>
                </c:pt>
                <c:pt idx="16">
                  <c:v>618</c:v>
                </c:pt>
                <c:pt idx="17">
                  <c:v>761</c:v>
                </c:pt>
                <c:pt idx="18">
                  <c:v>731</c:v>
                </c:pt>
                <c:pt idx="19">
                  <c:v>707</c:v>
                </c:pt>
                <c:pt idx="20">
                  <c:v>687</c:v>
                </c:pt>
                <c:pt idx="21">
                  <c:v>596</c:v>
                </c:pt>
                <c:pt idx="22">
                  <c:v>517</c:v>
                </c:pt>
                <c:pt idx="23">
                  <c:v>457</c:v>
                </c:pt>
              </c:numCache>
            </c:numRef>
          </c:val>
          <c:extLst>
            <c:ext xmlns:c16="http://schemas.microsoft.com/office/drawing/2014/chart" uri="{C3380CC4-5D6E-409C-BE32-E72D297353CC}">
              <c16:uniqueId val="{00000000-7DC7-4D41-B475-445A6E204107}"/>
            </c:ext>
          </c:extLst>
        </c:ser>
        <c:dLbls>
          <c:showLegendKey val="0"/>
          <c:showVal val="0"/>
          <c:showCatName val="0"/>
          <c:showSerName val="0"/>
          <c:showPercent val="0"/>
          <c:showBubbleSize val="0"/>
        </c:dLbls>
        <c:axId val="261779784"/>
        <c:axId val="261780176"/>
      </c:radarChart>
      <c:catAx>
        <c:axId val="261779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1780176"/>
        <c:crosses val="autoZero"/>
        <c:auto val="1"/>
        <c:lblAlgn val="ctr"/>
        <c:lblOffset val="100"/>
        <c:noMultiLvlLbl val="0"/>
      </c:catAx>
      <c:valAx>
        <c:axId val="261780176"/>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17797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2700" cap="rnd">
              <a:solidFill>
                <a:schemeClr val="tx1">
                  <a:lumMod val="50000"/>
                  <a:lumOff val="50000"/>
                </a:schemeClr>
              </a:solidFill>
              <a:round/>
            </a:ln>
            <a:effectLst/>
          </c:spPr>
          <c:marker>
            <c:symbol val="none"/>
          </c:marker>
          <c:val>
            <c:numRef>
              <c:f>'Figure Long-Term Trend'!$H$47:$H$50</c:f>
              <c:numCache>
                <c:formatCode>General</c:formatCode>
                <c:ptCount val="4"/>
                <c:pt idx="0">
                  <c:v>2</c:v>
                </c:pt>
                <c:pt idx="1">
                  <c:v>0</c:v>
                </c:pt>
                <c:pt idx="2">
                  <c:v>2</c:v>
                </c:pt>
                <c:pt idx="3">
                  <c:v>0</c:v>
                </c:pt>
              </c:numCache>
            </c:numRef>
          </c:val>
          <c:smooth val="0"/>
          <c:extLst>
            <c:ext xmlns:c16="http://schemas.microsoft.com/office/drawing/2014/chart" uri="{C3380CC4-5D6E-409C-BE32-E72D297353CC}">
              <c16:uniqueId val="{00000000-F675-4BEF-A9AC-EEB421EDB282}"/>
            </c:ext>
          </c:extLst>
        </c:ser>
        <c:ser>
          <c:idx val="1"/>
          <c:order val="1"/>
          <c:spPr>
            <a:ln w="12700" cap="rnd">
              <a:solidFill>
                <a:schemeClr val="tx1">
                  <a:lumMod val="50000"/>
                  <a:lumOff val="50000"/>
                </a:schemeClr>
              </a:solidFill>
              <a:round/>
            </a:ln>
            <a:effectLst/>
          </c:spPr>
          <c:marker>
            <c:symbol val="none"/>
          </c:marker>
          <c:val>
            <c:numRef>
              <c:f>'Figure Long-Term Trend'!$I$47:$I$50</c:f>
              <c:numCache>
                <c:formatCode>General</c:formatCode>
                <c:ptCount val="4"/>
                <c:pt idx="0">
                  <c:v>4</c:v>
                </c:pt>
                <c:pt idx="1">
                  <c:v>2</c:v>
                </c:pt>
                <c:pt idx="2">
                  <c:v>4</c:v>
                </c:pt>
                <c:pt idx="3">
                  <c:v>2</c:v>
                </c:pt>
              </c:numCache>
            </c:numRef>
          </c:val>
          <c:smooth val="0"/>
          <c:extLst>
            <c:ext xmlns:c16="http://schemas.microsoft.com/office/drawing/2014/chart" uri="{C3380CC4-5D6E-409C-BE32-E72D297353CC}">
              <c16:uniqueId val="{00000001-F675-4BEF-A9AC-EEB421EDB282}"/>
            </c:ext>
          </c:extLst>
        </c:ser>
        <c:dLbls>
          <c:showLegendKey val="0"/>
          <c:showVal val="0"/>
          <c:showCatName val="0"/>
          <c:showSerName val="0"/>
          <c:showPercent val="0"/>
          <c:showBubbleSize val="0"/>
        </c:dLbls>
        <c:smooth val="0"/>
        <c:axId val="230492192"/>
        <c:axId val="230877016"/>
      </c:lineChart>
      <c:catAx>
        <c:axId val="230492192"/>
        <c:scaling>
          <c:orientation val="minMax"/>
        </c:scaling>
        <c:delete val="1"/>
        <c:axPos val="b"/>
        <c:majorTickMark val="none"/>
        <c:minorTickMark val="none"/>
        <c:tickLblPos val="nextTo"/>
        <c:crossAx val="230877016"/>
        <c:crosses val="autoZero"/>
        <c:auto val="1"/>
        <c:lblAlgn val="ctr"/>
        <c:lblOffset val="100"/>
        <c:noMultiLvlLbl val="0"/>
      </c:catAx>
      <c:valAx>
        <c:axId val="230877016"/>
        <c:scaling>
          <c:orientation val="minMax"/>
        </c:scaling>
        <c:delete val="1"/>
        <c:axPos val="l"/>
        <c:numFmt formatCode="General" sourceLinked="1"/>
        <c:majorTickMark val="none"/>
        <c:minorTickMark val="none"/>
        <c:tickLblPos val="nextTo"/>
        <c:crossAx val="2304921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Dwelling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'24'!$B$4:$Y$4</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'24'!$B$30:$Y$30</c:f>
              <c:numCache>
                <c:formatCode>General</c:formatCode>
                <c:ptCount val="24"/>
                <c:pt idx="0">
                  <c:v>188</c:v>
                </c:pt>
                <c:pt idx="1">
                  <c:v>145</c:v>
                </c:pt>
                <c:pt idx="2">
                  <c:v>132</c:v>
                </c:pt>
                <c:pt idx="3">
                  <c:v>99</c:v>
                </c:pt>
                <c:pt idx="4">
                  <c:v>99</c:v>
                </c:pt>
                <c:pt idx="5">
                  <c:v>69</c:v>
                </c:pt>
                <c:pt idx="6">
                  <c:v>64</c:v>
                </c:pt>
                <c:pt idx="7">
                  <c:v>98</c:v>
                </c:pt>
                <c:pt idx="8">
                  <c:v>135</c:v>
                </c:pt>
                <c:pt idx="9">
                  <c:v>144</c:v>
                </c:pt>
                <c:pt idx="10">
                  <c:v>175</c:v>
                </c:pt>
                <c:pt idx="11">
                  <c:v>209</c:v>
                </c:pt>
                <c:pt idx="12">
                  <c:v>239</c:v>
                </c:pt>
                <c:pt idx="13">
                  <c:v>258</c:v>
                </c:pt>
                <c:pt idx="14">
                  <c:v>282</c:v>
                </c:pt>
                <c:pt idx="15">
                  <c:v>304</c:v>
                </c:pt>
                <c:pt idx="16">
                  <c:v>347</c:v>
                </c:pt>
                <c:pt idx="17">
                  <c:v>460</c:v>
                </c:pt>
                <c:pt idx="18">
                  <c:v>402</c:v>
                </c:pt>
                <c:pt idx="19">
                  <c:v>349</c:v>
                </c:pt>
                <c:pt idx="20">
                  <c:v>352</c:v>
                </c:pt>
                <c:pt idx="21">
                  <c:v>308</c:v>
                </c:pt>
                <c:pt idx="22">
                  <c:v>248</c:v>
                </c:pt>
                <c:pt idx="23">
                  <c:v>204</c:v>
                </c:pt>
              </c:numCache>
            </c:numRef>
          </c:val>
          <c:extLst>
            <c:ext xmlns:c16="http://schemas.microsoft.com/office/drawing/2014/chart" uri="{C3380CC4-5D6E-409C-BE32-E72D297353CC}">
              <c16:uniqueId val="{00000000-A0F9-441F-B109-F16802CBF554}"/>
            </c:ext>
          </c:extLst>
        </c:ser>
        <c:dLbls>
          <c:showLegendKey val="0"/>
          <c:showVal val="0"/>
          <c:showCatName val="0"/>
          <c:showSerName val="0"/>
          <c:showPercent val="0"/>
          <c:showBubbleSize val="0"/>
        </c:dLbls>
        <c:axId val="261781352"/>
        <c:axId val="261781744"/>
      </c:radarChart>
      <c:catAx>
        <c:axId val="261781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1781744"/>
        <c:crosses val="autoZero"/>
        <c:auto val="1"/>
        <c:lblAlgn val="ctr"/>
        <c:lblOffset val="100"/>
        <c:noMultiLvlLbl val="0"/>
      </c:catAx>
      <c:valAx>
        <c:axId val="261781744"/>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1781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Other Building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'24'!$B$4:$Y$4</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'24'!$B$45:$Y$45</c:f>
              <c:numCache>
                <c:formatCode>General</c:formatCode>
                <c:ptCount val="24"/>
                <c:pt idx="0">
                  <c:v>65</c:v>
                </c:pt>
                <c:pt idx="1">
                  <c:v>70</c:v>
                </c:pt>
                <c:pt idx="2">
                  <c:v>52</c:v>
                </c:pt>
                <c:pt idx="3">
                  <c:v>63</c:v>
                </c:pt>
                <c:pt idx="4">
                  <c:v>32</c:v>
                </c:pt>
                <c:pt idx="5">
                  <c:v>44</c:v>
                </c:pt>
                <c:pt idx="6">
                  <c:v>45</c:v>
                </c:pt>
                <c:pt idx="7">
                  <c:v>67</c:v>
                </c:pt>
                <c:pt idx="8">
                  <c:v>78</c:v>
                </c:pt>
                <c:pt idx="9">
                  <c:v>127</c:v>
                </c:pt>
                <c:pt idx="10">
                  <c:v>98</c:v>
                </c:pt>
                <c:pt idx="11">
                  <c:v>113</c:v>
                </c:pt>
                <c:pt idx="12">
                  <c:v>120</c:v>
                </c:pt>
                <c:pt idx="13">
                  <c:v>123</c:v>
                </c:pt>
                <c:pt idx="14">
                  <c:v>122</c:v>
                </c:pt>
                <c:pt idx="15">
                  <c:v>136</c:v>
                </c:pt>
                <c:pt idx="16">
                  <c:v>113</c:v>
                </c:pt>
                <c:pt idx="17">
                  <c:v>126</c:v>
                </c:pt>
                <c:pt idx="18">
                  <c:v>135</c:v>
                </c:pt>
                <c:pt idx="19">
                  <c:v>136</c:v>
                </c:pt>
                <c:pt idx="20">
                  <c:v>126</c:v>
                </c:pt>
                <c:pt idx="21">
                  <c:v>113</c:v>
                </c:pt>
                <c:pt idx="22">
                  <c:v>96</c:v>
                </c:pt>
                <c:pt idx="23">
                  <c:v>81</c:v>
                </c:pt>
              </c:numCache>
            </c:numRef>
          </c:val>
          <c:extLst>
            <c:ext xmlns:c16="http://schemas.microsoft.com/office/drawing/2014/chart" uri="{C3380CC4-5D6E-409C-BE32-E72D297353CC}">
              <c16:uniqueId val="{00000000-49F4-41DC-ADF1-C1611EF1ADA8}"/>
            </c:ext>
          </c:extLst>
        </c:ser>
        <c:dLbls>
          <c:showLegendKey val="0"/>
          <c:showVal val="0"/>
          <c:showCatName val="0"/>
          <c:showSerName val="0"/>
          <c:showPercent val="0"/>
          <c:showBubbleSize val="0"/>
        </c:dLbls>
        <c:axId val="261782920"/>
        <c:axId val="261783312"/>
      </c:radarChart>
      <c:catAx>
        <c:axId val="261782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1783312"/>
        <c:crosses val="autoZero"/>
        <c:auto val="1"/>
        <c:lblAlgn val="ctr"/>
        <c:lblOffset val="100"/>
        <c:noMultiLvlLbl val="0"/>
      </c:catAx>
      <c:valAx>
        <c:axId val="26178331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1782920"/>
        <c:crosses val="autoZero"/>
        <c:crossBetween val="between"/>
        <c:majorUnit val="4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Primary</a:t>
            </a:r>
            <a:r>
              <a:rPr lang="en-GB" baseline="0"/>
              <a:t> </a:t>
            </a:r>
            <a:r>
              <a:rPr lang="en-GB"/>
              <a:t>Outdoor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'24'!$B$4:$Y$4</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'24'!$B$60:$Y$60</c:f>
              <c:numCache>
                <c:formatCode>General</c:formatCode>
                <c:ptCount val="24"/>
                <c:pt idx="0">
                  <c:v>143</c:v>
                </c:pt>
                <c:pt idx="1">
                  <c:v>159</c:v>
                </c:pt>
                <c:pt idx="2">
                  <c:v>116</c:v>
                </c:pt>
                <c:pt idx="3">
                  <c:v>80</c:v>
                </c:pt>
                <c:pt idx="4">
                  <c:v>70</c:v>
                </c:pt>
                <c:pt idx="5">
                  <c:v>66</c:v>
                </c:pt>
                <c:pt idx="6">
                  <c:v>55</c:v>
                </c:pt>
                <c:pt idx="7">
                  <c:v>69</c:v>
                </c:pt>
                <c:pt idx="8">
                  <c:v>77</c:v>
                </c:pt>
                <c:pt idx="9">
                  <c:v>73</c:v>
                </c:pt>
                <c:pt idx="10">
                  <c:v>82</c:v>
                </c:pt>
                <c:pt idx="11">
                  <c:v>111</c:v>
                </c:pt>
                <c:pt idx="12">
                  <c:v>98</c:v>
                </c:pt>
                <c:pt idx="13">
                  <c:v>106</c:v>
                </c:pt>
                <c:pt idx="14">
                  <c:v>152</c:v>
                </c:pt>
                <c:pt idx="15">
                  <c:v>128</c:v>
                </c:pt>
                <c:pt idx="16">
                  <c:v>158</c:v>
                </c:pt>
                <c:pt idx="17">
                  <c:v>175</c:v>
                </c:pt>
                <c:pt idx="18">
                  <c:v>194</c:v>
                </c:pt>
                <c:pt idx="19">
                  <c:v>222</c:v>
                </c:pt>
                <c:pt idx="20">
                  <c:v>209</c:v>
                </c:pt>
                <c:pt idx="21">
                  <c:v>175</c:v>
                </c:pt>
                <c:pt idx="22">
                  <c:v>173</c:v>
                </c:pt>
                <c:pt idx="23">
                  <c:v>172</c:v>
                </c:pt>
              </c:numCache>
            </c:numRef>
          </c:val>
          <c:extLst>
            <c:ext xmlns:c16="http://schemas.microsoft.com/office/drawing/2014/chart" uri="{C3380CC4-5D6E-409C-BE32-E72D297353CC}">
              <c16:uniqueId val="{00000000-FD26-4752-939E-0F22E6B4D92D}"/>
            </c:ext>
          </c:extLst>
        </c:ser>
        <c:dLbls>
          <c:showLegendKey val="0"/>
          <c:showVal val="0"/>
          <c:showCatName val="0"/>
          <c:showSerName val="0"/>
          <c:showPercent val="0"/>
          <c:showBubbleSize val="0"/>
        </c:dLbls>
        <c:axId val="261784488"/>
        <c:axId val="261784880"/>
      </c:radarChart>
      <c:catAx>
        <c:axId val="261784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a:outerShdw blurRad="50800" dist="2540000" dir="5400000" sx="1000" sy="1000" algn="ctr" rotWithShape="0">
              <a:srgbClr val="000000">
                <a:alpha val="43137"/>
              </a:srgbClr>
            </a:outerShdw>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1784880"/>
        <c:crosses val="autoZero"/>
        <c:auto val="1"/>
        <c:lblAlgn val="ctr"/>
        <c:lblOffset val="100"/>
        <c:noMultiLvlLbl val="0"/>
      </c:catAx>
      <c:valAx>
        <c:axId val="26178488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1784488"/>
        <c:crosses val="autoZero"/>
        <c:crossBetween val="between"/>
        <c:majorUnit val="6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'Figure 28'!$I$5:$AF$5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'Figure 28'!$I$7:$AF$7</c:f>
              <c:numCache>
                <c:formatCode>General</c:formatCode>
                <c:ptCount val="24"/>
                <c:pt idx="0">
                  <c:v>7.5598488030239395</c:v>
                </c:pt>
                <c:pt idx="1">
                  <c:v>10.895310279488394</c:v>
                </c:pt>
                <c:pt idx="2">
                  <c:v>17.016449234259785</c:v>
                </c:pt>
                <c:pt idx="3">
                  <c:v>16.117729502452697</c:v>
                </c:pt>
                <c:pt idx="4">
                  <c:v>15.261044176706827</c:v>
                </c:pt>
                <c:pt idx="5">
                  <c:v>21.696252465483234</c:v>
                </c:pt>
                <c:pt idx="6">
                  <c:v>14.736842105263158</c:v>
                </c:pt>
                <c:pt idx="7">
                  <c:v>24.955436720142604</c:v>
                </c:pt>
                <c:pt idx="8">
                  <c:v>13.939838591342626</c:v>
                </c:pt>
                <c:pt idx="9">
                  <c:v>6.8220579874928937</c:v>
                </c:pt>
                <c:pt idx="10">
                  <c:v>8.1378650071804692</c:v>
                </c:pt>
                <c:pt idx="11">
                  <c:v>5.8985450255603622</c:v>
                </c:pt>
                <c:pt idx="12">
                  <c:v>5.5096418732782375</c:v>
                </c:pt>
                <c:pt idx="13">
                  <c:v>6.0336614798348682</c:v>
                </c:pt>
                <c:pt idx="14">
                  <c:v>4.3437790878063911</c:v>
                </c:pt>
                <c:pt idx="15">
                  <c:v>5.4644808743169397</c:v>
                </c:pt>
                <c:pt idx="16">
                  <c:v>6.4397424103035883</c:v>
                </c:pt>
                <c:pt idx="17">
                  <c:v>3.1847133757961785</c:v>
                </c:pt>
                <c:pt idx="18">
                  <c:v>5.5314105096799677</c:v>
                </c:pt>
                <c:pt idx="19">
                  <c:v>4.8894557823129254</c:v>
                </c:pt>
                <c:pt idx="20">
                  <c:v>4.3657530924084407</c:v>
                </c:pt>
                <c:pt idx="21">
                  <c:v>4.3668122270742353</c:v>
                </c:pt>
                <c:pt idx="22">
                  <c:v>5.6162246489859591</c:v>
                </c:pt>
                <c:pt idx="23">
                  <c:v>6.2431142122658834</c:v>
                </c:pt>
              </c:numCache>
            </c:numRef>
          </c:val>
          <c:extLst>
            <c:ext xmlns:c16="http://schemas.microsoft.com/office/drawing/2014/chart" uri="{C3380CC4-5D6E-409C-BE32-E72D297353CC}">
              <c16:uniqueId val="{00000005-A0DB-4FCB-AF99-DE66DB7985B3}"/>
            </c:ext>
          </c:extLst>
        </c:ser>
        <c:dLbls>
          <c:showLegendKey val="0"/>
          <c:showVal val="0"/>
          <c:showCatName val="0"/>
          <c:showSerName val="0"/>
          <c:showPercent val="0"/>
          <c:showBubbleSize val="0"/>
        </c:dLbls>
        <c:axId val="261786056"/>
        <c:axId val="262612432"/>
      </c:radarChart>
      <c:catAx>
        <c:axId val="261786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2612432"/>
        <c:crosses val="autoZero"/>
        <c:auto val="1"/>
        <c:lblAlgn val="ctr"/>
        <c:lblOffset val="100"/>
        <c:noMultiLvlLbl val="0"/>
      </c:catAx>
      <c:valAx>
        <c:axId val="26261243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1786056"/>
        <c:crosses val="autoZero"/>
        <c:crossBetween val="between"/>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Non-fatal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'Figure 28'!$I$5:$AF$5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'Figure 28'!$I$9:$AF$9</c:f>
              <c:numCache>
                <c:formatCode>General</c:formatCode>
                <c:ptCount val="24"/>
                <c:pt idx="0">
                  <c:v>261.23477530449389</c:v>
                </c:pt>
                <c:pt idx="1">
                  <c:v>253.90810042633822</c:v>
                </c:pt>
                <c:pt idx="2">
                  <c:v>302.89279636982417</c:v>
                </c:pt>
                <c:pt idx="3">
                  <c:v>337.07077785564121</c:v>
                </c:pt>
                <c:pt idx="4">
                  <c:v>334.13654618473896</c:v>
                </c:pt>
                <c:pt idx="5">
                  <c:v>292.89940828402365</c:v>
                </c:pt>
                <c:pt idx="6">
                  <c:v>265.26315789473688</c:v>
                </c:pt>
                <c:pt idx="7">
                  <c:v>205.88235294117646</c:v>
                </c:pt>
                <c:pt idx="8">
                  <c:v>204.69552457813649</c:v>
                </c:pt>
                <c:pt idx="9">
                  <c:v>156.90733371233657</c:v>
                </c:pt>
                <c:pt idx="10">
                  <c:v>150.78985160363811</c:v>
                </c:pt>
                <c:pt idx="11">
                  <c:v>144.31773495871019</c:v>
                </c:pt>
                <c:pt idx="12">
                  <c:v>137.39669421487602</c:v>
                </c:pt>
                <c:pt idx="13">
                  <c:v>128.92981899015561</c:v>
                </c:pt>
                <c:pt idx="14">
                  <c:v>142.10363015823765</c:v>
                </c:pt>
                <c:pt idx="15">
                  <c:v>144.95254529767041</c:v>
                </c:pt>
                <c:pt idx="16">
                  <c:v>157.7736890524379</c:v>
                </c:pt>
                <c:pt idx="17">
                  <c:v>159.04833270887971</c:v>
                </c:pt>
                <c:pt idx="18">
                  <c:v>175.622283682339</c:v>
                </c:pt>
                <c:pt idx="19">
                  <c:v>191.96428571428572</c:v>
                </c:pt>
                <c:pt idx="20">
                  <c:v>195.7312636429784</c:v>
                </c:pt>
                <c:pt idx="21">
                  <c:v>213.15502183406113</c:v>
                </c:pt>
                <c:pt idx="22">
                  <c:v>229.64118564742589</c:v>
                </c:pt>
                <c:pt idx="23">
                  <c:v>260.7418288652222</c:v>
                </c:pt>
              </c:numCache>
            </c:numRef>
          </c:val>
          <c:extLst>
            <c:ext xmlns:c16="http://schemas.microsoft.com/office/drawing/2014/chart" uri="{C3380CC4-5D6E-409C-BE32-E72D297353CC}">
              <c16:uniqueId val="{00000000-4D82-479E-9AC6-DDA01FB99407}"/>
            </c:ext>
          </c:extLst>
        </c:ser>
        <c:dLbls>
          <c:showLegendKey val="0"/>
          <c:showVal val="0"/>
          <c:showCatName val="0"/>
          <c:showSerName val="0"/>
          <c:showPercent val="0"/>
          <c:showBubbleSize val="0"/>
        </c:dLbls>
        <c:axId val="262614000"/>
        <c:axId val="262614392"/>
      </c:radarChart>
      <c:catAx>
        <c:axId val="262614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2614392"/>
        <c:crosses val="autoZero"/>
        <c:auto val="1"/>
        <c:lblAlgn val="ctr"/>
        <c:lblOffset val="100"/>
        <c:noMultiLvlLbl val="0"/>
      </c:catAx>
      <c:valAx>
        <c:axId val="26261439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2614000"/>
        <c:crosses val="autoZero"/>
        <c:crossBetween val="between"/>
        <c:majorUnit val="100"/>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Non-fatal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'Figure 28'!$I$5:$AF$5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'Figure 28'!$I$8:$AF$8</c:f>
              <c:numCache>
                <c:formatCode>#,##0</c:formatCode>
                <c:ptCount val="24"/>
                <c:pt idx="0">
                  <c:v>622</c:v>
                </c:pt>
                <c:pt idx="1">
                  <c:v>536</c:v>
                </c:pt>
                <c:pt idx="2">
                  <c:v>534</c:v>
                </c:pt>
                <c:pt idx="3">
                  <c:v>481</c:v>
                </c:pt>
                <c:pt idx="4">
                  <c:v>416</c:v>
                </c:pt>
                <c:pt idx="5">
                  <c:v>297</c:v>
                </c:pt>
                <c:pt idx="6">
                  <c:v>252</c:v>
                </c:pt>
                <c:pt idx="7">
                  <c:v>231</c:v>
                </c:pt>
                <c:pt idx="8">
                  <c:v>279</c:v>
                </c:pt>
                <c:pt idx="9">
                  <c:v>276</c:v>
                </c:pt>
                <c:pt idx="10">
                  <c:v>315</c:v>
                </c:pt>
                <c:pt idx="11">
                  <c:v>367</c:v>
                </c:pt>
                <c:pt idx="12">
                  <c:v>399</c:v>
                </c:pt>
                <c:pt idx="13">
                  <c:v>406</c:v>
                </c:pt>
                <c:pt idx="14">
                  <c:v>458</c:v>
                </c:pt>
                <c:pt idx="15">
                  <c:v>504</c:v>
                </c:pt>
                <c:pt idx="16">
                  <c:v>686</c:v>
                </c:pt>
                <c:pt idx="17">
                  <c:v>849</c:v>
                </c:pt>
                <c:pt idx="18">
                  <c:v>889</c:v>
                </c:pt>
                <c:pt idx="19">
                  <c:v>903</c:v>
                </c:pt>
                <c:pt idx="20">
                  <c:v>807</c:v>
                </c:pt>
                <c:pt idx="21">
                  <c:v>781</c:v>
                </c:pt>
                <c:pt idx="22">
                  <c:v>736</c:v>
                </c:pt>
                <c:pt idx="23">
                  <c:v>710</c:v>
                </c:pt>
              </c:numCache>
            </c:numRef>
          </c:val>
          <c:extLst>
            <c:ext xmlns:c16="http://schemas.microsoft.com/office/drawing/2014/chart" uri="{C3380CC4-5D6E-409C-BE32-E72D297353CC}">
              <c16:uniqueId val="{00000000-7920-49ED-B09C-D4E638F12213}"/>
            </c:ext>
          </c:extLst>
        </c:ser>
        <c:dLbls>
          <c:showLegendKey val="0"/>
          <c:showVal val="0"/>
          <c:showCatName val="0"/>
          <c:showSerName val="0"/>
          <c:showPercent val="0"/>
          <c:showBubbleSize val="0"/>
        </c:dLbls>
        <c:axId val="262615568"/>
        <c:axId val="262615960"/>
      </c:radarChart>
      <c:catAx>
        <c:axId val="262615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2615960"/>
        <c:crosses val="autoZero"/>
        <c:auto val="1"/>
        <c:lblAlgn val="ctr"/>
        <c:lblOffset val="100"/>
        <c:noMultiLvlLbl val="0"/>
      </c:catAx>
      <c:valAx>
        <c:axId val="262615960"/>
        <c:scaling>
          <c:orientation val="minMax"/>
          <c:max val="900"/>
        </c:scaling>
        <c:delete val="0"/>
        <c:axPos val="l"/>
        <c:majorGridlines>
          <c:spPr>
            <a:ln w="9525" cap="flat" cmpd="sng" algn="ctr">
              <a:solidFill>
                <a:schemeClr val="tx1">
                  <a:lumMod val="65000"/>
                  <a:lumOff val="35000"/>
                  <a:alpha val="14000"/>
                </a:schemeClr>
              </a:solidFill>
              <a:round/>
            </a:ln>
            <a:effectLst/>
          </c:spPr>
        </c:majorGridlines>
        <c:numFmt formatCode="#,##0"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62615568"/>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spc="0" baseline="0">
                <a:solidFill>
                  <a:sysClr val="windowText" lastClr="000000">
                    <a:lumMod val="75000"/>
                    <a:lumOff val="25000"/>
                  </a:sysClr>
                </a:solidFill>
                <a:latin typeface="+mn-lt"/>
                <a:ea typeface="+mn-ea"/>
                <a:cs typeface="+mn-cs"/>
              </a:rPr>
              <a:t>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'Figure 28'!$I$5:$AF$5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'Figure 28'!$I$6:$AF$6</c:f>
              <c:numCache>
                <c:formatCode>General</c:formatCode>
                <c:ptCount val="24"/>
                <c:pt idx="0">
                  <c:v>18</c:v>
                </c:pt>
                <c:pt idx="1">
                  <c:v>23</c:v>
                </c:pt>
                <c:pt idx="2">
                  <c:v>30</c:v>
                </c:pt>
                <c:pt idx="3">
                  <c:v>23</c:v>
                </c:pt>
                <c:pt idx="4">
                  <c:v>19</c:v>
                </c:pt>
                <c:pt idx="5">
                  <c:v>22</c:v>
                </c:pt>
                <c:pt idx="6">
                  <c:v>14</c:v>
                </c:pt>
                <c:pt idx="7">
                  <c:v>28</c:v>
                </c:pt>
                <c:pt idx="8">
                  <c:v>19</c:v>
                </c:pt>
                <c:pt idx="9">
                  <c:v>12</c:v>
                </c:pt>
                <c:pt idx="10">
                  <c:v>17</c:v>
                </c:pt>
                <c:pt idx="11">
                  <c:v>15</c:v>
                </c:pt>
                <c:pt idx="12">
                  <c:v>16</c:v>
                </c:pt>
                <c:pt idx="13">
                  <c:v>19</c:v>
                </c:pt>
                <c:pt idx="14">
                  <c:v>14</c:v>
                </c:pt>
                <c:pt idx="15">
                  <c:v>19</c:v>
                </c:pt>
                <c:pt idx="16">
                  <c:v>28</c:v>
                </c:pt>
                <c:pt idx="17">
                  <c:v>17</c:v>
                </c:pt>
                <c:pt idx="18">
                  <c:v>28</c:v>
                </c:pt>
                <c:pt idx="19">
                  <c:v>23</c:v>
                </c:pt>
                <c:pt idx="20">
                  <c:v>18</c:v>
                </c:pt>
                <c:pt idx="21">
                  <c:v>16</c:v>
                </c:pt>
                <c:pt idx="22">
                  <c:v>18</c:v>
                </c:pt>
                <c:pt idx="23">
                  <c:v>17</c:v>
                </c:pt>
              </c:numCache>
            </c:numRef>
          </c:val>
          <c:extLst>
            <c:ext xmlns:c16="http://schemas.microsoft.com/office/drawing/2014/chart" uri="{C3380CC4-5D6E-409C-BE32-E72D297353CC}">
              <c16:uniqueId val="{00000000-C8C3-4116-B0FC-ADE87E1F9004}"/>
            </c:ext>
          </c:extLst>
        </c:ser>
        <c:dLbls>
          <c:showLegendKey val="0"/>
          <c:showVal val="0"/>
          <c:showCatName val="0"/>
          <c:showSerName val="0"/>
          <c:showPercent val="0"/>
          <c:showBubbleSize val="0"/>
        </c:dLbls>
        <c:axId val="262617136"/>
        <c:axId val="262617528"/>
      </c:radarChart>
      <c:catAx>
        <c:axId val="262617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62617528"/>
        <c:crosses val="autoZero"/>
        <c:auto val="1"/>
        <c:lblAlgn val="ctr"/>
        <c:lblOffset val="100"/>
        <c:noMultiLvlLbl val="0"/>
      </c:catAx>
      <c:valAx>
        <c:axId val="26261752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2617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00099604165578E-2"/>
          <c:y val="2.4432540231545005E-2"/>
          <c:w val="0.97335156634832409"/>
          <c:h val="0.83559782196609578"/>
        </c:manualLayout>
      </c:layout>
      <c:lineChart>
        <c:grouping val="standard"/>
        <c:varyColors val="0"/>
        <c:ser>
          <c:idx val="0"/>
          <c:order val="0"/>
          <c:tx>
            <c:v>Fire Fatalities</c:v>
          </c:tx>
          <c:spPr>
            <a:ln w="19050">
              <a:solidFill>
                <a:schemeClr val="tx1">
                  <a:lumMod val="50000"/>
                  <a:lumOff val="50000"/>
                </a:schemeClr>
              </a:solidFill>
            </a:ln>
          </c:spPr>
          <c:marker>
            <c:symbol val="circle"/>
            <c:size val="7"/>
            <c:spPr>
              <a:solidFill>
                <a:schemeClr val="tx1">
                  <a:lumMod val="50000"/>
                  <a:lumOff val="50000"/>
                </a:schemeClr>
              </a:solidFill>
              <a:ln>
                <a:noFill/>
              </a:ln>
            </c:spPr>
          </c:marker>
          <c:dLbls>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5875">
                <a:solidFill>
                  <a:schemeClr val="bg1">
                    <a:lumMod val="50000"/>
                  </a:schemeClr>
                </a:solidFill>
                <a:prstDash val="dash"/>
              </a:ln>
            </c:spPr>
            <c:trendlineType val="poly"/>
            <c:order val="3"/>
            <c:dispRSqr val="0"/>
            <c:dispEq val="0"/>
          </c:trendline>
          <c:cat>
            <c:strRef>
              <c:f>'Figure Fatal Casualties'!$B$5:$B$28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'Figure Fatal Casualties'!$C$5:$C$28</c:f>
              <c:numCache>
                <c:formatCode>#,##0</c:formatCode>
                <c:ptCount val="24"/>
                <c:pt idx="0">
                  <c:v>84</c:v>
                </c:pt>
                <c:pt idx="1">
                  <c:v>90</c:v>
                </c:pt>
                <c:pt idx="2">
                  <c:v>101</c:v>
                </c:pt>
                <c:pt idx="3">
                  <c:v>89</c:v>
                </c:pt>
                <c:pt idx="4">
                  <c:v>98</c:v>
                </c:pt>
                <c:pt idx="5">
                  <c:v>111</c:v>
                </c:pt>
                <c:pt idx="6">
                  <c:v>74</c:v>
                </c:pt>
                <c:pt idx="7">
                  <c:v>87</c:v>
                </c:pt>
                <c:pt idx="8">
                  <c:v>80</c:v>
                </c:pt>
                <c:pt idx="9">
                  <c:v>89</c:v>
                </c:pt>
                <c:pt idx="10">
                  <c:v>85</c:v>
                </c:pt>
                <c:pt idx="11">
                  <c:v>60</c:v>
                </c:pt>
                <c:pt idx="12">
                  <c:v>46</c:v>
                </c:pt>
                <c:pt idx="13">
                  <c:v>72</c:v>
                </c:pt>
                <c:pt idx="14">
                  <c:v>64</c:v>
                </c:pt>
                <c:pt idx="15">
                  <c:v>62</c:v>
                </c:pt>
                <c:pt idx="16">
                  <c:v>52</c:v>
                </c:pt>
                <c:pt idx="17">
                  <c:v>59</c:v>
                </c:pt>
                <c:pt idx="18">
                  <c:v>46</c:v>
                </c:pt>
                <c:pt idx="19">
                  <c:v>31</c:v>
                </c:pt>
                <c:pt idx="20">
                  <c:v>40</c:v>
                </c:pt>
                <c:pt idx="21">
                  <c:v>45</c:v>
                </c:pt>
                <c:pt idx="22">
                  <c:v>44</c:v>
                </c:pt>
                <c:pt idx="23">
                  <c:v>44</c:v>
                </c:pt>
              </c:numCache>
            </c:numRef>
          </c:val>
          <c:smooth val="0"/>
          <c:extLst>
            <c:ext xmlns:c16="http://schemas.microsoft.com/office/drawing/2014/chart" uri="{C3380CC4-5D6E-409C-BE32-E72D297353CC}">
              <c16:uniqueId val="{00000001-B496-42BC-AF22-4E0E88EB3E09}"/>
            </c:ext>
          </c:extLst>
        </c:ser>
        <c:dLbls>
          <c:showLegendKey val="0"/>
          <c:showVal val="0"/>
          <c:showCatName val="0"/>
          <c:showSerName val="0"/>
          <c:showPercent val="0"/>
          <c:showBubbleSize val="0"/>
        </c:dLbls>
        <c:marker val="1"/>
        <c:smooth val="0"/>
        <c:axId val="227979424"/>
        <c:axId val="227977464"/>
      </c:lineChart>
      <c:catAx>
        <c:axId val="227979424"/>
        <c:scaling>
          <c:orientation val="minMax"/>
        </c:scaling>
        <c:delete val="0"/>
        <c:axPos val="b"/>
        <c:numFmt formatCode="General" sourceLinked="0"/>
        <c:majorTickMark val="out"/>
        <c:minorTickMark val="none"/>
        <c:tickLblPos val="nextTo"/>
        <c:spPr>
          <a:ln>
            <a:noFill/>
          </a:ln>
        </c:spPr>
        <c:txPr>
          <a:bodyPr rot="-2700000"/>
          <a:lstStyle/>
          <a:p>
            <a:pPr>
              <a:defRPr sz="900" baseline="0"/>
            </a:pPr>
            <a:endParaRPr lang="en-US"/>
          </a:p>
        </c:txPr>
        <c:crossAx val="227977464"/>
        <c:crosses val="autoZero"/>
        <c:auto val="1"/>
        <c:lblAlgn val="ctr"/>
        <c:lblOffset val="100"/>
        <c:noMultiLvlLbl val="0"/>
      </c:catAx>
      <c:valAx>
        <c:axId val="227977464"/>
        <c:scaling>
          <c:orientation val="minMax"/>
        </c:scaling>
        <c:delete val="1"/>
        <c:axPos val="l"/>
        <c:numFmt formatCode="#,##0" sourceLinked="1"/>
        <c:majorTickMark val="out"/>
        <c:minorTickMark val="none"/>
        <c:tickLblPos val="nextTo"/>
        <c:crossAx val="227979424"/>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00099604165578E-2"/>
          <c:y val="2.4432540231545005E-2"/>
          <c:w val="0.97335156634832409"/>
          <c:h val="0.83559782196609578"/>
        </c:manualLayout>
      </c:layout>
      <c:lineChart>
        <c:grouping val="standard"/>
        <c:varyColors val="0"/>
        <c:ser>
          <c:idx val="0"/>
          <c:order val="0"/>
          <c:spPr>
            <a:ln w="19050">
              <a:solidFill>
                <a:schemeClr val="tx1">
                  <a:lumMod val="50000"/>
                  <a:lumOff val="50000"/>
                </a:schemeClr>
              </a:solidFill>
            </a:ln>
          </c:spPr>
          <c:marker>
            <c:symbol val="circle"/>
            <c:size val="7"/>
            <c:spPr>
              <a:solidFill>
                <a:schemeClr val="tx1">
                  <a:lumMod val="50000"/>
                  <a:lumOff val="50000"/>
                </a:schemeClr>
              </a:solidFill>
              <a:ln>
                <a:noFill/>
              </a:ln>
            </c:spPr>
          </c:marker>
          <c:dLbls>
            <c:dLbl>
              <c:idx val="2"/>
              <c:layout>
                <c:manualLayout>
                  <c:x val="-6.9808331447222663E-2"/>
                  <c:y val="-9.23697655596930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77-4278-9D7D-272903115B6E}"/>
                </c:ext>
              </c:extLst>
            </c:dLbl>
            <c:dLbl>
              <c:idx val="3"/>
              <c:layout>
                <c:manualLayout>
                  <c:x val="-4.9636874059426406E-2"/>
                  <c:y val="3.8170419791094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4B-4401-800F-CFDA332DA423}"/>
                </c:ext>
              </c:extLst>
            </c:dLbl>
            <c:dLbl>
              <c:idx val="9"/>
              <c:layout>
                <c:manualLayout>
                  <c:x val="7.9176941006428656E-4"/>
                  <c:y val="-6.27401428427779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77-4278-9D7D-272903115B6E}"/>
                </c:ext>
              </c:extLst>
            </c:dLbl>
            <c:dLbl>
              <c:idx val="14"/>
              <c:layout>
                <c:manualLayout>
                  <c:x val="-1.2253763287153401E-3"/>
                  <c:y val="-6.27401428427779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77-4278-9D7D-272903115B6E}"/>
                </c:ext>
              </c:extLst>
            </c:dLbl>
            <c:dLbl>
              <c:idx val="19"/>
              <c:layout>
                <c:manualLayout>
                  <c:x val="-9.293959283833848E-3"/>
                  <c:y val="-2.7014750186118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77-4278-9D7D-272903115B6E}"/>
                </c:ext>
              </c:extLst>
            </c:dLbl>
            <c:dLbl>
              <c:idx val="22"/>
              <c:layout>
                <c:manualLayout>
                  <c:x val="-9.293959283833848E-3"/>
                  <c:y val="-2.9977712457809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77-4278-9D7D-272903115B6E}"/>
                </c:ext>
              </c:extLst>
            </c:dLbl>
            <c:spPr>
              <a:noFill/>
              <a:ln>
                <a:noFill/>
              </a:ln>
              <a:effectLst/>
            </c:spPr>
            <c:txPr>
              <a:bodyPr/>
              <a:lstStyle/>
              <a:p>
                <a:pPr>
                  <a:defRPr sz="800" baseline="0">
                    <a:solidFill>
                      <a:schemeClr val="tx1">
                        <a:lumMod val="65000"/>
                        <a:lumOff val="35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Non-fatal Casualties'!$C$5:$C$28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'Figure Non-fatal Casualties'!$D$5:$D$28</c:f>
              <c:numCache>
                <c:formatCode>#,##0</c:formatCode>
                <c:ptCount val="24"/>
                <c:pt idx="0">
                  <c:v>1895</c:v>
                </c:pt>
                <c:pt idx="1">
                  <c:v>1880</c:v>
                </c:pt>
                <c:pt idx="2">
                  <c:v>2097</c:v>
                </c:pt>
                <c:pt idx="3">
                  <c:v>2118</c:v>
                </c:pt>
                <c:pt idx="4">
                  <c:v>2171</c:v>
                </c:pt>
                <c:pt idx="5">
                  <c:v>2366</c:v>
                </c:pt>
                <c:pt idx="6">
                  <c:v>2245</c:v>
                </c:pt>
                <c:pt idx="7">
                  <c:v>2026</c:v>
                </c:pt>
                <c:pt idx="8">
                  <c:v>1876</c:v>
                </c:pt>
                <c:pt idx="9">
                  <c:v>1951</c:v>
                </c:pt>
                <c:pt idx="10">
                  <c:v>1730</c:v>
                </c:pt>
                <c:pt idx="11">
                  <c:v>1692</c:v>
                </c:pt>
                <c:pt idx="12">
                  <c:v>1673</c:v>
                </c:pt>
                <c:pt idx="13">
                  <c:v>1719</c:v>
                </c:pt>
                <c:pt idx="14">
                  <c:v>1648</c:v>
                </c:pt>
                <c:pt idx="15">
                  <c:v>1214</c:v>
                </c:pt>
                <c:pt idx="16">
                  <c:v>1328</c:v>
                </c:pt>
                <c:pt idx="17">
                  <c:v>1416</c:v>
                </c:pt>
                <c:pt idx="18">
                  <c:v>1319</c:v>
                </c:pt>
                <c:pt idx="19">
                  <c:v>1311</c:v>
                </c:pt>
                <c:pt idx="20">
                  <c:v>1101</c:v>
                </c:pt>
                <c:pt idx="21">
                  <c:v>1276</c:v>
                </c:pt>
                <c:pt idx="22">
                  <c:v>1266</c:v>
                </c:pt>
                <c:pt idx="23">
                  <c:v>1113</c:v>
                </c:pt>
              </c:numCache>
            </c:numRef>
          </c:val>
          <c:smooth val="0"/>
          <c:extLst>
            <c:ext xmlns:c16="http://schemas.microsoft.com/office/drawing/2014/chart" uri="{C3380CC4-5D6E-409C-BE32-E72D297353CC}">
              <c16:uniqueId val="{00000001-B496-42BC-AF22-4E0E88EB3E09}"/>
            </c:ext>
          </c:extLst>
        </c:ser>
        <c:dLbls>
          <c:showLegendKey val="0"/>
          <c:showVal val="0"/>
          <c:showCatName val="0"/>
          <c:showSerName val="0"/>
          <c:showPercent val="0"/>
          <c:showBubbleSize val="0"/>
        </c:dLbls>
        <c:marker val="1"/>
        <c:smooth val="0"/>
        <c:axId val="230878192"/>
        <c:axId val="230878584"/>
      </c:lineChart>
      <c:catAx>
        <c:axId val="230878192"/>
        <c:scaling>
          <c:orientation val="minMax"/>
        </c:scaling>
        <c:delete val="0"/>
        <c:axPos val="b"/>
        <c:numFmt formatCode="General" sourceLinked="0"/>
        <c:majorTickMark val="out"/>
        <c:minorTickMark val="none"/>
        <c:tickLblPos val="nextTo"/>
        <c:spPr>
          <a:ln>
            <a:noFill/>
          </a:ln>
        </c:spPr>
        <c:txPr>
          <a:bodyPr rot="-2700000"/>
          <a:lstStyle/>
          <a:p>
            <a:pPr>
              <a:defRPr sz="900" baseline="0"/>
            </a:pPr>
            <a:endParaRPr lang="en-US"/>
          </a:p>
        </c:txPr>
        <c:crossAx val="230878584"/>
        <c:crosses val="autoZero"/>
        <c:auto val="1"/>
        <c:lblAlgn val="ctr"/>
        <c:lblOffset val="100"/>
        <c:noMultiLvlLbl val="0"/>
      </c:catAx>
      <c:valAx>
        <c:axId val="230878584"/>
        <c:scaling>
          <c:orientation val="minMax"/>
        </c:scaling>
        <c:delete val="1"/>
        <c:axPos val="l"/>
        <c:numFmt formatCode="#,##0" sourceLinked="1"/>
        <c:majorTickMark val="out"/>
        <c:minorTickMark val="none"/>
        <c:tickLblPos val="nextTo"/>
        <c:crossAx val="230878192"/>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Contents"/><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t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ts"/></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Contents"/></Relationships>
</file>

<file path=xl/drawings/_rels/drawing1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Contents"/><Relationship Id="rId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hyperlink" Target="#Contents"/></Relationships>
</file>

<file path=xl/drawings/_rels/drawing2.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7.xml"/><Relationship Id="rId7" Type="http://schemas.openxmlformats.org/officeDocument/2006/relationships/chart" Target="../charts/chart30.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29.xml"/><Relationship Id="rId5" Type="http://schemas.openxmlformats.org/officeDocument/2006/relationships/hyperlink" Target="#Contents"/><Relationship Id="rId4"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Contents"/></Relationships>
</file>

<file path=xl/drawings/_rels/drawing25.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6.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hyperlink" Target="#Contents"/><Relationship Id="rId5" Type="http://schemas.openxmlformats.org/officeDocument/2006/relationships/chart" Target="../charts/chart35.xml"/><Relationship Id="rId4" Type="http://schemas.openxmlformats.org/officeDocument/2006/relationships/chart" Target="../charts/chart34.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hyperlink" Target="#Contents"/><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29.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Contents"/></Relationships>
</file>

<file path=xl/drawings/_rels/drawing33.xml.rels><?xml version="1.0" encoding="UTF-8" standalone="yes"?>
<Relationships xmlns="http://schemas.openxmlformats.org/package/2006/relationships"><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hyperlink" Target="#Contents"/><Relationship Id="rId1" Type="http://schemas.openxmlformats.org/officeDocument/2006/relationships/chart" Target="../charts/chart44.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34.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50.xml"/></Relationships>
</file>

<file path=xl/drawings/_rels/drawing35.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52.xml"/></Relationships>
</file>

<file path=xl/drawings/_rels/drawing37.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5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Contents"/><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hyperlink" Target="#Contents"/></Relationships>
</file>

<file path=xl/drawings/_rels/drawing4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hyperlink" Target="#Contents"/><Relationship Id="rId5" Type="http://schemas.openxmlformats.org/officeDocument/2006/relationships/chart" Target="../charts/chart59.xml"/><Relationship Id="rId4"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hyperlink" Target="#Contents"/><Relationship Id="rId5" Type="http://schemas.openxmlformats.org/officeDocument/2006/relationships/chart" Target="../charts/chart63.xml"/><Relationship Id="rId4"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3" Type="http://schemas.openxmlformats.org/officeDocument/2006/relationships/hyperlink" Target="#Contents"/><Relationship Id="rId2" Type="http://schemas.openxmlformats.org/officeDocument/2006/relationships/chart" Target="../charts/chart65.xml"/><Relationship Id="rId1" Type="http://schemas.openxmlformats.org/officeDocument/2006/relationships/chart" Target="../charts/chart64.xml"/></Relationships>
</file>

<file path=xl/drawings/_rels/drawing5.xml.rels><?xml version="1.0" encoding="UTF-8" standalone="yes"?>
<Relationships xmlns="http://schemas.openxmlformats.org/package/2006/relationships"><Relationship Id="rId3" Type="http://schemas.openxmlformats.org/officeDocument/2006/relationships/hyperlink" Target="#Contents"/><Relationship Id="rId2" Type="http://schemas.openxmlformats.org/officeDocument/2006/relationships/chart" Target="../charts/chart16.xml"/><Relationship Id="rId1" Type="http://schemas.openxmlformats.org/officeDocument/2006/relationships/chart" Target="../charts/chart15.xml"/></Relationships>
</file>

<file path=xl/drawings/_rels/drawing50.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66.xml"/></Relationships>
</file>

<file path=xl/drawings/_rels/drawing52.xml.rels><?xml version="1.0" encoding="UTF-8" standalone="yes"?>
<Relationships xmlns="http://schemas.openxmlformats.org/package/2006/relationships"><Relationship Id="rId3" Type="http://schemas.openxmlformats.org/officeDocument/2006/relationships/hyperlink" Target="#Contents"/><Relationship Id="rId2" Type="http://schemas.openxmlformats.org/officeDocument/2006/relationships/chart" Target="../charts/chart68.xml"/><Relationship Id="rId1" Type="http://schemas.openxmlformats.org/officeDocument/2006/relationships/chart" Target="../charts/chart67.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hyperlink" Target="#Contents"/><Relationship Id="rId4" Type="http://schemas.openxmlformats.org/officeDocument/2006/relationships/chart" Target="../charts/chart72.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hyperlink" Target="#Contents"/><Relationship Id="rId4" Type="http://schemas.openxmlformats.org/officeDocument/2006/relationships/chart" Target="../charts/chart76.xml"/></Relationships>
</file>

<file path=xl/drawings/_rels/drawing6.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2" Type="http://schemas.openxmlformats.org/officeDocument/2006/relationships/hyperlink" Target="#Contents"/><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Relationships>
</file>

<file path=xl/drawings/drawing1.xml><?xml version="1.0" encoding="utf-8"?>
<xdr:wsDr xmlns:xdr="http://schemas.openxmlformats.org/drawingml/2006/spreadsheetDrawing" xmlns:a="http://schemas.openxmlformats.org/drawingml/2006/main">
  <xdr:twoCellAnchor>
    <xdr:from>
      <xdr:col>0</xdr:col>
      <xdr:colOff>38100</xdr:colOff>
      <xdr:row>1</xdr:row>
      <xdr:rowOff>152401</xdr:rowOff>
    </xdr:from>
    <xdr:to>
      <xdr:col>9</xdr:col>
      <xdr:colOff>466725</xdr:colOff>
      <xdr:row>13</xdr:row>
      <xdr:rowOff>59701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2</xdr:row>
      <xdr:rowOff>9526</xdr:rowOff>
    </xdr:from>
    <xdr:to>
      <xdr:col>19</xdr:col>
      <xdr:colOff>447675</xdr:colOff>
      <xdr:row>13</xdr:row>
      <xdr:rowOff>78751</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14</xdr:row>
      <xdr:rowOff>28576</xdr:rowOff>
    </xdr:from>
    <xdr:to>
      <xdr:col>9</xdr:col>
      <xdr:colOff>466726</xdr:colOff>
      <xdr:row>25</xdr:row>
      <xdr:rowOff>97801</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xdr:colOff>
      <xdr:row>14</xdr:row>
      <xdr:rowOff>38101</xdr:rowOff>
    </xdr:from>
    <xdr:to>
      <xdr:col>19</xdr:col>
      <xdr:colOff>438150</xdr:colOff>
      <xdr:row>25</xdr:row>
      <xdr:rowOff>107326</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26</xdr:row>
      <xdr:rowOff>66676</xdr:rowOff>
    </xdr:from>
    <xdr:to>
      <xdr:col>9</xdr:col>
      <xdr:colOff>485775</xdr:colOff>
      <xdr:row>37</xdr:row>
      <xdr:rowOff>135901</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95250</xdr:colOff>
      <xdr:row>0</xdr:row>
      <xdr:rowOff>57150</xdr:rowOff>
    </xdr:from>
    <xdr:to>
      <xdr:col>20</xdr:col>
      <xdr:colOff>371475</xdr:colOff>
      <xdr:row>0</xdr:row>
      <xdr:rowOff>266700</xdr:rowOff>
    </xdr:to>
    <xdr:sp macro="" textlink="">
      <xdr:nvSpPr>
        <xdr:cNvPr id="8" name="Left Arrow 7">
          <a:hlinkClick xmlns:r="http://schemas.openxmlformats.org/officeDocument/2006/relationships" r:id="rId6"/>
          <a:extLst>
            <a:ext uri="{FF2B5EF4-FFF2-40B4-BE49-F238E27FC236}">
              <a16:creationId xmlns:a16="http://schemas.microsoft.com/office/drawing/2014/main" id="{00000000-0008-0000-0300-000008000000}"/>
            </a:ext>
          </a:extLst>
        </xdr:cNvPr>
        <xdr:cNvSpPr/>
      </xdr:nvSpPr>
      <xdr:spPr>
        <a:xfrm>
          <a:off x="12287250" y="5715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28575</xdr:colOff>
      <xdr:row>26</xdr:row>
      <xdr:rowOff>66675</xdr:rowOff>
    </xdr:from>
    <xdr:to>
      <xdr:col>19</xdr:col>
      <xdr:colOff>428625</xdr:colOff>
      <xdr:row>37</xdr:row>
      <xdr:rowOff>135900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257176</xdr:colOff>
      <xdr:row>35</xdr:row>
      <xdr:rowOff>95250</xdr:rowOff>
    </xdr:from>
    <xdr:to>
      <xdr:col>11</xdr:col>
      <xdr:colOff>152400</xdr:colOff>
      <xdr:row>37</xdr:row>
      <xdr:rowOff>128585</xdr:rowOff>
    </xdr:to>
    <xdr:graphicFrame macro="">
      <xdr:nvGraphicFramePr>
        <xdr:cNvPr id="19" name="Chart 18">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44</xdr:row>
      <xdr:rowOff>0</xdr:rowOff>
    </xdr:from>
    <xdr:to>
      <xdr:col>11</xdr:col>
      <xdr:colOff>504825</xdr:colOff>
      <xdr:row>59</xdr:row>
      <xdr:rowOff>114300</xdr:rowOff>
    </xdr:to>
    <xdr:sp macro="" textlink="">
      <xdr:nvSpPr>
        <xdr:cNvPr id="25" name="Rectangle 24">
          <a:extLst>
            <a:ext uri="{FF2B5EF4-FFF2-40B4-BE49-F238E27FC236}">
              <a16:creationId xmlns:a16="http://schemas.microsoft.com/office/drawing/2014/main" id="{00000000-0008-0000-0300-000019000000}"/>
            </a:ext>
          </a:extLst>
        </xdr:cNvPr>
        <xdr:cNvSpPr/>
      </xdr:nvSpPr>
      <xdr:spPr>
        <a:xfrm>
          <a:off x="3048000" y="73914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514350</xdr:colOff>
      <xdr:row>1</xdr:row>
      <xdr:rowOff>133349</xdr:rowOff>
    </xdr:from>
    <xdr:to>
      <xdr:col>6</xdr:col>
      <xdr:colOff>171450</xdr:colOff>
      <xdr:row>38</xdr:row>
      <xdr:rowOff>72158</xdr:rowOff>
    </xdr:to>
    <xdr:pic>
      <xdr:nvPicPr>
        <xdr:cNvPr id="5" name="Picture 13" descr="Primary_fire_rate">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561974"/>
          <a:ext cx="3781425" cy="5958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0</xdr:row>
      <xdr:rowOff>0</xdr:rowOff>
    </xdr:from>
    <xdr:to>
      <xdr:col>15</xdr:col>
      <xdr:colOff>276225</xdr:colOff>
      <xdr:row>0</xdr:row>
      <xdr:rowOff>209550</xdr:rowOff>
    </xdr:to>
    <xdr:sp macro="" textlink="">
      <xdr:nvSpPr>
        <xdr:cNvPr id="2" name="Left Arrow 4">
          <a:hlinkClick xmlns:r="http://schemas.openxmlformats.org/officeDocument/2006/relationships" r:id="rId2"/>
          <a:extLst>
            <a:ext uri="{FF2B5EF4-FFF2-40B4-BE49-F238E27FC236}">
              <a16:creationId xmlns:a16="http://schemas.microsoft.com/office/drawing/2014/main" id="{00000000-0008-0000-0E00-000002000000}"/>
            </a:ext>
          </a:extLst>
        </xdr:cNvPr>
        <xdr:cNvSpPr/>
      </xdr:nvSpPr>
      <xdr:spPr>
        <a:xfrm>
          <a:off x="9610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285751</xdr:colOff>
      <xdr:row>2</xdr:row>
      <xdr:rowOff>66674</xdr:rowOff>
    </xdr:from>
    <xdr:to>
      <xdr:col>14</xdr:col>
      <xdr:colOff>266701</xdr:colOff>
      <xdr:row>39</xdr:row>
      <xdr:rowOff>61231</xdr:rowOff>
    </xdr:to>
    <xdr:pic>
      <xdr:nvPicPr>
        <xdr:cNvPr id="6" name="Picture 14" descr="Primary_fire_rate_hex">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0076" y="657224"/>
          <a:ext cx="4857750" cy="601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276225</xdr:colOff>
      <xdr:row>0</xdr:row>
      <xdr:rowOff>209550</xdr:rowOff>
    </xdr:to>
    <xdr:sp macro="" textlink="">
      <xdr:nvSpPr>
        <xdr:cNvPr id="4" name="Left Arrow 5">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9610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457200</xdr:colOff>
      <xdr:row>1</xdr:row>
      <xdr:rowOff>133322</xdr:rowOff>
    </xdr:from>
    <xdr:to>
      <xdr:col>6</xdr:col>
      <xdr:colOff>111641</xdr:colOff>
      <xdr:row>38</xdr:row>
      <xdr:rowOff>81137</xdr:rowOff>
    </xdr:to>
    <xdr:pic>
      <xdr:nvPicPr>
        <xdr:cNvPr id="7" name="Picture 6" descr="C:\Users\stewart.ross\Local_Documents\Choropleths\Secondary_fire_rate.png">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 y="561947"/>
          <a:ext cx="3778766" cy="5939040"/>
        </a:xfrm>
        <a:prstGeom prst="rect">
          <a:avLst/>
        </a:prstGeom>
        <a:noFill/>
        <a:ln>
          <a:noFill/>
        </a:ln>
      </xdr:spPr>
    </xdr:pic>
    <xdr:clientData/>
  </xdr:twoCellAnchor>
  <xdr:twoCellAnchor editAs="oneCell">
    <xdr:from>
      <xdr:col>6</xdr:col>
      <xdr:colOff>295275</xdr:colOff>
      <xdr:row>2</xdr:row>
      <xdr:rowOff>114297</xdr:rowOff>
    </xdr:from>
    <xdr:to>
      <xdr:col>14</xdr:col>
      <xdr:colOff>213072</xdr:colOff>
      <xdr:row>39</xdr:row>
      <xdr:rowOff>64880</xdr:rowOff>
    </xdr:to>
    <xdr:pic>
      <xdr:nvPicPr>
        <xdr:cNvPr id="8" name="Picture 7" descr="C:\Users\stewart.ross\Local_Documents\Choropleths\Secondary_fire_rate_hex.png">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19600" y="704847"/>
          <a:ext cx="4794597" cy="594180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238123</xdr:colOff>
      <xdr:row>42</xdr:row>
      <xdr:rowOff>28575</xdr:rowOff>
    </xdr:from>
    <xdr:to>
      <xdr:col>9</xdr:col>
      <xdr:colOff>193948</xdr:colOff>
      <xdr:row>42</xdr:row>
      <xdr:rowOff>424575</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600448" y="890587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3.xml><?xml version="1.0" encoding="utf-8"?>
<xdr:wsDr xmlns:xdr="http://schemas.openxmlformats.org/drawingml/2006/spreadsheetDrawing" xmlns:a="http://schemas.openxmlformats.org/drawingml/2006/main">
  <xdr:twoCellAnchor editAs="oneCell">
    <xdr:from>
      <xdr:col>5</xdr:col>
      <xdr:colOff>342900</xdr:colOff>
      <xdr:row>22</xdr:row>
      <xdr:rowOff>9525</xdr:rowOff>
    </xdr:from>
    <xdr:to>
      <xdr:col>9</xdr:col>
      <xdr:colOff>365400</xdr:colOff>
      <xdr:row>22</xdr:row>
      <xdr:rowOff>405525</xdr:rowOff>
    </xdr:to>
    <mc:AlternateContent xmlns:mc="http://schemas.openxmlformats.org/markup-compatibility/2006" xmlns:a14="http://schemas.microsoft.com/office/drawing/2010/main">
      <mc:Choice Requires="a14">
        <xdr:graphicFrame macro="">
          <xdr:nvGraphicFramePr>
            <xdr:cNvPr id="2" name="Year 3">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4953000" y="4762500"/>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228600</xdr:colOff>
      <xdr:row>0</xdr:row>
      <xdr:rowOff>19050</xdr:rowOff>
    </xdr:from>
    <xdr:to>
      <xdr:col>10</xdr:col>
      <xdr:colOff>596250</xdr:colOff>
      <xdr:row>0</xdr:row>
      <xdr:rowOff>415050</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5848350" y="19050"/>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276225</xdr:colOff>
      <xdr:row>0</xdr:row>
      <xdr:rowOff>209550</xdr:rowOff>
    </xdr:to>
    <xdr:sp macro="" textlink="">
      <xdr:nvSpPr>
        <xdr:cNvPr id="6" name="Left Arrow 5">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9610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257175</xdr:colOff>
      <xdr:row>2</xdr:row>
      <xdr:rowOff>47624</xdr:rowOff>
    </xdr:from>
    <xdr:to>
      <xdr:col>5</xdr:col>
      <xdr:colOff>521216</xdr:colOff>
      <xdr:row>38</xdr:row>
      <xdr:rowOff>157364</xdr:rowOff>
    </xdr:to>
    <xdr:pic>
      <xdr:nvPicPr>
        <xdr:cNvPr id="7" name="Picture 1" descr="ADF_rat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638174"/>
          <a:ext cx="3778766" cy="593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371475</xdr:colOff>
      <xdr:row>3</xdr:row>
      <xdr:rowOff>133349</xdr:rowOff>
    </xdr:from>
    <xdr:to>
      <xdr:col>14</xdr:col>
      <xdr:colOff>301742</xdr:colOff>
      <xdr:row>40</xdr:row>
      <xdr:rowOff>83932</xdr:rowOff>
    </xdr:to>
    <xdr:pic>
      <xdr:nvPicPr>
        <xdr:cNvPr id="8" name="Picture 2" descr="ADF_rate_hex">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885824"/>
          <a:ext cx="4807067" cy="594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514351</xdr:colOff>
      <xdr:row>18</xdr:row>
      <xdr:rowOff>85726</xdr:rowOff>
    </xdr:from>
    <xdr:to>
      <xdr:col>8</xdr:col>
      <xdr:colOff>260626</xdr:colOff>
      <xdr:row>19</xdr:row>
      <xdr:rowOff>319801</xdr:rowOff>
    </xdr:to>
    <mc:AlternateContent xmlns:mc="http://schemas.openxmlformats.org/markup-compatibility/2006" xmlns:a14="http://schemas.microsoft.com/office/drawing/2010/main">
      <mc:Choice Requires="a14">
        <xdr:graphicFrame macro="">
          <xdr:nvGraphicFramePr>
            <xdr:cNvPr id="2" name="Year 5">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3209926" y="3695701"/>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638172</xdr:colOff>
      <xdr:row>60</xdr:row>
      <xdr:rowOff>400051</xdr:rowOff>
    </xdr:from>
    <xdr:to>
      <xdr:col>4</xdr:col>
      <xdr:colOff>155847</xdr:colOff>
      <xdr:row>61</xdr:row>
      <xdr:rowOff>310276</xdr:rowOff>
    </xdr:to>
    <mc:AlternateContent xmlns:mc="http://schemas.openxmlformats.org/markup-compatibility/2006" xmlns:a14="http://schemas.microsoft.com/office/drawing/2010/main">
      <mc:Choice Requires="a14">
        <xdr:graphicFrame macro="">
          <xdr:nvGraphicFramePr>
            <xdr:cNvPr id="3" name="Year 6">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638172" y="11906251"/>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409574</xdr:colOff>
      <xdr:row>16</xdr:row>
      <xdr:rowOff>0</xdr:rowOff>
    </xdr:from>
    <xdr:to>
      <xdr:col>8</xdr:col>
      <xdr:colOff>308249</xdr:colOff>
      <xdr:row>16</xdr:row>
      <xdr:rowOff>396000</xdr:rowOff>
    </xdr:to>
    <mc:AlternateContent xmlns:mc="http://schemas.openxmlformats.org/markup-compatibility/2006" xmlns:a14="http://schemas.microsoft.com/office/drawing/2010/main">
      <mc:Choice Requires="a14">
        <xdr:graphicFrame macro="">
          <xdr:nvGraphicFramePr>
            <xdr:cNvPr id="2" name="Year 7">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4086224" y="3276600"/>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409575</xdr:colOff>
      <xdr:row>3</xdr:row>
      <xdr:rowOff>142875</xdr:rowOff>
    </xdr:from>
    <xdr:to>
      <xdr:col>5</xdr:col>
      <xdr:colOff>400050</xdr:colOff>
      <xdr:row>16</xdr:row>
      <xdr:rowOff>47625</xdr:rowOff>
    </xdr:to>
    <xdr:sp macro="" textlink="">
      <xdr:nvSpPr>
        <xdr:cNvPr id="11" name="Rectangle 10">
          <a:extLst>
            <a:ext uri="{FF2B5EF4-FFF2-40B4-BE49-F238E27FC236}">
              <a16:creationId xmlns:a16="http://schemas.microsoft.com/office/drawing/2014/main" id="{00000000-0008-0000-1B00-00000B000000}"/>
            </a:ext>
          </a:extLst>
        </xdr:cNvPr>
        <xdr:cNvSpPr/>
      </xdr:nvSpPr>
      <xdr:spPr>
        <a:xfrm>
          <a:off x="409575" y="895350"/>
          <a:ext cx="3514725" cy="2009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0</xdr:colOff>
      <xdr:row>0</xdr:row>
      <xdr:rowOff>0</xdr:rowOff>
    </xdr:from>
    <xdr:to>
      <xdr:col>10</xdr:col>
      <xdr:colOff>276225</xdr:colOff>
      <xdr:row>0</xdr:row>
      <xdr:rowOff>209550</xdr:rowOff>
    </xdr:to>
    <xdr:sp macro="" textlink="">
      <xdr:nvSpPr>
        <xdr:cNvPr id="6" name="Left Arrow 5">
          <a:hlinkClick xmlns:r="http://schemas.openxmlformats.org/officeDocument/2006/relationships" r:id="rId1"/>
          <a:extLst>
            <a:ext uri="{FF2B5EF4-FFF2-40B4-BE49-F238E27FC236}">
              <a16:creationId xmlns:a16="http://schemas.microsoft.com/office/drawing/2014/main" id="{00000000-0008-0000-1B00-000006000000}"/>
            </a:ext>
          </a:extLst>
        </xdr:cNvPr>
        <xdr:cNvSpPr/>
      </xdr:nvSpPr>
      <xdr:spPr>
        <a:xfrm>
          <a:off x="657225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38100</xdr:colOff>
      <xdr:row>2</xdr:row>
      <xdr:rowOff>0</xdr:rowOff>
    </xdr:from>
    <xdr:to>
      <xdr:col>4</xdr:col>
      <xdr:colOff>266250</xdr:colOff>
      <xdr:row>13</xdr:row>
      <xdr:rowOff>69225</xdr:rowOff>
    </xdr:to>
    <xdr:graphicFrame macro="">
      <xdr:nvGraphicFramePr>
        <xdr:cNvPr id="7" name="Chart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390525</xdr:colOff>
      <xdr:row>2</xdr:row>
      <xdr:rowOff>0</xdr:rowOff>
    </xdr:from>
    <xdr:to>
      <xdr:col>9</xdr:col>
      <xdr:colOff>485325</xdr:colOff>
      <xdr:row>13</xdr:row>
      <xdr:rowOff>69225</xdr:rowOff>
    </xdr:to>
    <xdr:graphicFrame macro="">
      <xdr:nvGraphicFramePr>
        <xdr:cNvPr id="8" name="Chart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14</xdr:row>
      <xdr:rowOff>0</xdr:rowOff>
    </xdr:from>
    <xdr:to>
      <xdr:col>4</xdr:col>
      <xdr:colOff>266250</xdr:colOff>
      <xdr:row>25</xdr:row>
      <xdr:rowOff>69225</xdr:rowOff>
    </xdr:to>
    <xdr:graphicFrame macro="">
      <xdr:nvGraphicFramePr>
        <xdr:cNvPr id="9" name="Chart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371475</xdr:colOff>
      <xdr:row>2</xdr:row>
      <xdr:rowOff>9525</xdr:rowOff>
    </xdr:from>
    <xdr:to>
      <xdr:col>11</xdr:col>
      <xdr:colOff>57150</xdr:colOff>
      <xdr:row>21</xdr:row>
      <xdr:rowOff>123825</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28574</xdr:colOff>
      <xdr:row>2</xdr:row>
      <xdr:rowOff>9526</xdr:rowOff>
    </xdr:from>
    <xdr:to>
      <xdr:col>5</xdr:col>
      <xdr:colOff>333375</xdr:colOff>
      <xdr:row>21</xdr:row>
      <xdr:rowOff>114301</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22</xdr:row>
      <xdr:rowOff>0</xdr:rowOff>
    </xdr:from>
    <xdr:to>
      <xdr:col>5</xdr:col>
      <xdr:colOff>342900</xdr:colOff>
      <xdr:row>41</xdr:row>
      <xdr:rowOff>114300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152400</xdr:colOff>
      <xdr:row>0</xdr:row>
      <xdr:rowOff>47625</xdr:rowOff>
    </xdr:from>
    <xdr:to>
      <xdr:col>12</xdr:col>
      <xdr:colOff>428625</xdr:colOff>
      <xdr:row>0</xdr:row>
      <xdr:rowOff>257175</xdr:rowOff>
    </xdr:to>
    <xdr:sp macro="" textlink="">
      <xdr:nvSpPr>
        <xdr:cNvPr id="5" name="Left Arrow 8">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a:xfrm>
          <a:off x="7467600" y="4762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1</xdr:row>
      <xdr:rowOff>114300</xdr:rowOff>
    </xdr:from>
    <xdr:to>
      <xdr:col>9</xdr:col>
      <xdr:colOff>409575</xdr:colOff>
      <xdr:row>28</xdr:row>
      <xdr:rowOff>28576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4" name="Left Arrow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6562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342900</xdr:colOff>
      <xdr:row>15</xdr:row>
      <xdr:rowOff>152400</xdr:rowOff>
    </xdr:from>
    <xdr:to>
      <xdr:col>9</xdr:col>
      <xdr:colOff>415425</xdr:colOff>
      <xdr:row>16</xdr:row>
      <xdr:rowOff>386475</xdr:rowOff>
    </xdr:to>
    <mc:AlternateContent xmlns:mc="http://schemas.openxmlformats.org/markup-compatibility/2006" xmlns:a14="http://schemas.microsoft.com/office/drawing/2010/main">
      <mc:Choice Requires="a14">
        <xdr:graphicFrame macro="">
          <xdr:nvGraphicFramePr>
            <xdr:cNvPr id="2" name="Year 8">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3867150" y="3962400"/>
              <a:ext cx="3492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1.xml><?xml version="1.0" encoding="utf-8"?>
<xdr:wsDr xmlns:xdr="http://schemas.openxmlformats.org/drawingml/2006/spreadsheetDrawing" xmlns:a="http://schemas.openxmlformats.org/drawingml/2006/main">
  <xdr:oneCellAnchor>
    <xdr:from>
      <xdr:col>1</xdr:col>
      <xdr:colOff>180975</xdr:colOff>
      <xdr:row>0</xdr:row>
      <xdr:rowOff>409575</xdr:rowOff>
    </xdr:from>
    <xdr:ext cx="2880000" cy="396000"/>
    <mc:AlternateContent xmlns:mc="http://schemas.openxmlformats.org/markup-compatibility/2006" xmlns:a14="http://schemas.microsoft.com/office/drawing/2010/main">
      <mc:Choice Requires="a14">
        <xdr:graphicFrame macro="">
          <xdr:nvGraphicFramePr>
            <xdr:cNvPr id="3" name="Year 34">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1771650" y="40957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95250</xdr:rowOff>
    </xdr:from>
    <xdr:to>
      <xdr:col>24</xdr:col>
      <xdr:colOff>304799</xdr:colOff>
      <xdr:row>30</xdr:row>
      <xdr:rowOff>57150</xdr:rowOff>
    </xdr:to>
    <xdr:sp macro="" textlink="">
      <xdr:nvSpPr>
        <xdr:cNvPr id="2" name="Rectangle 1">
          <a:extLst>
            <a:ext uri="{FF2B5EF4-FFF2-40B4-BE49-F238E27FC236}">
              <a16:creationId xmlns:a16="http://schemas.microsoft.com/office/drawing/2014/main" id="{00000000-0008-0000-2300-000002000000}"/>
            </a:ext>
          </a:extLst>
        </xdr:cNvPr>
        <xdr:cNvSpPr/>
      </xdr:nvSpPr>
      <xdr:spPr>
        <a:xfrm>
          <a:off x="0" y="1333500"/>
          <a:ext cx="15706724" cy="3848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66675</xdr:colOff>
      <xdr:row>14</xdr:row>
      <xdr:rowOff>28575</xdr:rowOff>
    </xdr:from>
    <xdr:to>
      <xdr:col>3</xdr:col>
      <xdr:colOff>609150</xdr:colOff>
      <xdr:row>25</xdr:row>
      <xdr:rowOff>95249</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14</xdr:row>
      <xdr:rowOff>19050</xdr:rowOff>
    </xdr:from>
    <xdr:to>
      <xdr:col>9</xdr:col>
      <xdr:colOff>190050</xdr:colOff>
      <xdr:row>25</xdr:row>
      <xdr:rowOff>85724</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26</xdr:row>
      <xdr:rowOff>28575</xdr:rowOff>
    </xdr:from>
    <xdr:to>
      <xdr:col>3</xdr:col>
      <xdr:colOff>609150</xdr:colOff>
      <xdr:row>37</xdr:row>
      <xdr:rowOff>95249</xdr:rowOff>
    </xdr:to>
    <xdr:graphicFrame macro="">
      <xdr:nvGraphicFramePr>
        <xdr:cNvPr id="7" name="Chart 6">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95250</xdr:colOff>
      <xdr:row>26</xdr:row>
      <xdr:rowOff>28575</xdr:rowOff>
    </xdr:from>
    <xdr:to>
      <xdr:col>9</xdr:col>
      <xdr:colOff>190050</xdr:colOff>
      <xdr:row>37</xdr:row>
      <xdr:rowOff>95249</xdr:rowOff>
    </xdr:to>
    <xdr:graphicFrame macro="">
      <xdr:nvGraphicFramePr>
        <xdr:cNvPr id="8" name="Chart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9" name="Left Arrow 8">
          <a:hlinkClick xmlns:r="http://schemas.openxmlformats.org/officeDocument/2006/relationships" r:id="rId5"/>
          <a:extLst>
            <a:ext uri="{FF2B5EF4-FFF2-40B4-BE49-F238E27FC236}">
              <a16:creationId xmlns:a16="http://schemas.microsoft.com/office/drawing/2014/main" id="{00000000-0008-0000-2300-000009000000}"/>
            </a:ext>
          </a:extLst>
        </xdr:cNvPr>
        <xdr:cNvSpPr/>
      </xdr:nvSpPr>
      <xdr:spPr>
        <a:xfrm>
          <a:off x="6867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66675</xdr:colOff>
      <xdr:row>2</xdr:row>
      <xdr:rowOff>9525</xdr:rowOff>
    </xdr:from>
    <xdr:to>
      <xdr:col>3</xdr:col>
      <xdr:colOff>609150</xdr:colOff>
      <xdr:row>13</xdr:row>
      <xdr:rowOff>76199</xdr:rowOff>
    </xdr:to>
    <xdr:graphicFrame macro="">
      <xdr:nvGraphicFramePr>
        <xdr:cNvPr id="10" name="Chart 9">
          <a:extLst>
            <a:ext uri="{FF2B5EF4-FFF2-40B4-BE49-F238E27FC236}">
              <a16:creationId xmlns:a16="http://schemas.microsoft.com/office/drawing/2014/main" id="{00000000-0008-0000-2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85725</xdr:colOff>
      <xdr:row>2</xdr:row>
      <xdr:rowOff>9525</xdr:rowOff>
    </xdr:from>
    <xdr:to>
      <xdr:col>9</xdr:col>
      <xdr:colOff>180525</xdr:colOff>
      <xdr:row>13</xdr:row>
      <xdr:rowOff>76199</xdr:rowOff>
    </xdr:to>
    <xdr:graphicFrame macro="">
      <xdr:nvGraphicFramePr>
        <xdr:cNvPr id="11" name="Chart 10">
          <a:extLst>
            <a:ext uri="{FF2B5EF4-FFF2-40B4-BE49-F238E27FC236}">
              <a16:creationId xmlns:a16="http://schemas.microsoft.com/office/drawing/2014/main" id="{00000000-0008-0000-2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0.01951</cdr:y>
    </cdr:from>
    <cdr:to>
      <cdr:x>0.87285</cdr:x>
      <cdr:y>0.25366</cdr:y>
    </cdr:to>
    <cdr:sp macro="" textlink="">
      <cdr:nvSpPr>
        <cdr:cNvPr id="2" name="TextBox 1"/>
        <cdr:cNvSpPr txBox="1"/>
      </cdr:nvSpPr>
      <cdr:spPr>
        <a:xfrm xmlns:a="http://schemas.openxmlformats.org/drawingml/2006/main">
          <a:off x="0" y="36052"/>
          <a:ext cx="2743200" cy="43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1">
                  <a:lumMod val="75000"/>
                  <a:lumOff val="25000"/>
                </a:schemeClr>
              </a:solidFill>
            </a:rPr>
            <a:t>Medical First or Co-Responder</a:t>
          </a: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276225</xdr:colOff>
      <xdr:row>0</xdr:row>
      <xdr:rowOff>209550</xdr:rowOff>
    </xdr:to>
    <xdr:sp macro="" textlink="">
      <xdr:nvSpPr>
        <xdr:cNvPr id="6" name="Left Arrow 5">
          <a:hlinkClick xmlns:r="http://schemas.openxmlformats.org/officeDocument/2006/relationships" r:id="rId1"/>
          <a:extLst>
            <a:ext uri="{FF2B5EF4-FFF2-40B4-BE49-F238E27FC236}">
              <a16:creationId xmlns:a16="http://schemas.microsoft.com/office/drawing/2014/main" id="{00000000-0008-0000-2400-000006000000}"/>
            </a:ext>
          </a:extLst>
        </xdr:cNvPr>
        <xdr:cNvSpPr/>
      </xdr:nvSpPr>
      <xdr:spPr>
        <a:xfrm>
          <a:off x="9610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285750</xdr:colOff>
      <xdr:row>1</xdr:row>
      <xdr:rowOff>190498</xdr:rowOff>
    </xdr:from>
    <xdr:to>
      <xdr:col>5</xdr:col>
      <xdr:colOff>549791</xdr:colOff>
      <xdr:row>38</xdr:row>
      <xdr:rowOff>109738</xdr:rowOff>
    </xdr:to>
    <xdr:pic>
      <xdr:nvPicPr>
        <xdr:cNvPr id="7" name="Picture 5" descr="Non_fire_rate">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619123"/>
          <a:ext cx="3778766" cy="593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352425</xdr:colOff>
      <xdr:row>3</xdr:row>
      <xdr:rowOff>47623</xdr:rowOff>
    </xdr:from>
    <xdr:to>
      <xdr:col>14</xdr:col>
      <xdr:colOff>270222</xdr:colOff>
      <xdr:row>39</xdr:row>
      <xdr:rowOff>160131</xdr:rowOff>
    </xdr:to>
    <xdr:pic>
      <xdr:nvPicPr>
        <xdr:cNvPr id="8" name="Picture 6" descr="Non_fire_rate_hex">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0" y="828673"/>
          <a:ext cx="4794597" cy="594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xdr:row>
      <xdr:rowOff>114300</xdr:rowOff>
    </xdr:from>
    <xdr:to>
      <xdr:col>9</xdr:col>
      <xdr:colOff>38101</xdr:colOff>
      <xdr:row>27</xdr:row>
      <xdr:rowOff>76200</xdr:rowOff>
    </xdr:to>
    <xdr:sp macro="" textlink="">
      <xdr:nvSpPr>
        <xdr:cNvPr id="11" name="Rectangle 10">
          <a:extLst>
            <a:ext uri="{FF2B5EF4-FFF2-40B4-BE49-F238E27FC236}">
              <a16:creationId xmlns:a16="http://schemas.microsoft.com/office/drawing/2014/main" id="{00000000-0008-0000-2500-00000B000000}"/>
            </a:ext>
          </a:extLst>
        </xdr:cNvPr>
        <xdr:cNvSpPr/>
      </xdr:nvSpPr>
      <xdr:spPr>
        <a:xfrm>
          <a:off x="0" y="866775"/>
          <a:ext cx="6296026" cy="3848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47625</xdr:colOff>
      <xdr:row>2</xdr:row>
      <xdr:rowOff>9525</xdr:rowOff>
    </xdr:from>
    <xdr:to>
      <xdr:col>3</xdr:col>
      <xdr:colOff>590100</xdr:colOff>
      <xdr:row>13</xdr:row>
      <xdr:rowOff>76199</xdr:rowOff>
    </xdr:to>
    <xdr:graphicFrame macro="">
      <xdr:nvGraphicFramePr>
        <xdr:cNvPr id="21" name="Chart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14</xdr:row>
      <xdr:rowOff>9525</xdr:rowOff>
    </xdr:from>
    <xdr:to>
      <xdr:col>3</xdr:col>
      <xdr:colOff>590100</xdr:colOff>
      <xdr:row>25</xdr:row>
      <xdr:rowOff>76199</xdr:rowOff>
    </xdr:to>
    <xdr:graphicFrame macro="">
      <xdr:nvGraphicFramePr>
        <xdr:cNvPr id="23" name="Chart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104775</xdr:colOff>
      <xdr:row>14</xdr:row>
      <xdr:rowOff>9525</xdr:rowOff>
    </xdr:from>
    <xdr:to>
      <xdr:col>9</xdr:col>
      <xdr:colOff>199575</xdr:colOff>
      <xdr:row>25</xdr:row>
      <xdr:rowOff>76199</xdr:rowOff>
    </xdr:to>
    <xdr:graphicFrame macro="">
      <xdr:nvGraphicFramePr>
        <xdr:cNvPr id="24" name="Chart 23">
          <a:extLst>
            <a:ext uri="{FF2B5EF4-FFF2-40B4-BE49-F238E27FC236}">
              <a16:creationId xmlns:a16="http://schemas.microsoft.com/office/drawing/2014/main" id="{00000000-0008-0000-2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26</xdr:row>
      <xdr:rowOff>9525</xdr:rowOff>
    </xdr:from>
    <xdr:to>
      <xdr:col>3</xdr:col>
      <xdr:colOff>590100</xdr:colOff>
      <xdr:row>37</xdr:row>
      <xdr:rowOff>76199</xdr:rowOff>
    </xdr:to>
    <xdr:graphicFrame macro="">
      <xdr:nvGraphicFramePr>
        <xdr:cNvPr id="25" name="Chart 24">
          <a:extLst>
            <a:ext uri="{FF2B5EF4-FFF2-40B4-BE49-F238E27FC236}">
              <a16:creationId xmlns:a16="http://schemas.microsoft.com/office/drawing/2014/main" id="{00000000-0008-0000-2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104775</xdr:colOff>
      <xdr:row>26</xdr:row>
      <xdr:rowOff>9525</xdr:rowOff>
    </xdr:from>
    <xdr:to>
      <xdr:col>9</xdr:col>
      <xdr:colOff>199575</xdr:colOff>
      <xdr:row>37</xdr:row>
      <xdr:rowOff>76199</xdr:rowOff>
    </xdr:to>
    <xdr:graphicFrame macro="">
      <xdr:nvGraphicFramePr>
        <xdr:cNvPr id="26" name="Chart 25">
          <a:extLst>
            <a:ext uri="{FF2B5EF4-FFF2-40B4-BE49-F238E27FC236}">
              <a16:creationId xmlns:a16="http://schemas.microsoft.com/office/drawing/2014/main" id="{00000000-0008-0000-2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9" name="Left Arrow 8">
          <a:hlinkClick xmlns:r="http://schemas.openxmlformats.org/officeDocument/2006/relationships" r:id="rId6"/>
          <a:extLst>
            <a:ext uri="{FF2B5EF4-FFF2-40B4-BE49-F238E27FC236}">
              <a16:creationId xmlns:a16="http://schemas.microsoft.com/office/drawing/2014/main" id="{00000000-0008-0000-2500-000009000000}"/>
            </a:ext>
          </a:extLst>
        </xdr:cNvPr>
        <xdr:cNvSpPr/>
      </xdr:nvSpPr>
      <xdr:spPr>
        <a:xfrm>
          <a:off x="6867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95250</xdr:colOff>
      <xdr:row>2</xdr:row>
      <xdr:rowOff>19050</xdr:rowOff>
    </xdr:from>
    <xdr:to>
      <xdr:col>9</xdr:col>
      <xdr:colOff>190050</xdr:colOff>
      <xdr:row>13</xdr:row>
      <xdr:rowOff>85724</xdr:rowOff>
    </xdr:to>
    <xdr:graphicFrame macro="">
      <xdr:nvGraphicFramePr>
        <xdr:cNvPr id="12" name="Chart 11">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cdr:x>
      <cdr:y>0.01951</cdr:y>
    </cdr:from>
    <cdr:to>
      <cdr:x>0.87285</cdr:x>
      <cdr:y>0.25366</cdr:y>
    </cdr:to>
    <cdr:sp macro="" textlink="">
      <cdr:nvSpPr>
        <cdr:cNvPr id="2" name="TextBox 1"/>
        <cdr:cNvSpPr txBox="1"/>
      </cdr:nvSpPr>
      <cdr:spPr>
        <a:xfrm xmlns:a="http://schemas.openxmlformats.org/drawingml/2006/main">
          <a:off x="0" y="36052"/>
          <a:ext cx="2743200" cy="43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1">
                  <a:lumMod val="75000"/>
                  <a:lumOff val="25000"/>
                </a:schemeClr>
              </a:solidFill>
            </a:rPr>
            <a:t>Medical First or Co-Responder</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3</xdr:row>
      <xdr:rowOff>47625</xdr:rowOff>
    </xdr:from>
    <xdr:to>
      <xdr:col>9</xdr:col>
      <xdr:colOff>38101</xdr:colOff>
      <xdr:row>27</xdr:row>
      <xdr:rowOff>9525</xdr:rowOff>
    </xdr:to>
    <xdr:sp macro="" textlink="">
      <xdr:nvSpPr>
        <xdr:cNvPr id="2" name="Rectangle 1">
          <a:extLst>
            <a:ext uri="{FF2B5EF4-FFF2-40B4-BE49-F238E27FC236}">
              <a16:creationId xmlns:a16="http://schemas.microsoft.com/office/drawing/2014/main" id="{00000000-0008-0000-2600-000002000000}"/>
            </a:ext>
          </a:extLst>
        </xdr:cNvPr>
        <xdr:cNvSpPr/>
      </xdr:nvSpPr>
      <xdr:spPr>
        <a:xfrm>
          <a:off x="0" y="800100"/>
          <a:ext cx="6296026" cy="3848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47625</xdr:colOff>
      <xdr:row>2</xdr:row>
      <xdr:rowOff>9525</xdr:rowOff>
    </xdr:from>
    <xdr:to>
      <xdr:col>3</xdr:col>
      <xdr:colOff>590100</xdr:colOff>
      <xdr:row>13</xdr:row>
      <xdr:rowOff>76199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2</xdr:row>
      <xdr:rowOff>9525</xdr:rowOff>
    </xdr:from>
    <xdr:to>
      <xdr:col>9</xdr:col>
      <xdr:colOff>199575</xdr:colOff>
      <xdr:row>13</xdr:row>
      <xdr:rowOff>76199</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14</xdr:row>
      <xdr:rowOff>9525</xdr:rowOff>
    </xdr:from>
    <xdr:to>
      <xdr:col>3</xdr:col>
      <xdr:colOff>590100</xdr:colOff>
      <xdr:row>25</xdr:row>
      <xdr:rowOff>76199</xdr:rowOff>
    </xdr:to>
    <xdr:graphicFrame macro="">
      <xdr:nvGraphicFramePr>
        <xdr:cNvPr id="5" name="Chart 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104775</xdr:colOff>
      <xdr:row>14</xdr:row>
      <xdr:rowOff>9525</xdr:rowOff>
    </xdr:from>
    <xdr:to>
      <xdr:col>9</xdr:col>
      <xdr:colOff>199575</xdr:colOff>
      <xdr:row>25</xdr:row>
      <xdr:rowOff>76199</xdr:rowOff>
    </xdr:to>
    <xdr:graphicFrame macro="">
      <xdr:nvGraphicFramePr>
        <xdr:cNvPr id="6" name="Chart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26</xdr:row>
      <xdr:rowOff>9525</xdr:rowOff>
    </xdr:from>
    <xdr:to>
      <xdr:col>3</xdr:col>
      <xdr:colOff>590100</xdr:colOff>
      <xdr:row>37</xdr:row>
      <xdr:rowOff>76199</xdr:rowOff>
    </xdr:to>
    <xdr:graphicFrame macro="">
      <xdr:nvGraphicFramePr>
        <xdr:cNvPr id="7" name="Chart 6">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104775</xdr:colOff>
      <xdr:row>26</xdr:row>
      <xdr:rowOff>9525</xdr:rowOff>
    </xdr:from>
    <xdr:to>
      <xdr:col>9</xdr:col>
      <xdr:colOff>199575</xdr:colOff>
      <xdr:row>37</xdr:row>
      <xdr:rowOff>76199</xdr:rowOff>
    </xdr:to>
    <xdr:graphicFrame macro="">
      <xdr:nvGraphicFramePr>
        <xdr:cNvPr id="8" name="Chart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9" name="Left Arrow 8">
          <a:hlinkClick xmlns:r="http://schemas.openxmlformats.org/officeDocument/2006/relationships" r:id="rId7"/>
          <a:extLst>
            <a:ext uri="{FF2B5EF4-FFF2-40B4-BE49-F238E27FC236}">
              <a16:creationId xmlns:a16="http://schemas.microsoft.com/office/drawing/2014/main" id="{00000000-0008-0000-2600-000009000000}"/>
            </a:ext>
          </a:extLst>
        </xdr:cNvPr>
        <xdr:cNvSpPr/>
      </xdr:nvSpPr>
      <xdr:spPr>
        <a:xfrm>
          <a:off x="6867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8.xml><?xml version="1.0" encoding="utf-8"?>
<c:userShapes xmlns:c="http://schemas.openxmlformats.org/drawingml/2006/chart">
  <cdr:relSizeAnchor xmlns:cdr="http://schemas.openxmlformats.org/drawingml/2006/chartDrawing">
    <cdr:from>
      <cdr:x>0</cdr:x>
      <cdr:y>0.01951</cdr:y>
    </cdr:from>
    <cdr:to>
      <cdr:x>0.87285</cdr:x>
      <cdr:y>0.25366</cdr:y>
    </cdr:to>
    <cdr:sp macro="" textlink="">
      <cdr:nvSpPr>
        <cdr:cNvPr id="2" name="TextBox 1"/>
        <cdr:cNvSpPr txBox="1"/>
      </cdr:nvSpPr>
      <cdr:spPr>
        <a:xfrm xmlns:a="http://schemas.openxmlformats.org/drawingml/2006/main">
          <a:off x="0" y="36052"/>
          <a:ext cx="2743200" cy="43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1">
                  <a:lumMod val="75000"/>
                  <a:lumOff val="25000"/>
                </a:schemeClr>
              </a:solidFill>
            </a:rPr>
            <a:t>Medical First or Co-Responder</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114300</xdr:colOff>
      <xdr:row>3</xdr:row>
      <xdr:rowOff>19050</xdr:rowOff>
    </xdr:from>
    <xdr:to>
      <xdr:col>8</xdr:col>
      <xdr:colOff>0</xdr:colOff>
      <xdr:row>26</xdr:row>
      <xdr:rowOff>109540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133350</xdr:colOff>
      <xdr:row>0</xdr:row>
      <xdr:rowOff>47625</xdr:rowOff>
    </xdr:from>
    <xdr:to>
      <xdr:col>9</xdr:col>
      <xdr:colOff>409575</xdr:colOff>
      <xdr:row>0</xdr:row>
      <xdr:rowOff>257175</xdr:rowOff>
    </xdr:to>
    <xdr:sp macro="" textlink="">
      <xdr:nvSpPr>
        <xdr:cNvPr id="5" name="Left Arrow 8">
          <a:hlinkClick xmlns:r="http://schemas.openxmlformats.org/officeDocument/2006/relationships" r:id="rId2"/>
          <a:extLst>
            <a:ext uri="{FF2B5EF4-FFF2-40B4-BE49-F238E27FC236}">
              <a16:creationId xmlns:a16="http://schemas.microsoft.com/office/drawing/2014/main" id="{00000000-0008-0000-2700-000005000000}"/>
            </a:ext>
          </a:extLst>
        </xdr:cNvPr>
        <xdr:cNvSpPr/>
      </xdr:nvSpPr>
      <xdr:spPr>
        <a:xfrm>
          <a:off x="5619750" y="4762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76200</xdr:colOff>
      <xdr:row>0</xdr:row>
      <xdr:rowOff>38100</xdr:rowOff>
    </xdr:from>
    <xdr:to>
      <xdr:col>11</xdr:col>
      <xdr:colOff>352425</xdr:colOff>
      <xdr:row>0</xdr:row>
      <xdr:rowOff>247650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781800" y="3810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66675</xdr:colOff>
      <xdr:row>2</xdr:row>
      <xdr:rowOff>19050</xdr:rowOff>
    </xdr:from>
    <xdr:to>
      <xdr:col>10</xdr:col>
      <xdr:colOff>266700</xdr:colOff>
      <xdr:row>28</xdr:row>
      <xdr:rowOff>95251</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114299</xdr:colOff>
      <xdr:row>22</xdr:row>
      <xdr:rowOff>76200</xdr:rowOff>
    </xdr:from>
    <xdr:to>
      <xdr:col>9</xdr:col>
      <xdr:colOff>117749</xdr:colOff>
      <xdr:row>23</xdr:row>
      <xdr:rowOff>310275</xdr:rowOff>
    </xdr:to>
    <mc:AlternateContent xmlns:mc="http://schemas.openxmlformats.org/markup-compatibility/2006" xmlns:a14="http://schemas.microsoft.com/office/drawing/2010/main">
      <mc:Choice Requires="a14">
        <xdr:graphicFrame macro="">
          <xdr:nvGraphicFramePr>
            <xdr:cNvPr id="2" name="Year 10">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4695824" y="4781550"/>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1.xml><?xml version="1.0" encoding="utf-8"?>
<xdr:wsDr xmlns:xdr="http://schemas.openxmlformats.org/drawingml/2006/spreadsheetDrawing" xmlns:a="http://schemas.openxmlformats.org/drawingml/2006/main">
  <xdr:twoCellAnchor editAs="oneCell">
    <xdr:from>
      <xdr:col>4</xdr:col>
      <xdr:colOff>666750</xdr:colOff>
      <xdr:row>0</xdr:row>
      <xdr:rowOff>9526</xdr:rowOff>
    </xdr:from>
    <xdr:to>
      <xdr:col>8</xdr:col>
      <xdr:colOff>717825</xdr:colOff>
      <xdr:row>0</xdr:row>
      <xdr:rowOff>405526</xdr:rowOff>
    </xdr:to>
    <mc:AlternateContent xmlns:mc="http://schemas.openxmlformats.org/markup-compatibility/2006" xmlns:a14="http://schemas.microsoft.com/office/drawing/2010/main">
      <mc:Choice Requires="a14">
        <xdr:graphicFrame macro="">
          <xdr:nvGraphicFramePr>
            <xdr:cNvPr id="2" name="Year 1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4352925" y="9526"/>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457197</xdr:colOff>
      <xdr:row>0</xdr:row>
      <xdr:rowOff>28577</xdr:rowOff>
    </xdr:from>
    <xdr:to>
      <xdr:col>7</xdr:col>
      <xdr:colOff>679722</xdr:colOff>
      <xdr:row>0</xdr:row>
      <xdr:rowOff>424577</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4619622" y="28577"/>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3.xml><?xml version="1.0" encoding="utf-8"?>
<xdr:wsDr xmlns:xdr="http://schemas.openxmlformats.org/drawingml/2006/spreadsheetDrawing" xmlns:a="http://schemas.openxmlformats.org/drawingml/2006/main">
  <xdr:twoCellAnchor>
    <xdr:from>
      <xdr:col>0</xdr:col>
      <xdr:colOff>923925</xdr:colOff>
      <xdr:row>2</xdr:row>
      <xdr:rowOff>19050</xdr:rowOff>
    </xdr:from>
    <xdr:to>
      <xdr:col>10</xdr:col>
      <xdr:colOff>352426</xdr:colOff>
      <xdr:row>25</xdr:row>
      <xdr:rowOff>142875</xdr:rowOff>
    </xdr:to>
    <xdr:sp macro="" textlink="">
      <xdr:nvSpPr>
        <xdr:cNvPr id="2" name="Rectangle 1">
          <a:extLst>
            <a:ext uri="{FF2B5EF4-FFF2-40B4-BE49-F238E27FC236}">
              <a16:creationId xmlns:a16="http://schemas.microsoft.com/office/drawing/2014/main" id="{00000000-0008-0000-2F00-000002000000}"/>
            </a:ext>
          </a:extLst>
        </xdr:cNvPr>
        <xdr:cNvSpPr/>
      </xdr:nvSpPr>
      <xdr:spPr>
        <a:xfrm>
          <a:off x="923925" y="609600"/>
          <a:ext cx="6296026" cy="3848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38100</xdr:colOff>
      <xdr:row>2</xdr:row>
      <xdr:rowOff>19050</xdr:rowOff>
    </xdr:from>
    <xdr:to>
      <xdr:col>3</xdr:col>
      <xdr:colOff>314325</xdr:colOff>
      <xdr:row>15</xdr:row>
      <xdr:rowOff>85724</xdr:rowOff>
    </xdr:to>
    <xdr:graphicFrame macro="">
      <xdr:nvGraphicFramePr>
        <xdr:cNvPr id="8" name="Chart 7">
          <a:extLst>
            <a:ext uri="{FF2B5EF4-FFF2-40B4-BE49-F238E27FC236}">
              <a16:creationId xmlns:a16="http://schemas.microsoft.com/office/drawing/2014/main" id="{00000000-0008-0000-2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9" name="Left Arrow 8">
          <a:hlinkClick xmlns:r="http://schemas.openxmlformats.org/officeDocument/2006/relationships" r:id="rId2"/>
          <a:extLst>
            <a:ext uri="{FF2B5EF4-FFF2-40B4-BE49-F238E27FC236}">
              <a16:creationId xmlns:a16="http://schemas.microsoft.com/office/drawing/2014/main" id="{00000000-0008-0000-2F00-000009000000}"/>
            </a:ext>
          </a:extLst>
        </xdr:cNvPr>
        <xdr:cNvSpPr/>
      </xdr:nvSpPr>
      <xdr:spPr>
        <a:xfrm>
          <a:off x="6867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400050</xdr:colOff>
      <xdr:row>2</xdr:row>
      <xdr:rowOff>19050</xdr:rowOff>
    </xdr:from>
    <xdr:to>
      <xdr:col>8</xdr:col>
      <xdr:colOff>228600</xdr:colOff>
      <xdr:row>15</xdr:row>
      <xdr:rowOff>85724</xdr:rowOff>
    </xdr:to>
    <xdr:graphicFrame macro="">
      <xdr:nvGraphicFramePr>
        <xdr:cNvPr id="10" name="Chart 9">
          <a:extLst>
            <a:ext uri="{FF2B5EF4-FFF2-40B4-BE49-F238E27FC236}">
              <a16:creationId xmlns:a16="http://schemas.microsoft.com/office/drawing/2014/main" id="{00000000-0008-0000-2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16</xdr:row>
      <xdr:rowOff>133350</xdr:rowOff>
    </xdr:from>
    <xdr:to>
      <xdr:col>3</xdr:col>
      <xdr:colOff>304800</xdr:colOff>
      <xdr:row>30</xdr:row>
      <xdr:rowOff>38099</xdr:rowOff>
    </xdr:to>
    <xdr:graphicFrame macro="">
      <xdr:nvGraphicFramePr>
        <xdr:cNvPr id="11" name="Chart 10">
          <a:extLst>
            <a:ext uri="{FF2B5EF4-FFF2-40B4-BE49-F238E27FC236}">
              <a16:creationId xmlns:a16="http://schemas.microsoft.com/office/drawing/2014/main" id="{00000000-0008-0000-2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390525</xdr:colOff>
      <xdr:row>16</xdr:row>
      <xdr:rowOff>133350</xdr:rowOff>
    </xdr:from>
    <xdr:to>
      <xdr:col>8</xdr:col>
      <xdr:colOff>219075</xdr:colOff>
      <xdr:row>30</xdr:row>
      <xdr:rowOff>38099</xdr:rowOff>
    </xdr:to>
    <xdr:graphicFrame macro="">
      <xdr:nvGraphicFramePr>
        <xdr:cNvPr id="12" name="Chart 11">
          <a:extLst>
            <a:ext uri="{FF2B5EF4-FFF2-40B4-BE49-F238E27FC236}">
              <a16:creationId xmlns:a16="http://schemas.microsoft.com/office/drawing/2014/main" id="{00000000-0008-0000-2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30</xdr:row>
      <xdr:rowOff>133350</xdr:rowOff>
    </xdr:from>
    <xdr:to>
      <xdr:col>3</xdr:col>
      <xdr:colOff>304800</xdr:colOff>
      <xdr:row>44</xdr:row>
      <xdr:rowOff>38099</xdr:rowOff>
    </xdr:to>
    <xdr:graphicFrame macro="">
      <xdr:nvGraphicFramePr>
        <xdr:cNvPr id="13" name="Chart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390525</xdr:colOff>
      <xdr:row>30</xdr:row>
      <xdr:rowOff>133350</xdr:rowOff>
    </xdr:from>
    <xdr:to>
      <xdr:col>8</xdr:col>
      <xdr:colOff>219075</xdr:colOff>
      <xdr:row>44</xdr:row>
      <xdr:rowOff>38099</xdr:rowOff>
    </xdr:to>
    <xdr:graphicFrame macro="">
      <xdr:nvGraphicFramePr>
        <xdr:cNvPr id="14" name="Chart 13">
          <a:extLst>
            <a:ext uri="{FF2B5EF4-FFF2-40B4-BE49-F238E27FC236}">
              <a16:creationId xmlns:a16="http://schemas.microsoft.com/office/drawing/2014/main" id="{00000000-0008-0000-2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38101</xdr:colOff>
      <xdr:row>2</xdr:row>
      <xdr:rowOff>28575</xdr:rowOff>
    </xdr:from>
    <xdr:to>
      <xdr:col>9</xdr:col>
      <xdr:colOff>466726</xdr:colOff>
      <xdr:row>28</xdr:row>
      <xdr:rowOff>104776</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6562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2</xdr:row>
      <xdr:rowOff>9525</xdr:rowOff>
    </xdr:from>
    <xdr:to>
      <xdr:col>9</xdr:col>
      <xdr:colOff>466725</xdr:colOff>
      <xdr:row>28</xdr:row>
      <xdr:rowOff>85726</xdr:rowOff>
    </xdr:to>
    <xdr:graphicFrame macro="">
      <xdr:nvGraphicFramePr>
        <xdr:cNvPr id="4" name="Chart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142875</xdr:colOff>
      <xdr:row>0</xdr:row>
      <xdr:rowOff>38100</xdr:rowOff>
    </xdr:from>
    <xdr:to>
      <xdr:col>12</xdr:col>
      <xdr:colOff>419100</xdr:colOff>
      <xdr:row>0</xdr:row>
      <xdr:rowOff>247650</xdr:rowOff>
    </xdr:to>
    <xdr:sp macro="" textlink="">
      <xdr:nvSpPr>
        <xdr:cNvPr id="5" name="Left Arrow 4">
          <a:hlinkClick xmlns:r="http://schemas.openxmlformats.org/officeDocument/2006/relationships" r:id="rId2"/>
          <a:extLst>
            <a:ext uri="{FF2B5EF4-FFF2-40B4-BE49-F238E27FC236}">
              <a16:creationId xmlns:a16="http://schemas.microsoft.com/office/drawing/2014/main" id="{00000000-0008-0000-3300-000005000000}"/>
            </a:ext>
          </a:extLst>
        </xdr:cNvPr>
        <xdr:cNvSpPr/>
      </xdr:nvSpPr>
      <xdr:spPr>
        <a:xfrm>
          <a:off x="7458075" y="3810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xdr:colOff>
      <xdr:row>2</xdr:row>
      <xdr:rowOff>19050</xdr:rowOff>
    </xdr:from>
    <xdr:to>
      <xdr:col>9</xdr:col>
      <xdr:colOff>485775</xdr:colOff>
      <xdr:row>28</xdr:row>
      <xdr:rowOff>95251</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10</xdr:col>
      <xdr:colOff>276225</xdr:colOff>
      <xdr:row>0</xdr:row>
      <xdr:rowOff>209550</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3400-000003000000}"/>
            </a:ext>
          </a:extLst>
        </xdr:cNvPr>
        <xdr:cNvSpPr/>
      </xdr:nvSpPr>
      <xdr:spPr>
        <a:xfrm>
          <a:off x="6562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57150</xdr:colOff>
      <xdr:row>2</xdr:row>
      <xdr:rowOff>9525</xdr:rowOff>
    </xdr:from>
    <xdr:to>
      <xdr:col>9</xdr:col>
      <xdr:colOff>457200</xdr:colOff>
      <xdr:row>28</xdr:row>
      <xdr:rowOff>85726</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0</xdr:row>
      <xdr:rowOff>0</xdr:rowOff>
    </xdr:from>
    <xdr:to>
      <xdr:col>11</xdr:col>
      <xdr:colOff>352425</xdr:colOff>
      <xdr:row>0</xdr:row>
      <xdr:rowOff>209550</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3500-000003000000}"/>
            </a:ext>
          </a:extLst>
        </xdr:cNvPr>
        <xdr:cNvSpPr/>
      </xdr:nvSpPr>
      <xdr:spPr>
        <a:xfrm>
          <a:off x="7248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323848</xdr:colOff>
      <xdr:row>0</xdr:row>
      <xdr:rowOff>28576</xdr:rowOff>
    </xdr:from>
    <xdr:to>
      <xdr:col>7</xdr:col>
      <xdr:colOff>260623</xdr:colOff>
      <xdr:row>0</xdr:row>
      <xdr:rowOff>424576</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3752848" y="28576"/>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9.xml><?xml version="1.0" encoding="utf-8"?>
<xdr:wsDr xmlns:xdr="http://schemas.openxmlformats.org/drawingml/2006/spreadsheetDrawing" xmlns:a="http://schemas.openxmlformats.org/drawingml/2006/main">
  <xdr:twoCellAnchor editAs="oneCell">
    <xdr:from>
      <xdr:col>5</xdr:col>
      <xdr:colOff>533401</xdr:colOff>
      <xdr:row>0</xdr:row>
      <xdr:rowOff>47624</xdr:rowOff>
    </xdr:from>
    <xdr:to>
      <xdr:col>10</xdr:col>
      <xdr:colOff>753976</xdr:colOff>
      <xdr:row>0</xdr:row>
      <xdr:rowOff>443624</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4752976" y="47624"/>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8</xdr:col>
      <xdr:colOff>133350</xdr:colOff>
      <xdr:row>42</xdr:row>
      <xdr:rowOff>9526</xdr:rowOff>
    </xdr:from>
    <xdr:to>
      <xdr:col>13</xdr:col>
      <xdr:colOff>315825</xdr:colOff>
      <xdr:row>42</xdr:row>
      <xdr:rowOff>405526</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6572250" y="7934326"/>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276225</xdr:colOff>
      <xdr:row>0</xdr:row>
      <xdr:rowOff>209550</xdr:rowOff>
    </xdr:to>
    <xdr:sp macro="" textlink="">
      <xdr:nvSpPr>
        <xdr:cNvPr id="9" name="Left Arrow 8">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a:xfrm>
          <a:off x="79248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38100</xdr:colOff>
      <xdr:row>2</xdr:row>
      <xdr:rowOff>1</xdr:rowOff>
    </xdr:from>
    <xdr:to>
      <xdr:col>5</xdr:col>
      <xdr:colOff>133350</xdr:colOff>
      <xdr:row>13</xdr:row>
      <xdr:rowOff>69226</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285750</xdr:colOff>
      <xdr:row>2</xdr:row>
      <xdr:rowOff>1</xdr:rowOff>
    </xdr:from>
    <xdr:to>
      <xdr:col>10</xdr:col>
      <xdr:colOff>381000</xdr:colOff>
      <xdr:row>13</xdr:row>
      <xdr:rowOff>69226</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14</xdr:row>
      <xdr:rowOff>38101</xdr:rowOff>
    </xdr:from>
    <xdr:to>
      <xdr:col>5</xdr:col>
      <xdr:colOff>133350</xdr:colOff>
      <xdr:row>25</xdr:row>
      <xdr:rowOff>107326</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285750</xdr:colOff>
      <xdr:row>14</xdr:row>
      <xdr:rowOff>38101</xdr:rowOff>
    </xdr:from>
    <xdr:to>
      <xdr:col>10</xdr:col>
      <xdr:colOff>381000</xdr:colOff>
      <xdr:row>25</xdr:row>
      <xdr:rowOff>107326</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26</xdr:row>
      <xdr:rowOff>76201</xdr:rowOff>
    </xdr:from>
    <xdr:to>
      <xdr:col>5</xdr:col>
      <xdr:colOff>133350</xdr:colOff>
      <xdr:row>37</xdr:row>
      <xdr:rowOff>145426</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619124</xdr:colOff>
      <xdr:row>0</xdr:row>
      <xdr:rowOff>9525</xdr:rowOff>
    </xdr:from>
    <xdr:to>
      <xdr:col>10</xdr:col>
      <xdr:colOff>496799</xdr:colOff>
      <xdr:row>0</xdr:row>
      <xdr:rowOff>405525</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5714999" y="9525"/>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1.xml><?xml version="1.0" encoding="utf-8"?>
<xdr:wsDr xmlns:xdr="http://schemas.openxmlformats.org/drawingml/2006/spreadsheetDrawing" xmlns:a="http://schemas.openxmlformats.org/drawingml/2006/main">
  <xdr:twoCellAnchor editAs="oneCell">
    <xdr:from>
      <xdr:col>4</xdr:col>
      <xdr:colOff>514351</xdr:colOff>
      <xdr:row>0</xdr:row>
      <xdr:rowOff>9525</xdr:rowOff>
    </xdr:from>
    <xdr:to>
      <xdr:col>8</xdr:col>
      <xdr:colOff>174901</xdr:colOff>
      <xdr:row>0</xdr:row>
      <xdr:rowOff>405525</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4581526" y="952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2.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276225</xdr:colOff>
      <xdr:row>0</xdr:row>
      <xdr:rowOff>209550</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4000-000004000000}"/>
            </a:ext>
          </a:extLst>
        </xdr:cNvPr>
        <xdr:cNvSpPr/>
      </xdr:nvSpPr>
      <xdr:spPr>
        <a:xfrm>
          <a:off x="67056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57150</xdr:colOff>
      <xdr:row>2</xdr:row>
      <xdr:rowOff>28575</xdr:rowOff>
    </xdr:from>
    <xdr:to>
      <xdr:col>3</xdr:col>
      <xdr:colOff>590550</xdr:colOff>
      <xdr:row>13</xdr:row>
      <xdr:rowOff>142876</xdr:rowOff>
    </xdr:to>
    <xdr:graphicFrame macro="">
      <xdr:nvGraphicFramePr>
        <xdr:cNvPr id="6" name="Chart 5">
          <a:extLst>
            <a:ext uri="{FF2B5EF4-FFF2-40B4-BE49-F238E27FC236}">
              <a16:creationId xmlns:a16="http://schemas.microsoft.com/office/drawing/2014/main" id="{00000000-0008-0000-4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2</xdr:row>
      <xdr:rowOff>28575</xdr:rowOff>
    </xdr:from>
    <xdr:to>
      <xdr:col>8</xdr:col>
      <xdr:colOff>142875</xdr:colOff>
      <xdr:row>13</xdr:row>
      <xdr:rowOff>142876</xdr:rowOff>
    </xdr:to>
    <xdr:graphicFrame macro="">
      <xdr:nvGraphicFramePr>
        <xdr:cNvPr id="8" name="Chart 7">
          <a:extLst>
            <a:ext uri="{FF2B5EF4-FFF2-40B4-BE49-F238E27FC236}">
              <a16:creationId xmlns:a16="http://schemas.microsoft.com/office/drawing/2014/main" id="{00000000-0008-0000-4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361950</xdr:colOff>
      <xdr:row>4</xdr:row>
      <xdr:rowOff>133350</xdr:rowOff>
    </xdr:from>
    <xdr:to>
      <xdr:col>8</xdr:col>
      <xdr:colOff>66675</xdr:colOff>
      <xdr:row>20</xdr:row>
      <xdr:rowOff>85725</xdr:rowOff>
    </xdr:to>
    <xdr:sp macro="" textlink="">
      <xdr:nvSpPr>
        <xdr:cNvPr id="10" name="Rectangle 9">
          <a:extLst>
            <a:ext uri="{FF2B5EF4-FFF2-40B4-BE49-F238E27FC236}">
              <a16:creationId xmlns:a16="http://schemas.microsoft.com/office/drawing/2014/main" id="{00000000-0008-0000-4100-00000A000000}"/>
            </a:ext>
          </a:extLst>
        </xdr:cNvPr>
        <xdr:cNvSpPr/>
      </xdr:nvSpPr>
      <xdr:spPr>
        <a:xfrm>
          <a:off x="361950" y="1047750"/>
          <a:ext cx="45815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0</xdr:colOff>
      <xdr:row>0</xdr:row>
      <xdr:rowOff>0</xdr:rowOff>
    </xdr:from>
    <xdr:to>
      <xdr:col>11</xdr:col>
      <xdr:colOff>276225</xdr:colOff>
      <xdr:row>0</xdr:row>
      <xdr:rowOff>209550</xdr:rowOff>
    </xdr:to>
    <xdr:sp macro="" textlink="">
      <xdr:nvSpPr>
        <xdr:cNvPr id="7" name="Left Arrow 6">
          <a:hlinkClick xmlns:r="http://schemas.openxmlformats.org/officeDocument/2006/relationships" r:id="rId1"/>
          <a:extLst>
            <a:ext uri="{FF2B5EF4-FFF2-40B4-BE49-F238E27FC236}">
              <a16:creationId xmlns:a16="http://schemas.microsoft.com/office/drawing/2014/main" id="{00000000-0008-0000-4100-000007000000}"/>
            </a:ext>
          </a:extLst>
        </xdr:cNvPr>
        <xdr:cNvSpPr/>
      </xdr:nvSpPr>
      <xdr:spPr>
        <a:xfrm>
          <a:off x="67056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57150</xdr:colOff>
      <xdr:row>14</xdr:row>
      <xdr:rowOff>9525</xdr:rowOff>
    </xdr:from>
    <xdr:to>
      <xdr:col>5</xdr:col>
      <xdr:colOff>151950</xdr:colOff>
      <xdr:row>25</xdr:row>
      <xdr:rowOff>78750</xdr:rowOff>
    </xdr:to>
    <xdr:graphicFrame macro="">
      <xdr:nvGraphicFramePr>
        <xdr:cNvPr id="25" name="Chart 24">
          <a:extLst>
            <a:ext uri="{FF2B5EF4-FFF2-40B4-BE49-F238E27FC236}">
              <a16:creationId xmlns:a16="http://schemas.microsoft.com/office/drawing/2014/main" id="{00000000-0008-0000-4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266700</xdr:colOff>
      <xdr:row>14</xdr:row>
      <xdr:rowOff>9525</xdr:rowOff>
    </xdr:from>
    <xdr:to>
      <xdr:col>10</xdr:col>
      <xdr:colOff>361500</xdr:colOff>
      <xdr:row>25</xdr:row>
      <xdr:rowOff>78750</xdr:rowOff>
    </xdr:to>
    <xdr:graphicFrame macro="">
      <xdr:nvGraphicFramePr>
        <xdr:cNvPr id="26" name="Chart 25">
          <a:extLst>
            <a:ext uri="{FF2B5EF4-FFF2-40B4-BE49-F238E27FC236}">
              <a16:creationId xmlns:a16="http://schemas.microsoft.com/office/drawing/2014/main" id="{00000000-0008-0000-4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xdr:row>
      <xdr:rowOff>152400</xdr:rowOff>
    </xdr:from>
    <xdr:to>
      <xdr:col>5</xdr:col>
      <xdr:colOff>151950</xdr:colOff>
      <xdr:row>13</xdr:row>
      <xdr:rowOff>59700</xdr:rowOff>
    </xdr:to>
    <xdr:graphicFrame macro="">
      <xdr:nvGraphicFramePr>
        <xdr:cNvPr id="28" name="Chart 27">
          <a:extLst>
            <a:ext uri="{FF2B5EF4-FFF2-40B4-BE49-F238E27FC236}">
              <a16:creationId xmlns:a16="http://schemas.microsoft.com/office/drawing/2014/main" id="{00000000-0008-0000-4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257175</xdr:colOff>
      <xdr:row>1</xdr:row>
      <xdr:rowOff>152400</xdr:rowOff>
    </xdr:from>
    <xdr:to>
      <xdr:col>10</xdr:col>
      <xdr:colOff>351975</xdr:colOff>
      <xdr:row>13</xdr:row>
      <xdr:rowOff>59700</xdr:rowOff>
    </xdr:to>
    <xdr:graphicFrame macro="">
      <xdr:nvGraphicFramePr>
        <xdr:cNvPr id="12" name="Chart 11">
          <a:extLst>
            <a:ext uri="{FF2B5EF4-FFF2-40B4-BE49-F238E27FC236}">
              <a16:creationId xmlns:a16="http://schemas.microsoft.com/office/drawing/2014/main" id="{00000000-0008-0000-4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428625</xdr:colOff>
      <xdr:row>4</xdr:row>
      <xdr:rowOff>66675</xdr:rowOff>
    </xdr:from>
    <xdr:to>
      <xdr:col>7</xdr:col>
      <xdr:colOff>323850</xdr:colOff>
      <xdr:row>20</xdr:row>
      <xdr:rowOff>19050</xdr:rowOff>
    </xdr:to>
    <xdr:sp macro="" textlink="">
      <xdr:nvSpPr>
        <xdr:cNvPr id="2" name="Rectangle 1">
          <a:extLst>
            <a:ext uri="{FF2B5EF4-FFF2-40B4-BE49-F238E27FC236}">
              <a16:creationId xmlns:a16="http://schemas.microsoft.com/office/drawing/2014/main" id="{00000000-0008-0000-4200-000002000000}"/>
            </a:ext>
          </a:extLst>
        </xdr:cNvPr>
        <xdr:cNvSpPr/>
      </xdr:nvSpPr>
      <xdr:spPr>
        <a:xfrm>
          <a:off x="428625" y="981075"/>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0</xdr:colOff>
      <xdr:row>0</xdr:row>
      <xdr:rowOff>0</xdr:rowOff>
    </xdr:from>
    <xdr:to>
      <xdr:col>11</xdr:col>
      <xdr:colOff>276225</xdr:colOff>
      <xdr:row>0</xdr:row>
      <xdr:rowOff>209550</xdr:rowOff>
    </xdr:to>
    <xdr:sp macro="" textlink="">
      <xdr:nvSpPr>
        <xdr:cNvPr id="7" name="Left Arrow 6">
          <a:hlinkClick xmlns:r="http://schemas.openxmlformats.org/officeDocument/2006/relationships" r:id="rId1"/>
          <a:extLst>
            <a:ext uri="{FF2B5EF4-FFF2-40B4-BE49-F238E27FC236}">
              <a16:creationId xmlns:a16="http://schemas.microsoft.com/office/drawing/2014/main" id="{00000000-0008-0000-4200-000007000000}"/>
            </a:ext>
          </a:extLst>
        </xdr:cNvPr>
        <xdr:cNvSpPr/>
      </xdr:nvSpPr>
      <xdr:spPr>
        <a:xfrm>
          <a:off x="67056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14</xdr:row>
      <xdr:rowOff>123825</xdr:rowOff>
    </xdr:from>
    <xdr:to>
      <xdr:col>5</xdr:col>
      <xdr:colOff>190050</xdr:colOff>
      <xdr:row>26</xdr:row>
      <xdr:rowOff>31125</xdr:rowOff>
    </xdr:to>
    <xdr:graphicFrame macro="">
      <xdr:nvGraphicFramePr>
        <xdr:cNvPr id="12" name="Chart 11">
          <a:extLst>
            <a:ext uri="{FF2B5EF4-FFF2-40B4-BE49-F238E27FC236}">
              <a16:creationId xmlns:a16="http://schemas.microsoft.com/office/drawing/2014/main" id="{00000000-0008-0000-4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314325</xdr:colOff>
      <xdr:row>14</xdr:row>
      <xdr:rowOff>123825</xdr:rowOff>
    </xdr:from>
    <xdr:to>
      <xdr:col>10</xdr:col>
      <xdr:colOff>409125</xdr:colOff>
      <xdr:row>26</xdr:row>
      <xdr:rowOff>31125</xdr:rowOff>
    </xdr:to>
    <xdr:graphicFrame macro="">
      <xdr:nvGraphicFramePr>
        <xdr:cNvPr id="13" name="Chart 12">
          <a:extLst>
            <a:ext uri="{FF2B5EF4-FFF2-40B4-BE49-F238E27FC236}">
              <a16:creationId xmlns:a16="http://schemas.microsoft.com/office/drawing/2014/main" id="{00000000-0008-0000-4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314325</xdr:colOff>
      <xdr:row>2</xdr:row>
      <xdr:rowOff>19050</xdr:rowOff>
    </xdr:from>
    <xdr:to>
      <xdr:col>10</xdr:col>
      <xdr:colOff>409125</xdr:colOff>
      <xdr:row>13</xdr:row>
      <xdr:rowOff>88275</xdr:rowOff>
    </xdr:to>
    <xdr:graphicFrame macro="">
      <xdr:nvGraphicFramePr>
        <xdr:cNvPr id="14" name="Chart 13">
          <a:extLst>
            <a:ext uri="{FF2B5EF4-FFF2-40B4-BE49-F238E27FC236}">
              <a16:creationId xmlns:a16="http://schemas.microsoft.com/office/drawing/2014/main" id="{00000000-0008-0000-4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2</xdr:row>
      <xdr:rowOff>19050</xdr:rowOff>
    </xdr:from>
    <xdr:to>
      <xdr:col>5</xdr:col>
      <xdr:colOff>190050</xdr:colOff>
      <xdr:row>13</xdr:row>
      <xdr:rowOff>88275</xdr:rowOff>
    </xdr:to>
    <xdr:graphicFrame macro="">
      <xdr:nvGraphicFramePr>
        <xdr:cNvPr id="15" name="Chart 14">
          <a:extLst>
            <a:ext uri="{FF2B5EF4-FFF2-40B4-BE49-F238E27FC236}">
              <a16:creationId xmlns:a16="http://schemas.microsoft.com/office/drawing/2014/main" id="{00000000-0008-0000-4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2</xdr:row>
      <xdr:rowOff>0</xdr:rowOff>
    </xdr:from>
    <xdr:to>
      <xdr:col>5</xdr:col>
      <xdr:colOff>132900</xdr:colOff>
      <xdr:row>13</xdr:row>
      <xdr:rowOff>65625</xdr:rowOff>
    </xdr:to>
    <xdr:graphicFrame macro="">
      <xdr:nvGraphicFramePr>
        <xdr:cNvPr id="5" name="Chart 4">
          <a:extLst>
            <a:ext uri="{FF2B5EF4-FFF2-40B4-BE49-F238E27FC236}">
              <a16:creationId xmlns:a16="http://schemas.microsoft.com/office/drawing/2014/main" id="{00000000-0008-0000-4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266700</xdr:colOff>
      <xdr:row>2</xdr:row>
      <xdr:rowOff>0</xdr:rowOff>
    </xdr:from>
    <xdr:to>
      <xdr:col>10</xdr:col>
      <xdr:colOff>361500</xdr:colOff>
      <xdr:row>13</xdr:row>
      <xdr:rowOff>65625</xdr:rowOff>
    </xdr:to>
    <xdr:graphicFrame macro="">
      <xdr:nvGraphicFramePr>
        <xdr:cNvPr id="6" name="Chart 5">
          <a:extLst>
            <a:ext uri="{FF2B5EF4-FFF2-40B4-BE49-F238E27FC236}">
              <a16:creationId xmlns:a16="http://schemas.microsoft.com/office/drawing/2014/main" id="{00000000-0008-0000-4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11</xdr:col>
      <xdr:colOff>276225</xdr:colOff>
      <xdr:row>0</xdr:row>
      <xdr:rowOff>209550</xdr:rowOff>
    </xdr:to>
    <xdr:sp macro="" textlink="">
      <xdr:nvSpPr>
        <xdr:cNvPr id="4" name="Left Arrow 3">
          <a:hlinkClick xmlns:r="http://schemas.openxmlformats.org/officeDocument/2006/relationships" r:id="rId3"/>
          <a:extLst>
            <a:ext uri="{FF2B5EF4-FFF2-40B4-BE49-F238E27FC236}">
              <a16:creationId xmlns:a16="http://schemas.microsoft.com/office/drawing/2014/main" id="{00000000-0008-0000-4300-000004000000}"/>
            </a:ext>
          </a:extLst>
        </xdr:cNvPr>
        <xdr:cNvSpPr/>
      </xdr:nvSpPr>
      <xdr:spPr>
        <a:xfrm>
          <a:off x="67056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771523</xdr:colOff>
      <xdr:row>0</xdr:row>
      <xdr:rowOff>19050</xdr:rowOff>
    </xdr:from>
    <xdr:to>
      <xdr:col>8</xdr:col>
      <xdr:colOff>57673</xdr:colOff>
      <xdr:row>0</xdr:row>
      <xdr:rowOff>415050</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4943473" y="19050"/>
              <a:ext cx="342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209549</xdr:colOff>
      <xdr:row>18</xdr:row>
      <xdr:rowOff>9525</xdr:rowOff>
    </xdr:from>
    <xdr:to>
      <xdr:col>8</xdr:col>
      <xdr:colOff>371999</xdr:colOff>
      <xdr:row>18</xdr:row>
      <xdr:rowOff>405525</xdr:rowOff>
    </xdr:to>
    <mc:AlternateContent xmlns:mc="http://schemas.openxmlformats.org/markup-compatibility/2006" xmlns:a14="http://schemas.microsoft.com/office/drawing/2010/main">
      <mc:Choice Requires="a14">
        <xdr:graphicFrame macro="">
          <xdr:nvGraphicFramePr>
            <xdr:cNvPr id="3" name="Year 19">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5257799" y="3819525"/>
              <a:ext cx="342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638174</xdr:colOff>
      <xdr:row>37</xdr:row>
      <xdr:rowOff>152401</xdr:rowOff>
    </xdr:from>
    <xdr:to>
      <xdr:col>8</xdr:col>
      <xdr:colOff>800624</xdr:colOff>
      <xdr:row>38</xdr:row>
      <xdr:rowOff>386476</xdr:rowOff>
    </xdr:to>
    <mc:AlternateContent xmlns:mc="http://schemas.openxmlformats.org/markup-compatibility/2006" xmlns:a14="http://schemas.microsoft.com/office/drawing/2010/main">
      <mc:Choice Requires="a14">
        <xdr:graphicFrame macro="">
          <xdr:nvGraphicFramePr>
            <xdr:cNvPr id="4" name="Year 20">
              <a:extLst>
                <a:ext uri="{FF2B5EF4-FFF2-40B4-BE49-F238E27FC236}">
                  <a16:creationId xmlns:a16="http://schemas.microsoft.com/office/drawing/2014/main" id="{00000000-0008-0000-4500-000004000000}"/>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5686424" y="8258176"/>
              <a:ext cx="342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1514476</xdr:colOff>
      <xdr:row>0</xdr:row>
      <xdr:rowOff>381000</xdr:rowOff>
    </xdr:from>
    <xdr:to>
      <xdr:col>2</xdr:col>
      <xdr:colOff>1154026</xdr:colOff>
      <xdr:row>1</xdr:row>
      <xdr:rowOff>291225</xdr:rowOff>
    </xdr:to>
    <mc:AlternateContent xmlns:mc="http://schemas.openxmlformats.org/markup-compatibility/2006" xmlns:a14="http://schemas.microsoft.com/office/drawing/2010/main">
      <mc:Choice Requires="a14">
        <xdr:graphicFrame macro="">
          <xdr:nvGraphicFramePr>
            <xdr:cNvPr id="2" name="Year 2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1514476" y="381000"/>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1514475</xdr:colOff>
      <xdr:row>21</xdr:row>
      <xdr:rowOff>457201</xdr:rowOff>
    </xdr:from>
    <xdr:to>
      <xdr:col>2</xdr:col>
      <xdr:colOff>1154025</xdr:colOff>
      <xdr:row>22</xdr:row>
      <xdr:rowOff>367426</xdr:rowOff>
    </xdr:to>
    <mc:AlternateContent xmlns:mc="http://schemas.openxmlformats.org/markup-compatibility/2006" xmlns:a14="http://schemas.microsoft.com/office/drawing/2010/main">
      <mc:Choice Requires="a14">
        <xdr:graphicFrame macro="">
          <xdr:nvGraphicFramePr>
            <xdr:cNvPr id="3" name="Year 22">
              <a:extLst>
                <a:ext uri="{FF2B5EF4-FFF2-40B4-BE49-F238E27FC236}">
                  <a16:creationId xmlns:a16="http://schemas.microsoft.com/office/drawing/2014/main" id="{00000000-0008-0000-4900-000003000000}"/>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1514475" y="5191126"/>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1409702</xdr:colOff>
      <xdr:row>44</xdr:row>
      <xdr:rowOff>342900</xdr:rowOff>
    </xdr:from>
    <xdr:to>
      <xdr:col>2</xdr:col>
      <xdr:colOff>1049252</xdr:colOff>
      <xdr:row>45</xdr:row>
      <xdr:rowOff>253125</xdr:rowOff>
    </xdr:to>
    <mc:AlternateContent xmlns:mc="http://schemas.openxmlformats.org/markup-compatibility/2006" xmlns:a14="http://schemas.microsoft.com/office/drawing/2010/main">
      <mc:Choice Requires="a14">
        <xdr:graphicFrame macro="">
          <xdr:nvGraphicFramePr>
            <xdr:cNvPr id="4" name="Year 23">
              <a:extLst>
                <a:ext uri="{FF2B5EF4-FFF2-40B4-BE49-F238E27FC236}">
                  <a16:creationId xmlns:a16="http://schemas.microsoft.com/office/drawing/2014/main" id="{00000000-0008-0000-4900-000004000000}"/>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1409702" y="10410825"/>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8.xml><?xml version="1.0" encoding="utf-8"?>
<xdr:wsDr xmlns:xdr="http://schemas.openxmlformats.org/drawingml/2006/spreadsheetDrawing" xmlns:a="http://schemas.openxmlformats.org/drawingml/2006/main">
  <xdr:twoCellAnchor editAs="oneCell">
    <xdr:from>
      <xdr:col>3</xdr:col>
      <xdr:colOff>542923</xdr:colOff>
      <xdr:row>0</xdr:row>
      <xdr:rowOff>19050</xdr:rowOff>
    </xdr:from>
    <xdr:to>
      <xdr:col>8</xdr:col>
      <xdr:colOff>268198</xdr:colOff>
      <xdr:row>0</xdr:row>
      <xdr:rowOff>415050</xdr:rowOff>
    </xdr:to>
    <mc:AlternateContent xmlns:mc="http://schemas.openxmlformats.org/markup-compatibility/2006" xmlns:a14="http://schemas.microsoft.com/office/drawing/2010/main">
      <mc:Choice Requires="a14">
        <xdr:graphicFrame macro="">
          <xdr:nvGraphicFramePr>
            <xdr:cNvPr id="2" name="Year 24">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4724398" y="19050"/>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76199</xdr:colOff>
      <xdr:row>17</xdr:row>
      <xdr:rowOff>152400</xdr:rowOff>
    </xdr:from>
    <xdr:to>
      <xdr:col>8</xdr:col>
      <xdr:colOff>572999</xdr:colOff>
      <xdr:row>18</xdr:row>
      <xdr:rowOff>386475</xdr:rowOff>
    </xdr:to>
    <mc:AlternateContent xmlns:mc="http://schemas.openxmlformats.org/markup-compatibility/2006" xmlns:a14="http://schemas.microsoft.com/office/drawing/2010/main">
      <mc:Choice Requires="a14">
        <xdr:graphicFrame macro="">
          <xdr:nvGraphicFramePr>
            <xdr:cNvPr id="3" name="Year 25">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5029199" y="3752850"/>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266697</xdr:colOff>
      <xdr:row>38</xdr:row>
      <xdr:rowOff>1</xdr:rowOff>
    </xdr:from>
    <xdr:to>
      <xdr:col>9</xdr:col>
      <xdr:colOff>430122</xdr:colOff>
      <xdr:row>38</xdr:row>
      <xdr:rowOff>396001</xdr:rowOff>
    </xdr:to>
    <mc:AlternateContent xmlns:mc="http://schemas.openxmlformats.org/markup-compatibility/2006" xmlns:a14="http://schemas.microsoft.com/office/drawing/2010/main">
      <mc:Choice Requires="a14">
        <xdr:graphicFrame macro="">
          <xdr:nvGraphicFramePr>
            <xdr:cNvPr id="4" name="Year 26">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5981697" y="8058151"/>
              <a:ext cx="324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9.xml><?xml version="1.0" encoding="utf-8"?>
<xdr:wsDr xmlns:xdr="http://schemas.openxmlformats.org/drawingml/2006/spreadsheetDrawing" xmlns:a="http://schemas.openxmlformats.org/drawingml/2006/main">
  <xdr:twoCellAnchor editAs="oneCell">
    <xdr:from>
      <xdr:col>1</xdr:col>
      <xdr:colOff>390526</xdr:colOff>
      <xdr:row>0</xdr:row>
      <xdr:rowOff>438151</xdr:rowOff>
    </xdr:from>
    <xdr:to>
      <xdr:col>5</xdr:col>
      <xdr:colOff>89176</xdr:colOff>
      <xdr:row>1</xdr:row>
      <xdr:rowOff>348376</xdr:rowOff>
    </xdr:to>
    <mc:AlternateContent xmlns:mc="http://schemas.openxmlformats.org/markup-compatibility/2006" xmlns:a14="http://schemas.microsoft.com/office/drawing/2010/main">
      <mc:Choice Requires="a14">
        <xdr:graphicFrame macro="">
          <xdr:nvGraphicFramePr>
            <xdr:cNvPr id="2" name="Year 27">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microsoft.com/office/drawing/2010/slicer">
              <sle:slicer xmlns:sle="http://schemas.microsoft.com/office/drawing/2010/slicer" name="Year 27"/>
            </a:graphicData>
          </a:graphic>
        </xdr:graphicFrame>
      </mc:Choice>
      <mc:Fallback xmlns="">
        <xdr:sp macro="" textlink="">
          <xdr:nvSpPr>
            <xdr:cNvPr id="0" name=""/>
            <xdr:cNvSpPr>
              <a:spLocks noTextEdit="1"/>
            </xdr:cNvSpPr>
          </xdr:nvSpPr>
          <xdr:spPr>
            <a:xfrm>
              <a:off x="2771776" y="438151"/>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266699</xdr:colOff>
      <xdr:row>21</xdr:row>
      <xdr:rowOff>276225</xdr:rowOff>
    </xdr:from>
    <xdr:to>
      <xdr:col>4</xdr:col>
      <xdr:colOff>774974</xdr:colOff>
      <xdr:row>22</xdr:row>
      <xdr:rowOff>186450</xdr:rowOff>
    </xdr:to>
    <mc:AlternateContent xmlns:mc="http://schemas.openxmlformats.org/markup-compatibility/2006" xmlns:a14="http://schemas.microsoft.com/office/drawing/2010/main">
      <mc:Choice Requires="a14">
        <xdr:graphicFrame macro="">
          <xdr:nvGraphicFramePr>
            <xdr:cNvPr id="3" name="Year 28">
              <a:extLst>
                <a:ext uri="{FF2B5EF4-FFF2-40B4-BE49-F238E27FC236}">
                  <a16:creationId xmlns:a16="http://schemas.microsoft.com/office/drawing/2014/main" id="{00000000-0008-0000-5000-000003000000}"/>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2647949" y="511492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171450</xdr:colOff>
      <xdr:row>44</xdr:row>
      <xdr:rowOff>333375</xdr:rowOff>
    </xdr:from>
    <xdr:to>
      <xdr:col>4</xdr:col>
      <xdr:colOff>679725</xdr:colOff>
      <xdr:row>45</xdr:row>
      <xdr:rowOff>243600</xdr:rowOff>
    </xdr:to>
    <mc:AlternateContent xmlns:mc="http://schemas.openxmlformats.org/markup-compatibility/2006" xmlns:a14="http://schemas.microsoft.com/office/drawing/2010/main">
      <mc:Choice Requires="a14">
        <xdr:graphicFrame macro="">
          <xdr:nvGraphicFramePr>
            <xdr:cNvPr id="4" name="Year 29">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2552700" y="10477500"/>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xml><?xml version="1.0" encoding="utf-8"?>
<xdr:wsDr xmlns:xdr="http://schemas.openxmlformats.org/drawingml/2006/spreadsheetDrawing" xmlns:a="http://schemas.openxmlformats.org/drawingml/2006/main">
  <xdr:twoCellAnchor>
    <xdr:from>
      <xdr:col>7</xdr:col>
      <xdr:colOff>400050</xdr:colOff>
      <xdr:row>2</xdr:row>
      <xdr:rowOff>57150</xdr:rowOff>
    </xdr:from>
    <xdr:to>
      <xdr:col>18</xdr:col>
      <xdr:colOff>0</xdr:colOff>
      <xdr:row>30</xdr:row>
      <xdr:rowOff>47625</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57150</xdr:rowOff>
    </xdr:from>
    <xdr:to>
      <xdr:col>9</xdr:col>
      <xdr:colOff>352425</xdr:colOff>
      <xdr:row>30</xdr:row>
      <xdr:rowOff>47625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209550</xdr:colOff>
      <xdr:row>0</xdr:row>
      <xdr:rowOff>95250</xdr:rowOff>
    </xdr:from>
    <xdr:to>
      <xdr:col>18</xdr:col>
      <xdr:colOff>485775</xdr:colOff>
      <xdr:row>0</xdr:row>
      <xdr:rowOff>304800</xdr:rowOff>
    </xdr:to>
    <xdr:sp macro="" textlink="">
      <xdr:nvSpPr>
        <xdr:cNvPr id="3" name="Left Arrow 2">
          <a:hlinkClick xmlns:r="http://schemas.openxmlformats.org/officeDocument/2006/relationships" r:id="rId3"/>
          <a:extLst>
            <a:ext uri="{FF2B5EF4-FFF2-40B4-BE49-F238E27FC236}">
              <a16:creationId xmlns:a16="http://schemas.microsoft.com/office/drawing/2014/main" id="{00000000-0008-0000-0700-000003000000}"/>
            </a:ext>
          </a:extLst>
        </xdr:cNvPr>
        <xdr:cNvSpPr/>
      </xdr:nvSpPr>
      <xdr:spPr>
        <a:xfrm>
          <a:off x="11649075" y="9525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19050</xdr:colOff>
      <xdr:row>2</xdr:row>
      <xdr:rowOff>9525</xdr:rowOff>
    </xdr:from>
    <xdr:to>
      <xdr:col>8</xdr:col>
      <xdr:colOff>400050</xdr:colOff>
      <xdr:row>19</xdr:row>
      <xdr:rowOff>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85725</xdr:colOff>
      <xdr:row>0</xdr:row>
      <xdr:rowOff>47625</xdr:rowOff>
    </xdr:from>
    <xdr:to>
      <xdr:col>10</xdr:col>
      <xdr:colOff>361950</xdr:colOff>
      <xdr:row>0</xdr:row>
      <xdr:rowOff>257175</xdr:rowOff>
    </xdr:to>
    <xdr:sp macro="" textlink="">
      <xdr:nvSpPr>
        <xdr:cNvPr id="3" name="Left Arrow 8">
          <a:hlinkClick xmlns:r="http://schemas.openxmlformats.org/officeDocument/2006/relationships" r:id="rId2"/>
          <a:extLst>
            <a:ext uri="{FF2B5EF4-FFF2-40B4-BE49-F238E27FC236}">
              <a16:creationId xmlns:a16="http://schemas.microsoft.com/office/drawing/2014/main" id="{00000000-0008-0000-5200-000003000000}"/>
            </a:ext>
          </a:extLst>
        </xdr:cNvPr>
        <xdr:cNvSpPr/>
      </xdr:nvSpPr>
      <xdr:spPr>
        <a:xfrm>
          <a:off x="6181725" y="4762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742951</xdr:colOff>
      <xdr:row>0</xdr:row>
      <xdr:rowOff>47625</xdr:rowOff>
    </xdr:from>
    <xdr:to>
      <xdr:col>12</xdr:col>
      <xdr:colOff>289201</xdr:colOff>
      <xdr:row>0</xdr:row>
      <xdr:rowOff>443625</xdr:rowOff>
    </xdr:to>
    <mc:AlternateContent xmlns:mc="http://schemas.openxmlformats.org/markup-compatibility/2006" xmlns:a14="http://schemas.microsoft.com/office/drawing/2010/main">
      <mc:Choice Requires="a14">
        <xdr:graphicFrame macro="">
          <xdr:nvGraphicFramePr>
            <xdr:cNvPr id="2" name="a.Year">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microsoft.com/office/drawing/2010/slicer">
              <sle:slicer xmlns:sle="http://schemas.microsoft.com/office/drawing/2010/slicer" name="a.Year"/>
            </a:graphicData>
          </a:graphic>
        </xdr:graphicFrame>
      </mc:Choice>
      <mc:Fallback xmlns="">
        <xdr:sp macro="" textlink="">
          <xdr:nvSpPr>
            <xdr:cNvPr id="0" name=""/>
            <xdr:cNvSpPr>
              <a:spLocks noTextEdit="1"/>
            </xdr:cNvSpPr>
          </xdr:nvSpPr>
          <xdr:spPr>
            <a:xfrm>
              <a:off x="7362826" y="4762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2.xml><?xml version="1.0" encoding="utf-8"?>
<xdr:wsDr xmlns:xdr="http://schemas.openxmlformats.org/drawingml/2006/spreadsheetDrawing" xmlns:a="http://schemas.openxmlformats.org/drawingml/2006/main">
  <xdr:twoCellAnchor>
    <xdr:from>
      <xdr:col>0</xdr:col>
      <xdr:colOff>304800</xdr:colOff>
      <xdr:row>2</xdr:row>
      <xdr:rowOff>133350</xdr:rowOff>
    </xdr:from>
    <xdr:to>
      <xdr:col>12</xdr:col>
      <xdr:colOff>590551</xdr:colOff>
      <xdr:row>65</xdr:row>
      <xdr:rowOff>28575</xdr:rowOff>
    </xdr:to>
    <xdr:sp macro="" textlink="">
      <xdr:nvSpPr>
        <xdr:cNvPr id="5" name="Rectangle 4">
          <a:extLst>
            <a:ext uri="{FF2B5EF4-FFF2-40B4-BE49-F238E27FC236}">
              <a16:creationId xmlns:a16="http://schemas.microsoft.com/office/drawing/2014/main" id="{00000000-0008-0000-5900-000005000000}"/>
            </a:ext>
          </a:extLst>
        </xdr:cNvPr>
        <xdr:cNvSpPr/>
      </xdr:nvSpPr>
      <xdr:spPr>
        <a:xfrm>
          <a:off x="304800" y="561975"/>
          <a:ext cx="11639551" cy="10096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28575</xdr:colOff>
      <xdr:row>2</xdr:row>
      <xdr:rowOff>9525</xdr:rowOff>
    </xdr:from>
    <xdr:to>
      <xdr:col>5</xdr:col>
      <xdr:colOff>828675</xdr:colOff>
      <xdr:row>30</xdr:row>
      <xdr:rowOff>76200</xdr:rowOff>
    </xdr:to>
    <xdr:graphicFrame macro="">
      <xdr:nvGraphicFramePr>
        <xdr:cNvPr id="2" name="Chart 1">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95250</xdr:rowOff>
    </xdr:from>
    <xdr:to>
      <xdr:col>5</xdr:col>
      <xdr:colOff>800100</xdr:colOff>
      <xdr:row>59</xdr:row>
      <xdr:rowOff>0</xdr:rowOff>
    </xdr:to>
    <xdr:graphicFrame macro="">
      <xdr:nvGraphicFramePr>
        <xdr:cNvPr id="6" name="Chart 5">
          <a:extLst>
            <a:ext uri="{FF2B5EF4-FFF2-40B4-BE49-F238E27FC236}">
              <a16:creationId xmlns:a16="http://schemas.microsoft.com/office/drawing/2014/main" id="{00000000-0008-0000-5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0</xdr:row>
      <xdr:rowOff>114300</xdr:rowOff>
    </xdr:from>
    <xdr:to>
      <xdr:col>6</xdr:col>
      <xdr:colOff>447675</xdr:colOff>
      <xdr:row>0</xdr:row>
      <xdr:rowOff>323850</xdr:rowOff>
    </xdr:to>
    <xdr:sp macro="" textlink="">
      <xdr:nvSpPr>
        <xdr:cNvPr id="7" name="Left Arrow 5">
          <a:hlinkClick xmlns:r="http://schemas.openxmlformats.org/officeDocument/2006/relationships" r:id="rId3"/>
          <a:extLst>
            <a:ext uri="{FF2B5EF4-FFF2-40B4-BE49-F238E27FC236}">
              <a16:creationId xmlns:a16="http://schemas.microsoft.com/office/drawing/2014/main" id="{00000000-0008-0000-5900-000007000000}"/>
            </a:ext>
          </a:extLst>
        </xdr:cNvPr>
        <xdr:cNvSpPr/>
      </xdr:nvSpPr>
      <xdr:spPr>
        <a:xfrm>
          <a:off x="7867650" y="11430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295274</xdr:colOff>
      <xdr:row>17</xdr:row>
      <xdr:rowOff>266701</xdr:rowOff>
    </xdr:from>
    <xdr:to>
      <xdr:col>5</xdr:col>
      <xdr:colOff>479699</xdr:colOff>
      <xdr:row>18</xdr:row>
      <xdr:rowOff>176926</xdr:rowOff>
    </xdr:to>
    <mc:AlternateContent xmlns:mc="http://schemas.openxmlformats.org/markup-compatibility/2006" xmlns:a14="http://schemas.microsoft.com/office/drawing/2010/main">
      <mc:Choice Requires="a14">
        <xdr:graphicFrame macro="">
          <xdr:nvGraphicFramePr>
            <xdr:cNvPr id="2" name="Year 30">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microsoft.com/office/drawing/2010/slicer">
              <sle:slicer xmlns:sle="http://schemas.microsoft.com/office/drawing/2010/slicer" name="Year 30"/>
            </a:graphicData>
          </a:graphic>
        </xdr:graphicFrame>
      </mc:Choice>
      <mc:Fallback xmlns="">
        <xdr:sp macro="" textlink="">
          <xdr:nvSpPr>
            <xdr:cNvPr id="0" name=""/>
            <xdr:cNvSpPr>
              <a:spLocks noTextEdit="1"/>
            </xdr:cNvSpPr>
          </xdr:nvSpPr>
          <xdr:spPr>
            <a:xfrm>
              <a:off x="2695574" y="3829051"/>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571500</xdr:colOff>
      <xdr:row>33</xdr:row>
      <xdr:rowOff>9526</xdr:rowOff>
    </xdr:from>
    <xdr:to>
      <xdr:col>14</xdr:col>
      <xdr:colOff>470175</xdr:colOff>
      <xdr:row>33</xdr:row>
      <xdr:rowOff>405526</xdr:rowOff>
    </xdr:to>
    <mc:AlternateContent xmlns:mc="http://schemas.openxmlformats.org/markup-compatibility/2006" xmlns:a14="http://schemas.microsoft.com/office/drawing/2010/main">
      <mc:Choice Requires="a14">
        <xdr:graphicFrame macro="">
          <xdr:nvGraphicFramePr>
            <xdr:cNvPr id="2" name="Year 31">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microsoft.com/office/drawing/2010/slicer">
              <sle:slicer xmlns:sle="http://schemas.microsoft.com/office/drawing/2010/slicer" name="Year 31"/>
            </a:graphicData>
          </a:graphic>
        </xdr:graphicFrame>
      </mc:Choice>
      <mc:Fallback xmlns="">
        <xdr:sp macro="" textlink="">
          <xdr:nvSpPr>
            <xdr:cNvPr id="0" name=""/>
            <xdr:cNvSpPr>
              <a:spLocks noTextEdit="1"/>
            </xdr:cNvSpPr>
          </xdr:nvSpPr>
          <xdr:spPr>
            <a:xfrm>
              <a:off x="8905875" y="6524626"/>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10</xdr:col>
      <xdr:colOff>57150</xdr:colOff>
      <xdr:row>72</xdr:row>
      <xdr:rowOff>28575</xdr:rowOff>
    </xdr:from>
    <xdr:to>
      <xdr:col>13</xdr:col>
      <xdr:colOff>727350</xdr:colOff>
      <xdr:row>72</xdr:row>
      <xdr:rowOff>424575</xdr:rowOff>
    </xdr:to>
    <mc:AlternateContent xmlns:mc="http://schemas.openxmlformats.org/markup-compatibility/2006" xmlns:a14="http://schemas.microsoft.com/office/drawing/2010/main">
      <mc:Choice Requires="a14">
        <xdr:graphicFrame macro="">
          <xdr:nvGraphicFramePr>
            <xdr:cNvPr id="3" name="Year 35">
              <a:extLst>
                <a:ext uri="{FF2B5EF4-FFF2-40B4-BE49-F238E27FC236}">
                  <a16:creationId xmlns:a16="http://schemas.microsoft.com/office/drawing/2014/main" id="{00000000-0008-0000-5E00-000003000000}"/>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8391525" y="13982700"/>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57152</xdr:colOff>
      <xdr:row>1</xdr:row>
      <xdr:rowOff>152400</xdr:rowOff>
    </xdr:from>
    <xdr:to>
      <xdr:col>5</xdr:col>
      <xdr:colOff>323850</xdr:colOff>
      <xdr:row>20</xdr:row>
      <xdr:rowOff>19050</xdr:rowOff>
    </xdr:to>
    <xdr:graphicFrame macro="">
      <xdr:nvGraphicFramePr>
        <xdr:cNvPr id="3" name="Chart 2">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1</xdr:row>
      <xdr:rowOff>161924</xdr:rowOff>
    </xdr:from>
    <xdr:to>
      <xdr:col>10</xdr:col>
      <xdr:colOff>600075</xdr:colOff>
      <xdr:row>20</xdr:row>
      <xdr:rowOff>28574</xdr:rowOff>
    </xdr:to>
    <xdr:graphicFrame macro="">
      <xdr:nvGraphicFramePr>
        <xdr:cNvPr id="4" name="Chart 3">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20</xdr:row>
      <xdr:rowOff>19050</xdr:rowOff>
    </xdr:from>
    <xdr:to>
      <xdr:col>5</xdr:col>
      <xdr:colOff>323850</xdr:colOff>
      <xdr:row>38</xdr:row>
      <xdr:rowOff>38100</xdr:rowOff>
    </xdr:to>
    <xdr:graphicFrame macro="">
      <xdr:nvGraphicFramePr>
        <xdr:cNvPr id="5" name="Chart 4">
          <a:extLst>
            <a:ext uri="{FF2B5EF4-FFF2-40B4-BE49-F238E27FC236}">
              <a16:creationId xmlns:a16="http://schemas.microsoft.com/office/drawing/2014/main" id="{00000000-0008-0000-6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323851</xdr:colOff>
      <xdr:row>20</xdr:row>
      <xdr:rowOff>28575</xdr:rowOff>
    </xdr:from>
    <xdr:to>
      <xdr:col>10</xdr:col>
      <xdr:colOff>590551</xdr:colOff>
      <xdr:row>38</xdr:row>
      <xdr:rowOff>47625</xdr:rowOff>
    </xdr:to>
    <xdr:graphicFrame macro="">
      <xdr:nvGraphicFramePr>
        <xdr:cNvPr id="6" name="Chart 5">
          <a:extLst>
            <a:ext uri="{FF2B5EF4-FFF2-40B4-BE49-F238E27FC236}">
              <a16:creationId xmlns:a16="http://schemas.microsoft.com/office/drawing/2014/main" id="{00000000-0008-0000-6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7" name="Left Arrow 5">
          <a:hlinkClick xmlns:r="http://schemas.openxmlformats.org/officeDocument/2006/relationships" r:id="rId5"/>
          <a:extLst>
            <a:ext uri="{FF2B5EF4-FFF2-40B4-BE49-F238E27FC236}">
              <a16:creationId xmlns:a16="http://schemas.microsoft.com/office/drawing/2014/main" id="{00000000-0008-0000-6200-000007000000}"/>
            </a:ext>
          </a:extLst>
        </xdr:cNvPr>
        <xdr:cNvSpPr/>
      </xdr:nvSpPr>
      <xdr:spPr>
        <a:xfrm>
          <a:off x="79248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19</xdr:row>
      <xdr:rowOff>142875</xdr:rowOff>
    </xdr:from>
    <xdr:to>
      <xdr:col>8</xdr:col>
      <xdr:colOff>9524</xdr:colOff>
      <xdr:row>36</xdr:row>
      <xdr:rowOff>133350</xdr:rowOff>
    </xdr:to>
    <xdr:graphicFrame macro="">
      <xdr:nvGraphicFramePr>
        <xdr:cNvPr id="4" name="Chart 3">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476250</xdr:colOff>
      <xdr:row>19</xdr:row>
      <xdr:rowOff>152400</xdr:rowOff>
    </xdr:from>
    <xdr:to>
      <xdr:col>16</xdr:col>
      <xdr:colOff>238125</xdr:colOff>
      <xdr:row>36</xdr:row>
      <xdr:rowOff>142875</xdr:rowOff>
    </xdr:to>
    <xdr:graphicFrame macro="">
      <xdr:nvGraphicFramePr>
        <xdr:cNvPr id="8" name="Chart 7">
          <a:extLst>
            <a:ext uri="{FF2B5EF4-FFF2-40B4-BE49-F238E27FC236}">
              <a16:creationId xmlns:a16="http://schemas.microsoft.com/office/drawing/2014/main" id="{00000000-0008-0000-6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95250</xdr:rowOff>
    </xdr:from>
    <xdr:to>
      <xdr:col>32</xdr:col>
      <xdr:colOff>85726</xdr:colOff>
      <xdr:row>13</xdr:row>
      <xdr:rowOff>57150</xdr:rowOff>
    </xdr:to>
    <xdr:sp macro="" textlink="">
      <xdr:nvSpPr>
        <xdr:cNvPr id="13" name="Rectangle 12">
          <a:extLst>
            <a:ext uri="{FF2B5EF4-FFF2-40B4-BE49-F238E27FC236}">
              <a16:creationId xmlns:a16="http://schemas.microsoft.com/office/drawing/2014/main" id="{00000000-0008-0000-6300-00000D000000}"/>
            </a:ext>
          </a:extLst>
        </xdr:cNvPr>
        <xdr:cNvSpPr/>
      </xdr:nvSpPr>
      <xdr:spPr>
        <a:xfrm>
          <a:off x="0" y="361950"/>
          <a:ext cx="19592926" cy="190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xdr:row>
      <xdr:rowOff>152400</xdr:rowOff>
    </xdr:from>
    <xdr:to>
      <xdr:col>16</xdr:col>
      <xdr:colOff>28575</xdr:colOff>
      <xdr:row>19</xdr:row>
      <xdr:rowOff>128589</xdr:rowOff>
    </xdr:to>
    <xdr:graphicFrame macro="">
      <xdr:nvGraphicFramePr>
        <xdr:cNvPr id="7" name="Chart 6">
          <a:extLst>
            <a:ext uri="{FF2B5EF4-FFF2-40B4-BE49-F238E27FC236}">
              <a16:creationId xmlns:a16="http://schemas.microsoft.com/office/drawing/2014/main" id="{00000000-0008-0000-6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0</xdr:rowOff>
    </xdr:from>
    <xdr:to>
      <xdr:col>8</xdr:col>
      <xdr:colOff>19050</xdr:colOff>
      <xdr:row>19</xdr:row>
      <xdr:rowOff>138114</xdr:rowOff>
    </xdr:to>
    <xdr:graphicFrame macro="">
      <xdr:nvGraphicFramePr>
        <xdr:cNvPr id="3" name="Chart 2">
          <a:extLst>
            <a:ext uri="{FF2B5EF4-FFF2-40B4-BE49-F238E27FC236}">
              <a16:creationId xmlns:a16="http://schemas.microsoft.com/office/drawing/2014/main" id="{00000000-0008-0000-6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123825</xdr:colOff>
      <xdr:row>0</xdr:row>
      <xdr:rowOff>28575</xdr:rowOff>
    </xdr:from>
    <xdr:to>
      <xdr:col>16</xdr:col>
      <xdr:colOff>400050</xdr:colOff>
      <xdr:row>0</xdr:row>
      <xdr:rowOff>238125</xdr:rowOff>
    </xdr:to>
    <xdr:sp macro="" textlink="">
      <xdr:nvSpPr>
        <xdr:cNvPr id="9" name="Left Arrow 5">
          <a:hlinkClick xmlns:r="http://schemas.openxmlformats.org/officeDocument/2006/relationships" r:id="rId5"/>
          <a:extLst>
            <a:ext uri="{FF2B5EF4-FFF2-40B4-BE49-F238E27FC236}">
              <a16:creationId xmlns:a16="http://schemas.microsoft.com/office/drawing/2014/main" id="{00000000-0008-0000-6300-000009000000}"/>
            </a:ext>
          </a:extLst>
        </xdr:cNvPr>
        <xdr:cNvSpPr/>
      </xdr:nvSpPr>
      <xdr:spPr>
        <a:xfrm>
          <a:off x="9877425" y="2857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561975</xdr:colOff>
      <xdr:row>0</xdr:row>
      <xdr:rowOff>409574</xdr:rowOff>
    </xdr:from>
    <xdr:to>
      <xdr:col>1</xdr:col>
      <xdr:colOff>1441725</xdr:colOff>
      <xdr:row>1</xdr:row>
      <xdr:rowOff>319799</xdr:rowOff>
    </xdr:to>
    <mc:AlternateContent xmlns:mc="http://schemas.openxmlformats.org/markup-compatibility/2006" xmlns:a14="http://schemas.microsoft.com/office/drawing/2010/main">
      <mc:Choice Requires="a14">
        <xdr:graphicFrame macro="">
          <xdr:nvGraphicFramePr>
            <xdr:cNvPr id="2" name="Year 32">
              <a:extLst>
                <a:ext uri="{FF2B5EF4-FFF2-40B4-BE49-F238E27FC236}">
                  <a16:creationId xmlns:a16="http://schemas.microsoft.com/office/drawing/2014/main" id="{00000000-0008-0000-6400-000002000000}"/>
                </a:ext>
              </a:extLst>
            </xdr:cNvPr>
            <xdr:cNvGraphicFramePr/>
          </xdr:nvGraphicFramePr>
          <xdr:xfrm>
            <a:off x="0" y="0"/>
            <a:ext cx="0" cy="0"/>
          </xdr:xfrm>
          <a:graphic>
            <a:graphicData uri="http://schemas.microsoft.com/office/drawing/2010/slicer">
              <sle:slicer xmlns:sle="http://schemas.microsoft.com/office/drawing/2010/slicer" name="Year 32"/>
            </a:graphicData>
          </a:graphic>
        </xdr:graphicFrame>
      </mc:Choice>
      <mc:Fallback xmlns="">
        <xdr:sp macro="" textlink="">
          <xdr:nvSpPr>
            <xdr:cNvPr id="0" name=""/>
            <xdr:cNvSpPr>
              <a:spLocks noTextEdit="1"/>
            </xdr:cNvSpPr>
          </xdr:nvSpPr>
          <xdr:spPr>
            <a:xfrm>
              <a:off x="561975" y="409574"/>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990600</xdr:colOff>
      <xdr:row>0</xdr:row>
      <xdr:rowOff>28575</xdr:rowOff>
    </xdr:from>
    <xdr:to>
      <xdr:col>5</xdr:col>
      <xdr:colOff>546375</xdr:colOff>
      <xdr:row>0</xdr:row>
      <xdr:rowOff>424575</xdr:rowOff>
    </xdr:to>
    <mc:AlternateContent xmlns:mc="http://schemas.openxmlformats.org/markup-compatibility/2006" xmlns:a14="http://schemas.microsoft.com/office/drawing/2010/main">
      <mc:Choice Requires="a14">
        <xdr:graphicFrame macro="">
          <xdr:nvGraphicFramePr>
            <xdr:cNvPr id="2" name="Year 33">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microsoft.com/office/drawing/2010/slicer">
              <sle:slicer xmlns:sle="http://schemas.microsoft.com/office/drawing/2010/slicer" name="Year 33"/>
            </a:graphicData>
          </a:graphic>
        </xdr:graphicFrame>
      </mc:Choice>
      <mc:Fallback xmlns="">
        <xdr:sp macro="" textlink="">
          <xdr:nvSpPr>
            <xdr:cNvPr id="0" name=""/>
            <xdr:cNvSpPr>
              <a:spLocks noTextEdit="1"/>
            </xdr:cNvSpPr>
          </xdr:nvSpPr>
          <xdr:spPr>
            <a:xfrm>
              <a:off x="2990850" y="28575"/>
              <a:ext cx="2880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104776</xdr:rowOff>
    </xdr:from>
    <xdr:to>
      <xdr:col>9</xdr:col>
      <xdr:colOff>361950</xdr:colOff>
      <xdr:row>29</xdr:row>
      <xdr:rowOff>104776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8391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380999</xdr:colOff>
      <xdr:row>20</xdr:row>
      <xdr:rowOff>95251</xdr:rowOff>
    </xdr:from>
    <xdr:to>
      <xdr:col>8</xdr:col>
      <xdr:colOff>348599</xdr:colOff>
      <xdr:row>21</xdr:row>
      <xdr:rowOff>329326</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3190874" y="4038601"/>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114300</xdr:colOff>
      <xdr:row>62</xdr:row>
      <xdr:rowOff>133351</xdr:rowOff>
    </xdr:from>
    <xdr:to>
      <xdr:col>11</xdr:col>
      <xdr:colOff>129525</xdr:colOff>
      <xdr:row>63</xdr:row>
      <xdr:rowOff>367426</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886325" y="11906251"/>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2</xdr:row>
      <xdr:rowOff>1</xdr:rowOff>
    </xdr:from>
    <xdr:to>
      <xdr:col>9</xdr:col>
      <xdr:colOff>419100</xdr:colOff>
      <xdr:row>30</xdr:row>
      <xdr:rowOff>1</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3915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276225</xdr:colOff>
      <xdr:row>0</xdr:row>
      <xdr:rowOff>209550</xdr:rowOff>
    </xdr:to>
    <xdr:sp macro="" textlink="">
      <xdr:nvSpPr>
        <xdr:cNvPr id="5" name="Left Arrow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9610725"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438150</xdr:colOff>
      <xdr:row>1</xdr:row>
      <xdr:rowOff>123824</xdr:rowOff>
    </xdr:from>
    <xdr:to>
      <xdr:col>6</xdr:col>
      <xdr:colOff>95249</xdr:colOff>
      <xdr:row>38</xdr:row>
      <xdr:rowOff>62633</xdr:rowOff>
    </xdr:to>
    <xdr:pic>
      <xdr:nvPicPr>
        <xdr:cNvPr id="6" name="Picture 3" descr="All_fire_rat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 y="552449"/>
          <a:ext cx="3781424" cy="5958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276221</xdr:colOff>
      <xdr:row>2</xdr:row>
      <xdr:rowOff>114299</xdr:rowOff>
    </xdr:from>
    <xdr:to>
      <xdr:col>14</xdr:col>
      <xdr:colOff>206488</xdr:colOff>
      <xdr:row>39</xdr:row>
      <xdr:rowOff>36307</xdr:rowOff>
    </xdr:to>
    <xdr:pic>
      <xdr:nvPicPr>
        <xdr:cNvPr id="7" name="Picture 4" descr="All_fire_rate_hex">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00546" y="704849"/>
          <a:ext cx="4807067" cy="594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eporting\National%20Statistics\Tools\2016-17%20Fire%20and%20Rescue%20Statistics%20Working%20V1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All incidents &amp; long term trend"/>
      <sheetName val="1 1a 1b"/>
      <sheetName val="2 2a 2b"/>
      <sheetName val="3 3a"/>
      <sheetName val="3b"/>
      <sheetName val="4 4a 4b"/>
      <sheetName val="4c 4d 4e"/>
      <sheetName val="5 5a"/>
      <sheetName val="6 6a"/>
      <sheetName val="6b"/>
      <sheetName val="6c 6d"/>
      <sheetName val="7"/>
      <sheetName val="8 8a"/>
      <sheetName val="9"/>
      <sheetName val="9a"/>
      <sheetName val="9b"/>
      <sheetName val="10 10a"/>
      <sheetName val="10b 10c"/>
      <sheetName val="11"/>
      <sheetName val="11a 11b"/>
      <sheetName val="12 12a"/>
      <sheetName val="13"/>
      <sheetName val="13a"/>
      <sheetName val="13b"/>
      <sheetName val="14 14a"/>
      <sheetName val="14b 14c 14d"/>
      <sheetName val="14e 14f 14g"/>
      <sheetName val="15 15a"/>
      <sheetName val="15b 15c 15d"/>
      <sheetName val="16 16a"/>
      <sheetName val="16b 16c 16d"/>
      <sheetName val="17 17a"/>
      <sheetName val="17b 17c 17d"/>
      <sheetName val="18 18a 18b"/>
      <sheetName val="19"/>
      <sheetName val="19a"/>
      <sheetName val="19b"/>
      <sheetName val="20"/>
      <sheetName val="21 21a"/>
      <sheetName val="21b 21c"/>
      <sheetName val="22"/>
      <sheetName val="23 23a"/>
      <sheetName val="24"/>
      <sheetName val="25"/>
      <sheetName val="Population"/>
      <sheetName val="Dwellings"/>
      <sheetName val="Figure 1"/>
      <sheetName val="Figure 2"/>
      <sheetName val="Figure 3"/>
      <sheetName val="Figure 4"/>
      <sheetName val="Figure 5"/>
      <sheetName val="Figure 6"/>
      <sheetName val="Figure 7a"/>
      <sheetName val="Figure 7b"/>
      <sheetName val="Figure 8"/>
      <sheetName val="Figure 9"/>
      <sheetName val="Figure 10"/>
      <sheetName val="Figure 11"/>
      <sheetName val="Figure 12"/>
      <sheetName val="Figure 13"/>
      <sheetName val="Figure 14"/>
      <sheetName val="Figure 15"/>
      <sheetName val="Figure 16"/>
      <sheetName val="Figure data - to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A4" t="str">
            <v>Aberdeen City</v>
          </cell>
          <cell r="B4">
            <v>229840</v>
          </cell>
        </row>
        <row r="5">
          <cell r="A5" t="str">
            <v>Aberdeenshire</v>
          </cell>
          <cell r="B5">
            <v>262190</v>
          </cell>
        </row>
        <row r="6">
          <cell r="A6" t="str">
            <v>Angus</v>
          </cell>
          <cell r="B6">
            <v>116520</v>
          </cell>
        </row>
        <row r="7">
          <cell r="A7" t="str">
            <v>Argyll and Bute</v>
          </cell>
          <cell r="B7">
            <v>87130</v>
          </cell>
        </row>
        <row r="8">
          <cell r="A8" t="str">
            <v>Clackmannanshire</v>
          </cell>
          <cell r="B8">
            <v>51350</v>
          </cell>
        </row>
        <row r="9">
          <cell r="A9" t="str">
            <v>Dumfries and Galloway</v>
          </cell>
          <cell r="B9">
            <v>149520</v>
          </cell>
        </row>
        <row r="10">
          <cell r="A10" t="str">
            <v>Dundee City</v>
          </cell>
          <cell r="B10">
            <v>148270</v>
          </cell>
        </row>
        <row r="11">
          <cell r="A11" t="str">
            <v>East Ayrshire</v>
          </cell>
          <cell r="B11">
            <v>122200</v>
          </cell>
        </row>
        <row r="12">
          <cell r="A12" t="str">
            <v>East Dunbartonshire</v>
          </cell>
          <cell r="B12">
            <v>107540</v>
          </cell>
        </row>
        <row r="13">
          <cell r="A13" t="str">
            <v>East Lothian</v>
          </cell>
          <cell r="B13">
            <v>104090</v>
          </cell>
        </row>
        <row r="14">
          <cell r="A14" t="str">
            <v>East Renfrewshire</v>
          </cell>
          <cell r="B14">
            <v>93810</v>
          </cell>
        </row>
        <row r="15">
          <cell r="A15" t="str">
            <v>Edinburgh City</v>
          </cell>
          <cell r="B15">
            <v>507170</v>
          </cell>
        </row>
        <row r="16">
          <cell r="A16" t="str">
            <v>Falkirk</v>
          </cell>
          <cell r="B16">
            <v>159380</v>
          </cell>
        </row>
        <row r="17">
          <cell r="A17" t="str">
            <v>Fife</v>
          </cell>
          <cell r="B17">
            <v>370330</v>
          </cell>
        </row>
        <row r="18">
          <cell r="A18" t="str">
            <v>Glasgow City</v>
          </cell>
          <cell r="B18">
            <v>615070</v>
          </cell>
        </row>
        <row r="19">
          <cell r="A19" t="str">
            <v>Highland</v>
          </cell>
          <cell r="B19">
            <v>234770</v>
          </cell>
        </row>
        <row r="20">
          <cell r="A20" t="str">
            <v>Inverclyde</v>
          </cell>
          <cell r="B20">
            <v>79160</v>
          </cell>
        </row>
        <row r="21">
          <cell r="A21" t="str">
            <v>Midlothian</v>
          </cell>
          <cell r="B21">
            <v>88610</v>
          </cell>
        </row>
        <row r="22">
          <cell r="A22" t="str">
            <v>Moray</v>
          </cell>
          <cell r="B22">
            <v>96070</v>
          </cell>
        </row>
        <row r="23">
          <cell r="A23" t="str">
            <v>Na h-Eileanan Siar</v>
          </cell>
          <cell r="B23">
            <v>26900</v>
          </cell>
        </row>
        <row r="24">
          <cell r="A24" t="str">
            <v>North Ayrshire</v>
          </cell>
          <cell r="B24">
            <v>135890</v>
          </cell>
        </row>
        <row r="25">
          <cell r="A25" t="str">
            <v>North Lanarkshire</v>
          </cell>
          <cell r="B25">
            <v>339390</v>
          </cell>
        </row>
        <row r="26">
          <cell r="A26" t="str">
            <v>Orkney Islands</v>
          </cell>
          <cell r="B26">
            <v>21850</v>
          </cell>
        </row>
        <row r="27">
          <cell r="A27" t="str">
            <v>Perth and Kinross</v>
          </cell>
          <cell r="B27">
            <v>150680</v>
          </cell>
        </row>
        <row r="28">
          <cell r="A28" t="str">
            <v>Renfrewshire</v>
          </cell>
          <cell r="B28">
            <v>175930</v>
          </cell>
        </row>
        <row r="29">
          <cell r="A29" t="str">
            <v>Scottish Borders</v>
          </cell>
          <cell r="B29">
            <v>114530</v>
          </cell>
        </row>
        <row r="30">
          <cell r="A30" t="str">
            <v>Shetland Islands</v>
          </cell>
          <cell r="B30">
            <v>23200</v>
          </cell>
        </row>
        <row r="31">
          <cell r="A31" t="str">
            <v>South Ayrshire</v>
          </cell>
          <cell r="B31">
            <v>112470</v>
          </cell>
        </row>
        <row r="32">
          <cell r="A32" t="str">
            <v>South Lanarkshire</v>
          </cell>
          <cell r="B32">
            <v>317100</v>
          </cell>
        </row>
        <row r="33">
          <cell r="A33" t="str">
            <v>Stirling</v>
          </cell>
          <cell r="B33">
            <v>93750</v>
          </cell>
        </row>
        <row r="34">
          <cell r="A34" t="str">
            <v>West Dunbartonshire</v>
          </cell>
          <cell r="B34">
            <v>89860</v>
          </cell>
        </row>
        <row r="35">
          <cell r="A35" t="str">
            <v>West Lothian</v>
          </cell>
          <cell r="B35">
            <v>180130</v>
          </cell>
        </row>
      </sheetData>
      <sheetData sheetId="47">
        <row r="4">
          <cell r="A4" t="str">
            <v>Aberdeen City</v>
          </cell>
          <cell r="B4">
            <v>115080</v>
          </cell>
        </row>
        <row r="5">
          <cell r="A5" t="str">
            <v>Aberdeenshire</v>
          </cell>
          <cell r="B5">
            <v>116421</v>
          </cell>
        </row>
        <row r="6">
          <cell r="A6" t="str">
            <v>Angus</v>
          </cell>
          <cell r="B6">
            <v>55872</v>
          </cell>
        </row>
        <row r="7">
          <cell r="A7" t="str">
            <v>Argyll and Bute</v>
          </cell>
          <cell r="B7">
            <v>47780</v>
          </cell>
        </row>
        <row r="8">
          <cell r="A8" t="str">
            <v>Clackmannanshire</v>
          </cell>
          <cell r="B8">
            <v>24221</v>
          </cell>
        </row>
        <row r="9">
          <cell r="A9" t="str">
            <v>Dumfries and Galloway</v>
          </cell>
          <cell r="B9">
            <v>74453</v>
          </cell>
        </row>
        <row r="10">
          <cell r="A10" t="str">
            <v>Dundee City</v>
          </cell>
          <cell r="B10">
            <v>74026</v>
          </cell>
        </row>
        <row r="11">
          <cell r="A11" t="str">
            <v>East Ayrshire</v>
          </cell>
          <cell r="B11">
            <v>57873</v>
          </cell>
        </row>
        <row r="12">
          <cell r="A12" t="str">
            <v>East Dunbartonshire</v>
          </cell>
          <cell r="B12">
            <v>46026</v>
          </cell>
        </row>
        <row r="13">
          <cell r="A13" t="str">
            <v>East Lothian</v>
          </cell>
          <cell r="B13">
            <v>46672</v>
          </cell>
        </row>
        <row r="14">
          <cell r="A14" t="str">
            <v>East Renfrewshire</v>
          </cell>
          <cell r="B14">
            <v>38389</v>
          </cell>
        </row>
        <row r="15">
          <cell r="A15" t="str">
            <v>Edinburgh City</v>
          </cell>
          <cell r="B15">
            <v>244131</v>
          </cell>
        </row>
        <row r="16">
          <cell r="A16" t="str">
            <v>Falkirk</v>
          </cell>
          <cell r="B16">
            <v>73767</v>
          </cell>
        </row>
        <row r="17">
          <cell r="A17" t="str">
            <v>Fife</v>
          </cell>
          <cell r="B17">
            <v>174528</v>
          </cell>
        </row>
        <row r="18">
          <cell r="A18" t="str">
            <v>Glasgow City</v>
          </cell>
          <cell r="B18">
            <v>306000</v>
          </cell>
        </row>
        <row r="19">
          <cell r="A19" t="str">
            <v>Highland</v>
          </cell>
          <cell r="B19">
            <v>116453</v>
          </cell>
        </row>
        <row r="20">
          <cell r="A20" t="str">
            <v>Inverclyde</v>
          </cell>
          <cell r="B20">
            <v>38835</v>
          </cell>
        </row>
        <row r="21">
          <cell r="A21" t="str">
            <v>Midlothian</v>
          </cell>
          <cell r="B21">
            <v>39297</v>
          </cell>
        </row>
        <row r="22">
          <cell r="A22" t="str">
            <v>Moray</v>
          </cell>
          <cell r="B22">
            <v>44454</v>
          </cell>
        </row>
        <row r="23">
          <cell r="A23" t="str">
            <v>Na h-Eileanan Siar</v>
          </cell>
          <cell r="B23">
            <v>14599</v>
          </cell>
        </row>
        <row r="24">
          <cell r="A24" t="str">
            <v>North Ayrshire</v>
          </cell>
          <cell r="B24">
            <v>67800</v>
          </cell>
        </row>
        <row r="25">
          <cell r="A25" t="str">
            <v>North Lanarkshire</v>
          </cell>
          <cell r="B25">
            <v>153388</v>
          </cell>
        </row>
        <row r="26">
          <cell r="A26" t="str">
            <v>Orkney Islands</v>
          </cell>
          <cell r="B26">
            <v>11063</v>
          </cell>
        </row>
        <row r="27">
          <cell r="A27" t="str">
            <v>Perth and Kinross</v>
          </cell>
          <cell r="B27">
            <v>71347</v>
          </cell>
        </row>
        <row r="28">
          <cell r="A28" t="str">
            <v>Renfrewshire</v>
          </cell>
          <cell r="B28">
            <v>85724</v>
          </cell>
        </row>
        <row r="29">
          <cell r="A29" t="str">
            <v>Scottish Borders</v>
          </cell>
          <cell r="B29">
            <v>57940</v>
          </cell>
        </row>
        <row r="30">
          <cell r="A30" t="str">
            <v>Shetland Islands</v>
          </cell>
          <cell r="B30">
            <v>11109</v>
          </cell>
        </row>
        <row r="31">
          <cell r="A31" t="str">
            <v>South Ayrshire</v>
          </cell>
          <cell r="B31">
            <v>54942</v>
          </cell>
        </row>
        <row r="32">
          <cell r="A32" t="str">
            <v>South Lanarkshire</v>
          </cell>
          <cell r="B32">
            <v>148771</v>
          </cell>
        </row>
        <row r="33">
          <cell r="A33" t="str">
            <v>Stirling</v>
          </cell>
          <cell r="B33">
            <v>40998</v>
          </cell>
        </row>
        <row r="34">
          <cell r="A34" t="str">
            <v>West Dunbartonshire</v>
          </cell>
          <cell r="B34">
            <v>45104</v>
          </cell>
        </row>
        <row r="35">
          <cell r="A35" t="str">
            <v>West Lothian</v>
          </cell>
          <cell r="B35">
            <v>78604</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gor Welsh" refreshedDate="43373.58437546296" createdVersion="6" refreshedVersion="6" minRefreshableVersion="3" recordCount="17" xr:uid="{00000000-000A-0000-FFFF-FFFF00000000}">
  <cacheSource type="worksheet">
    <worksheetSource ref="A4:K21" sheet="T_17"/>
  </cacheSource>
  <cacheFields count="11">
    <cacheField name="Year" numFmtId="0">
      <sharedItems count="3">
        <s v="2015-16"/>
        <s v="2016-17"/>
        <s v="2017-18"/>
      </sharedItems>
    </cacheField>
    <cacheField name="Who" numFmtId="0">
      <sharedItems containsBlank="1"/>
    </cacheField>
    <cacheField name="Pub_fatalCode" numFmtId="0">
      <sharedItems containsString="0" containsBlank="1" containsNumber="1" containsInteger="1" minValue="1" maxValue="8"/>
    </cacheField>
    <cacheField name="Pub_fataldescription" numFmtId="0">
      <sharedItems containsBlank="1" count="8">
        <s v="Burns"/>
        <s v="Combination of burns and overcome by gas/smoke"/>
        <s v="Overcome by gas, smoke or toxic fumes"/>
        <s v="Other specified"/>
        <s v="Unspecified"/>
        <s v="Physical injuries"/>
        <s v="Population"/>
        <m u="1"/>
      </sharedItems>
    </cacheField>
    <cacheField name="Total_Fatal" numFmtId="0">
      <sharedItems containsString="0" containsBlank="1" containsNumber="1" containsInteger="1" minValue="1" maxValue="22"/>
    </cacheField>
    <cacheField name="0-16" numFmtId="0">
      <sharedItems containsSemiMixedTypes="0" containsString="0" containsNumber="1" containsInteger="1" minValue="0" maxValue="973036"/>
    </cacheField>
    <cacheField name="17-29" numFmtId="0">
      <sharedItems containsSemiMixedTypes="0" containsString="0" containsNumber="1" containsInteger="1" minValue="0" maxValue="924449"/>
    </cacheField>
    <cacheField name="30-59" numFmtId="0">
      <sharedItems containsSemiMixedTypes="0" containsString="0" containsNumber="1" containsInteger="1" minValue="0" maxValue="2190171"/>
    </cacheField>
    <cacheField name="60+" numFmtId="0">
      <sharedItems containsSemiMixedTypes="0" containsString="0" containsNumber="1" containsInteger="1" minValue="0" maxValue="1341578"/>
    </cacheField>
    <cacheField name="Unknown" numFmtId="0">
      <sharedItems containsString="0" containsBlank="1" containsNumber="1" containsInteger="1" minValue="0" maxValue="1"/>
    </cacheField>
    <cacheField name="IsPopFlag" numFmtId="0">
      <sharedItems containsSemiMixedTypes="0" containsString="0" containsNumber="1" containsInteger="1" minValue="0" maxValue="1"/>
    </cacheField>
  </cacheFields>
  <extLst>
    <ext xmlns:x14="http://schemas.microsoft.com/office/spreadsheetml/2009/9/main" uri="{725AE2AE-9491-48be-B2B4-4EB974FC3084}">
      <x14:pivotCacheDefinition pivotCacheId="907262734"/>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7847224" createdVersion="6" refreshedVersion="5" minRefreshableVersion="3" recordCount="96" xr:uid="{00000000-000A-0000-FFFF-FFFF09000000}">
  <cacheSource type="worksheet">
    <worksheetSource ref="A30:W126" sheet="T06"/>
  </cacheSource>
  <cacheFields count="23">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01:RTC" numFmtId="0">
      <sharedItems containsSemiMixedTypes="0" containsString="0" containsNumber="1" containsInteger="1" minValue="2" maxValue="236"/>
    </cacheField>
    <cacheField name="02:Other Transport incident" numFmtId="0">
      <sharedItems containsSemiMixedTypes="0" containsString="0" containsNumber="1" containsInteger="1" minValue="0" maxValue="13"/>
    </cacheField>
    <cacheField name="03:Flooding" numFmtId="0">
      <sharedItems containsSemiMixedTypes="0" containsString="0" containsNumber="1" containsInteger="1" minValue="0" maxValue="247"/>
    </cacheField>
    <cacheField name="04:Rescue or evacuation from water" numFmtId="0">
      <sharedItems containsSemiMixedTypes="0" containsString="0" containsNumber="1" containsInteger="1" minValue="0" maxValue="26"/>
    </cacheField>
    <cacheField name="05:Other rescue/release of persons" numFmtId="0">
      <sharedItems containsSemiMixedTypes="0" containsString="0" containsNumber="1" containsInteger="1" minValue="0" maxValue="77"/>
    </cacheField>
    <cacheField name="06:Evacuation (no fire)" numFmtId="0">
      <sharedItems containsSemiMixedTypes="0" containsString="0" containsNumber="1" containsInteger="1" minValue="0" maxValue="14"/>
    </cacheField>
    <cacheField name="07:Lift Release" numFmtId="0">
      <sharedItems containsSemiMixedTypes="0" containsString="0" containsNumber="1" containsInteger="1" minValue="0" maxValue="161"/>
    </cacheField>
    <cacheField name="08:Medical Incident - First responder/Co-responder" numFmtId="0">
      <sharedItems containsSemiMixedTypes="0" containsString="0" containsNumber="1" containsInteger="1" minValue="0" maxValue="69"/>
    </cacheField>
    <cacheField name="09:Suicide/attempts" numFmtId="0">
      <sharedItems containsSemiMixedTypes="0" containsString="0" containsNumber="1" containsInteger="1" minValue="0" maxValue="25"/>
    </cacheField>
    <cacheField name="10:Hazardous Materials incident" numFmtId="0">
      <sharedItems containsSemiMixedTypes="0" containsString="0" containsNumber="1" containsInteger="1" minValue="0" maxValue="40"/>
    </cacheField>
    <cacheField name="11:Spills and Leaks (not RTC)" numFmtId="0">
      <sharedItems containsSemiMixedTypes="0" containsString="0" containsNumber="1" containsInteger="1" minValue="0" maxValue="34"/>
    </cacheField>
    <cacheField name="12:Removal of objects" numFmtId="0">
      <sharedItems containsSemiMixedTypes="0" containsString="0" containsNumber="1" containsInteger="1" minValue="0" maxValue="50"/>
    </cacheField>
    <cacheField name="13:Animal assistance incidents" numFmtId="0">
      <sharedItems containsSemiMixedTypes="0" containsString="0" containsNumber="1" containsInteger="1" minValue="0" maxValue="40"/>
    </cacheField>
    <cacheField name="14:Effecting entry/exit" numFmtId="0">
      <sharedItems containsSemiMixedTypes="0" containsString="0" containsNumber="1" containsInteger="1" minValue="1" maxValue="523"/>
    </cacheField>
    <cacheField name="15:Making Safe (not RTC)" numFmtId="0">
      <sharedItems containsSemiMixedTypes="0" containsString="0" containsNumber="1" containsInteger="1" minValue="0" maxValue="62"/>
    </cacheField>
    <cacheField name="16:No action (not false alarm)" numFmtId="0">
      <sharedItems containsSemiMixedTypes="0" containsString="0" containsNumber="1" containsInteger="1" minValue="0" maxValue="319"/>
    </cacheField>
    <cacheField name="17:Water provision" numFmtId="0">
      <sharedItems containsSemiMixedTypes="0" containsString="0" containsNumber="1" containsInteger="1" minValue="0" maxValue="2"/>
    </cacheField>
    <cacheField name="18:Stand By" numFmtId="0">
      <sharedItems containsSemiMixedTypes="0" containsString="0" containsNumber="1" containsInteger="1" minValue="0" maxValue="31"/>
    </cacheField>
    <cacheField name="19:Assist other agencies" numFmtId="0">
      <sharedItems containsSemiMixedTypes="0" containsString="0" containsNumber="1" containsInteger="1" minValue="3" maxValue="247"/>
    </cacheField>
    <cacheField name="20:Advice Only" numFmtId="0">
      <sharedItems containsSemiMixedTypes="0" containsString="0" containsNumber="1" containsInteger="1" minValue="0" maxValue="43"/>
    </cacheField>
    <cacheField name="pop" numFmtId="0">
      <sharedItems containsSemiMixedTypes="0" containsString="0" containsNumber="1" containsInteger="1" minValue="21670" maxValue="621020"/>
    </cacheField>
  </cacheFields>
  <extLst>
    <ext xmlns:x14="http://schemas.microsoft.com/office/spreadsheetml/2009/9/main" uri="{725AE2AE-9491-48be-B2B4-4EB974FC3084}">
      <x14:pivotCacheDefinition pivotCacheId="2040399214"/>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8194447" createdVersion="6" refreshedVersion="5" minRefreshableVersion="3" recordCount="96" xr:uid="{00000000-000A-0000-FFFF-FFFF0A000000}">
  <cacheSource type="worksheet">
    <worksheetSource ref="A10:Q106" sheet="T08"/>
  </cacheSource>
  <cacheFields count="17">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Year" numFmtId="0">
      <sharedItems count="3">
        <s v="2015-16"/>
        <s v="2016-17"/>
        <s v="2017-18"/>
      </sharedItems>
    </cacheField>
    <cacheField name="Buildings_Total" numFmtId="0">
      <sharedItems containsSemiMixedTypes="0" containsString="0" containsNumber="1" containsInteger="1" minValue="9" maxValue="1368"/>
    </cacheField>
    <cacheField name="01:Other Residential" numFmtId="0">
      <sharedItems containsString="0" containsBlank="1" containsNumber="1" containsInteger="1" minValue="1" maxValue="118"/>
    </cacheField>
    <cacheField name="02:Private garages, sheds, etc" numFmtId="0">
      <sharedItems containsString="0" containsBlank="1" containsNumber="1" containsInteger="1" minValue="1" maxValue="42"/>
    </cacheField>
    <cacheField name="03:Permanent Agricultural" numFmtId="0">
      <sharedItems containsString="0" containsBlank="1" containsNumber="1" containsInteger="1" minValue="1" maxValue="12"/>
    </cacheField>
    <cacheField name="04:Industrial" numFmtId="0">
      <sharedItems containsString="0" containsBlank="1" containsNumber="1" containsInteger="1" minValue="1" maxValue="34"/>
    </cacheField>
    <cacheField name="05:Warehouses and bulk storage" numFmtId="0">
      <sharedItems containsString="0" containsBlank="1" containsNumber="1" containsInteger="1" minValue="1" maxValue="8"/>
    </cacheField>
    <cacheField name="06:Offices and call centres" numFmtId="0">
      <sharedItems containsString="0" containsBlank="1" containsNumber="1" containsInteger="1" minValue="1" maxValue="41"/>
    </cacheField>
    <cacheField name="07:Public admin, security and safety" numFmtId="0">
      <sharedItems containsString="0" containsBlank="1" containsNumber="1" containsInteger="1" minValue="1" maxValue="33"/>
    </cacheField>
    <cacheField name="08:Entertainment, Sport and Culture" numFmtId="0">
      <sharedItems containsString="0" containsBlank="1" containsNumber="1" containsInteger="1" minValue="1" maxValue="20"/>
    </cacheField>
    <cacheField name="09:Food and Drink" numFmtId="0">
      <sharedItems containsString="0" containsBlank="1" containsNumber="1" containsInteger="1" minValue="1" maxValue="36"/>
    </cacheField>
    <cacheField name="10:Retail" numFmtId="0">
      <sharedItems containsString="0" containsBlank="1" containsNumber="1" containsInteger="1" minValue="1" maxValue="51"/>
    </cacheField>
    <cacheField name="11:Education" numFmtId="0">
      <sharedItems containsString="0" containsBlank="1" containsNumber="1" containsInteger="1" minValue="1" maxValue="34"/>
    </cacheField>
    <cacheField name="12:Hospitals and medical care" numFmtId="0">
      <sharedItems containsString="0" containsBlank="1" containsNumber="1" containsInteger="1" minValue="1" maxValue="41"/>
    </cacheField>
    <cacheField name="13:Others" numFmtId="0">
      <sharedItems containsString="0" containsBlank="1" containsNumber="1" containsInteger="1" minValue="1" maxValue="43"/>
    </cacheField>
    <cacheField name="Dwelling" numFmtId="0">
      <sharedItems containsSemiMixedTypes="0" containsString="0" containsNumber="1" containsInteger="1" minValue="7" maxValue="962"/>
    </cacheField>
  </cacheFields>
  <extLst>
    <ext xmlns:x14="http://schemas.microsoft.com/office/spreadsheetml/2009/9/main" uri="{725AE2AE-9491-48be-B2B4-4EB974FC3084}">
      <x14:pivotCacheDefinition pivotCacheId="1726685159"/>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854167" createdVersion="6" refreshedVersion="5" minRefreshableVersion="3" recordCount="96" xr:uid="{00000000-000A-0000-FFFF-FFFF0B000000}">
  <cacheSource type="worksheet">
    <worksheetSource ref="A4:O100" sheet="T09a"/>
  </cacheSource>
  <cacheFields count="15">
    <cacheField name="Year" numFmtId="0">
      <sharedItems count="3">
        <s v="2015-16"/>
        <s v="2016-17"/>
        <s v="2017-18"/>
      </sharedItems>
    </cacheField>
    <cacheField name="IS_PRIMARY_FIRE" numFmtId="0">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_Primary_Outdoor_Fires" numFmtId="0">
      <sharedItems containsSemiMixedTypes="0" containsString="0" containsNumber="1" containsInteger="1" minValue="6" maxValue="384"/>
    </cacheField>
    <cacheField name="pop" numFmtId="0">
      <sharedItems containsSemiMixedTypes="0" containsString="0" containsNumber="1" containsInteger="1" minValue="21670" maxValue="621020"/>
    </cacheField>
    <cacheField name="01:Outdoor structures" numFmtId="0">
      <sharedItems containsString="0" containsBlank="1" containsNumber="1" containsInteger="1" minValue="1" maxValue="73"/>
    </cacheField>
    <cacheField name="02:Outdoor equipment and machinery" numFmtId="0">
      <sharedItems containsString="0" containsBlank="1" containsNumber="1" containsInteger="1" minValue="1" maxValue="24"/>
    </cacheField>
    <cacheField name="03:Grassland and crops" numFmtId="0">
      <sharedItems containsString="0" containsBlank="1" containsNumber="1" containsInteger="1" minValue="1" maxValue="22"/>
    </cacheField>
    <cacheField name="04:Woodland" numFmtId="0">
      <sharedItems containsString="0" containsBlank="1" containsNumber="1" containsInteger="1" minValue="1" maxValue="79"/>
    </cacheField>
    <cacheField name="05:Other Transport Vehicle" numFmtId="0">
      <sharedItems containsString="0" containsBlank="1" containsNumber="1" containsInteger="1" minValue="1" maxValue="4"/>
    </cacheField>
    <cacheField name="06:Other outdoors (including land)" numFmtId="0">
      <sharedItems containsString="0" containsBlank="1" containsNumber="1" containsInteger="1" minValue="1" maxValue="3"/>
    </cacheField>
    <cacheField name="07:Car" numFmtId="0">
      <sharedItems containsString="0" containsBlank="1" containsNumber="1" containsInteger="1" minValue="1" maxValue="189"/>
    </cacheField>
    <cacheField name="08:Abandoned Car" numFmtId="0">
      <sharedItems containsString="0" containsBlank="1" containsNumber="1" containsInteger="1" minValue="1" maxValue="57"/>
    </cacheField>
    <cacheField name="09:Other Road Vehicle" numFmtId="0">
      <sharedItems containsSemiMixedTypes="0" containsString="0" containsNumber="1" containsInteger="1" minValue="1" maxValue="73"/>
    </cacheField>
    <cacheField name="10:Abandoned Other Road Vehicle" numFmtId="0">
      <sharedItems containsString="0" containsBlank="1" containsNumber="1" containsInteger="1" minValue="1" maxValue="53"/>
    </cacheField>
  </cacheFields>
  <extLst>
    <ext xmlns:x14="http://schemas.microsoft.com/office/spreadsheetml/2009/9/main" uri="{725AE2AE-9491-48be-B2B4-4EB974FC3084}">
      <x14:pivotCacheDefinition pivotCacheId="497380022"/>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9004632" createdVersion="6" refreshedVersion="5" minRefreshableVersion="3" recordCount="96" xr:uid="{00000000-000A-0000-FFFF-FFFF0C000000}">
  <cacheSource type="worksheet">
    <worksheetSource ref="A4:M100" sheet="T09b"/>
  </cacheSource>
  <cacheFields count="13">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Year" numFmtId="0">
      <sharedItems count="3">
        <s v="2015-16"/>
        <s v="2016-17"/>
        <s v="2017-18"/>
      </sharedItems>
    </cacheField>
    <cacheField name="Total_Secondary_Outdoor_Fires" numFmtId="0">
      <sharedItems containsSemiMixedTypes="0" containsString="0" containsNumber="1" containsInteger="1" minValue="5" maxValue="2559"/>
    </cacheField>
    <cacheField name="pop" numFmtId="0">
      <sharedItems containsSemiMixedTypes="0" containsString="0" containsNumber="1" containsInteger="1" minValue="21670" maxValue="621020"/>
    </cacheField>
    <cacheField name="01:Derelict Building" numFmtId="0">
      <sharedItems containsString="0" containsBlank="1" containsNumber="1" containsInteger="1" minValue="1" maxValue="72"/>
    </cacheField>
    <cacheField name="02:Grassland" numFmtId="0">
      <sharedItems containsSemiMixedTypes="0" containsString="0" containsNumber="1" containsInteger="1" minValue="3" maxValue="514"/>
    </cacheField>
    <cacheField name="03:Intentional straw or stubble" numFmtId="0">
      <sharedItems containsString="0" containsBlank="1" containsNumber="1" containsInteger="1" minValue="1" maxValue="11"/>
    </cacheField>
    <cacheField name="04:Outdoor structures" numFmtId="0">
      <sharedItems containsString="0" containsBlank="1" containsNumber="1" containsInteger="1" minValue="1" maxValue="55"/>
    </cacheField>
    <cacheField name="05:Derelict Vehicle" numFmtId="0">
      <sharedItems containsString="0" containsBlank="1" containsNumber="1" containsInteger="1" minValue="1" maxValue="11"/>
    </cacheField>
    <cacheField name="06:Other outdoors (including land)" numFmtId="0">
      <sharedItems containsString="0" containsBlank="1" containsNumber="1" containsInteger="1" minValue="1" maxValue="324"/>
    </cacheField>
    <cacheField name="07:Refuse - small/rubbish container" numFmtId="0">
      <sharedItems containsString="0" containsBlank="1" containsNumber="1" containsInteger="1" minValue="1" maxValue="892"/>
    </cacheField>
    <cacheField name="08:Refuse - large/rubbish container" numFmtId="0">
      <sharedItems containsString="0" containsBlank="1" containsNumber="1" containsInteger="1" minValue="1" maxValue="143"/>
    </cacheField>
    <cacheField name="09:Refuse - loose/rubbish tip" numFmtId="0">
      <sharedItems containsString="0" containsBlank="1" containsNumber="1" containsInteger="1" minValue="1" maxValue="719"/>
    </cacheField>
  </cacheFields>
  <extLst>
    <ext xmlns:x14="http://schemas.microsoft.com/office/spreadsheetml/2009/9/main" uri="{725AE2AE-9491-48be-B2B4-4EB974FC3084}">
      <x14:pivotCacheDefinition pivotCacheId="731582348"/>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9351855" createdVersion="6" refreshedVersion="5" minRefreshableVersion="3" recordCount="96" xr:uid="{00000000-000A-0000-FFFF-FFFF0D000000}">
  <cacheSource type="worksheet">
    <worksheetSource ref="A45:E141" sheet="T11"/>
  </cacheSource>
  <cacheFields count="5">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pop" numFmtId="0">
      <sharedItems containsSemiMixedTypes="0" containsString="0" containsNumber="1" containsInteger="1" minValue="21670" maxValue="621020"/>
    </cacheField>
    <cacheField name="Accidental" numFmtId="0">
      <sharedItems containsSemiMixedTypes="0" containsString="0" containsNumber="1" containsInteger="1" minValue="15" maxValue="1298"/>
    </cacheField>
    <cacheField name="Deliberate" numFmtId="0">
      <sharedItems containsString="0" containsBlank="1" containsNumber="1" containsInteger="1" minValue="1" maxValue="452"/>
    </cacheField>
  </cacheFields>
  <extLst>
    <ext xmlns:x14="http://schemas.microsoft.com/office/spreadsheetml/2009/9/main" uri="{725AE2AE-9491-48be-B2B4-4EB974FC3084}">
      <x14:pivotCacheDefinition pivotCacheId="1019047866"/>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9699071" createdVersion="6" refreshedVersion="5" minRefreshableVersion="3" recordCount="190" xr:uid="{00000000-000A-0000-FFFF-FFFF0E000000}">
  <cacheSource type="worksheet">
    <worksheetSource ref="A4:F194" sheet="T12"/>
  </cacheSource>
  <cacheFields count="6">
    <cacheField name="Pub_cause_txt" numFmtId="0">
      <sharedItems count="2">
        <s v="Accidental"/>
        <s v="Deliberate"/>
      </sharedItems>
    </cacheField>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1:fires" numFmtId="0">
      <sharedItems containsSemiMixedTypes="0" containsString="0" containsNumber="1" containsInteger="1" minValue="1" maxValue="1298"/>
    </cacheField>
    <cacheField name="2:fatal" numFmtId="0">
      <sharedItems containsString="0" containsBlank="1" containsNumber="1" containsInteger="1" minValue="1" maxValue="7"/>
    </cacheField>
    <cacheField name="3:nonfatal" numFmtId="0">
      <sharedItems containsString="0" containsBlank="1" containsNumber="1" containsInteger="1" minValue="1" maxValue="176"/>
    </cacheField>
  </cacheFields>
  <extLst>
    <ext xmlns:x14="http://schemas.microsoft.com/office/spreadsheetml/2009/9/main" uri="{725AE2AE-9491-48be-B2B4-4EB974FC3084}">
      <x14:pivotCacheDefinition pivotCacheId="673260509"/>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0046295" createdVersion="6" refreshedVersion="5" minRefreshableVersion="3" recordCount="191" xr:uid="{00000000-000A-0000-FFFF-FFFF0F000000}">
  <cacheSource type="worksheet">
    <worksheetSource ref="A15:N206" sheet="T13"/>
  </cacheSource>
  <cacheFields count="14">
    <cacheField name="Year" numFmtId="0">
      <sharedItems count="3">
        <s v="2015-16"/>
        <s v="2016-17"/>
        <s v="2017-18"/>
      </sharedItems>
    </cacheField>
    <cacheField name="Pub_cause_txt" numFmtId="0">
      <sharedItems count="2">
        <s v="Accidental"/>
        <s v="Deliberate"/>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1" maxValue="2419"/>
    </cacheField>
    <cacheField name="pop" numFmtId="0">
      <sharedItems containsSemiMixedTypes="0" containsString="0" containsNumber="1" containsInteger="1" minValue="21670" maxValue="621020"/>
    </cacheField>
    <cacheField name="01:Derelict Building" numFmtId="0">
      <sharedItems containsString="0" containsBlank="1" containsNumber="1" containsInteger="1" minValue="1" maxValue="71"/>
    </cacheField>
    <cacheField name="02:Grassland" numFmtId="0">
      <sharedItems containsString="0" containsBlank="1" containsNumber="1" containsInteger="1" minValue="1" maxValue="505"/>
    </cacheField>
    <cacheField name="03:Intentional straw or stubble" numFmtId="0">
      <sharedItems containsString="0" containsBlank="1" containsNumber="1" containsInteger="1" minValue="1" maxValue="9"/>
    </cacheField>
    <cacheField name="04:Outdoor structures" numFmtId="0">
      <sharedItems containsString="0" containsBlank="1" containsNumber="1" containsInteger="1" minValue="1" maxValue="44"/>
    </cacheField>
    <cacheField name="05:Derelict Vehicle" numFmtId="0">
      <sharedItems containsString="0" containsBlank="1" containsNumber="1" containsInteger="1" minValue="1" maxValue="10"/>
    </cacheField>
    <cacheField name="06:Other outdoors (including land)" numFmtId="0">
      <sharedItems containsString="0" containsBlank="1" containsNumber="1" containsInteger="1" minValue="1" maxValue="300"/>
    </cacheField>
    <cacheField name="07:Refuse - small/rubbish container" numFmtId="0">
      <sharedItems containsString="0" containsBlank="1" containsNumber="1" containsInteger="1" minValue="1" maxValue="807"/>
    </cacheField>
    <cacheField name="08:Refuse - large/rubbish container" numFmtId="0">
      <sharedItems containsString="0" containsBlank="1" containsNumber="1" containsInteger="1" minValue="1" maxValue="86"/>
    </cacheField>
    <cacheField name="09:Refuse - loose/rubbish tip" numFmtId="0">
      <sharedItems containsString="0" containsBlank="1" containsNumber="1" containsInteger="1" minValue="1" maxValue="704"/>
    </cacheField>
  </cacheFields>
  <extLst>
    <ext xmlns:x14="http://schemas.microsoft.com/office/spreadsheetml/2009/9/main" uri="{725AE2AE-9491-48be-B2B4-4EB974FC3084}">
      <x14:pivotCacheDefinition pivotCacheId="36336536"/>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0740741" createdVersion="6" refreshedVersion="5" minRefreshableVersion="3" recordCount="14" xr:uid="{00000000-000A-0000-FFFF-FFFF10000000}">
  <cacheSource type="worksheet">
    <worksheetSource ref="A4:J18" sheet="T14b"/>
  </cacheSource>
  <cacheFields count="10">
    <cacheField name="Who" numFmtId="0">
      <sharedItems count="1">
        <s v="Non 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Year" numFmtId="0">
      <sharedItems count="3">
        <s v="2015-16"/>
        <s v="2016-17"/>
        <s v="2017-18"/>
      </sharedItems>
    </cacheField>
    <cacheField name="Total_Fatal" numFmtId="0">
      <sharedItems containsSemiMixedTypes="0" containsString="0" containsNumber="1" containsInteger="1" minValue="1" maxValue="22"/>
    </cacheField>
    <cacheField name="Females" numFmtId="0">
      <sharedItems containsSemiMixedTypes="0" containsString="0" containsNumber="1" containsInteger="1" minValue="2762531" maxValue="2784500"/>
    </cacheField>
    <cacheField name="Males" numFmtId="0">
      <sharedItems containsSemiMixedTypes="0" containsString="0" containsNumber="1" containsInteger="1" minValue="2610469" maxValue="2640300"/>
    </cacheField>
    <cacheField name="Female" numFmtId="0">
      <sharedItems containsString="0" containsBlank="1" containsNumber="1" containsInteger="1" minValue="1" maxValue="9"/>
    </cacheField>
    <cacheField name="Male" numFmtId="0">
      <sharedItems containsString="0" containsBlank="1" containsNumber="1" containsInteger="1" minValue="1" maxValue="15"/>
    </cacheField>
    <cacheField name="Not known" numFmtId="0">
      <sharedItems containsString="0" containsBlank="1" containsNumber="1" containsInteger="1" minValue="1" maxValue="1"/>
    </cacheField>
  </cacheFields>
  <extLst>
    <ext xmlns:x14="http://schemas.microsoft.com/office/spreadsheetml/2009/9/main" uri="{725AE2AE-9491-48be-B2B4-4EB974FC3084}">
      <x14:pivotCacheDefinition pivotCacheId="521980004"/>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1087964" createdVersion="6" refreshedVersion="5" minRefreshableVersion="3" recordCount="32" xr:uid="{00000000-000A-0000-FFFF-FFFF11000000}">
  <cacheSource type="worksheet">
    <worksheetSource ref="A4:J36" sheet="T14c"/>
  </cacheSource>
  <cacheFields count="10">
    <cacheField name="Year" numFmtId="0">
      <sharedItems count="3">
        <s v="2015-16"/>
        <s v="2016-17"/>
        <s v="2017-18"/>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Females" numFmtId="0">
      <sharedItems containsSemiMixedTypes="0" containsString="0" containsNumber="1" containsInteger="1" minValue="2762531" maxValue="2784500"/>
    </cacheField>
    <cacheField name="Males" numFmtId="0">
      <sharedItems containsSemiMixedTypes="0" containsString="0" containsNumber="1" containsInteger="1" minValue="2610469" maxValue="2640300"/>
    </cacheField>
    <cacheField name="Female" numFmtId="0">
      <sharedItems containsString="0" containsBlank="1" containsNumber="1" containsInteger="1" minValue="1" maxValue="343"/>
    </cacheField>
    <cacheField name="Male" numFmtId="0">
      <sharedItems containsSemiMixedTypes="0" containsString="0" containsNumber="1" containsInteger="1" minValue="1" maxValue="405"/>
    </cacheField>
    <cacheField name="Not known" numFmtId="0">
      <sharedItems containsString="0" containsBlank="1" containsNumber="1" containsInteger="1" minValue="1" maxValue="8"/>
    </cacheField>
    <cacheField name="Not specified" numFmtId="0">
      <sharedItems containsString="0" containsBlank="1" containsNumber="1" containsInteger="1" minValue="1" maxValue="1"/>
    </cacheField>
  </cacheFields>
  <extLst>
    <ext xmlns:x14="http://schemas.microsoft.com/office/spreadsheetml/2009/9/main" uri="{725AE2AE-9491-48be-B2B4-4EB974FC3084}">
      <x14:pivotCacheDefinition pivotCacheId="1200476220"/>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1898149" createdVersion="6" refreshedVersion="5" minRefreshableVersion="3" recordCount="12" xr:uid="{00000000-000A-0000-FFFF-FFFF12000000}">
  <cacheSource type="worksheet">
    <worksheetSource ref="A4:M16" sheet="T14d"/>
  </cacheSource>
  <cacheFields count="13">
    <cacheField name="Year" numFmtId="0">
      <sharedItems count="3">
        <s v="2015-16"/>
        <s v="2016-17"/>
        <s v="2017-18"/>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63" maxValue="512"/>
    </cacheField>
    <cacheField name="Females" numFmtId="0">
      <sharedItems containsSemiMixedTypes="0" containsString="0" containsNumber="1" containsInteger="1" minValue="2762531" maxValue="2784500"/>
    </cacheField>
    <cacheField name="Males" numFmtId="0">
      <sharedItems containsSemiMixedTypes="0" containsString="0" containsNumber="1" containsInteger="1" minValue="2610469" maxValue="2640300"/>
    </cacheField>
    <cacheField name="FRS personnelFemale" numFmtId="0">
      <sharedItems containsString="0" containsBlank="1" containsNumber="1" containsInteger="1" minValue="1" maxValue="1"/>
    </cacheField>
    <cacheField name="FRS personnelMale" numFmtId="0">
      <sharedItems containsString="0" containsBlank="1" containsNumber="1" containsInteger="1" minValue="1" maxValue="10"/>
    </cacheField>
    <cacheField name="FRS personnelNot known" numFmtId="0">
      <sharedItems containsString="0" containsBlank="1" containsNumber="1" containsInteger="1" minValue="1" maxValue="3"/>
    </cacheField>
    <cacheField name="FRS personnelNot specified" numFmtId="0">
      <sharedItems containsString="0" containsBlank="1" containsNumber="1" containsInteger="1" minValue="1" maxValue="1"/>
    </cacheField>
    <cacheField name="Non FRS personnelFemale" numFmtId="0">
      <sharedItems containsSemiMixedTypes="0" containsString="0" containsNumber="1" containsInteger="1" minValue="15" maxValue="257"/>
    </cacheField>
    <cacheField name="Non FRS personnelMale" numFmtId="0">
      <sharedItems containsSemiMixedTypes="0" containsString="0" containsNumber="1" containsInteger="1" minValue="45" maxValue="264"/>
    </cacheField>
    <cacheField name="Non FRS personnelNot known" numFmtId="0">
      <sharedItems containsString="0" containsBlank="1" containsNumber="1" containsInteger="1" minValue="1" maxValue="7"/>
    </cacheField>
    <cacheField name="Non FRS personnelNot specified" numFmtId="0">
      <sharedItems containsString="0" containsBlank="1" containsNumber="1" containsInteger="1" minValue="1" maxValue="1"/>
    </cacheField>
  </cacheFields>
  <extLst>
    <ext xmlns:x14="http://schemas.microsoft.com/office/spreadsheetml/2009/9/main" uri="{725AE2AE-9491-48be-B2B4-4EB974FC3084}">
      <x14:pivotCacheDefinition pivotCacheId="154174150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4606483" createdVersion="6" refreshedVersion="5" minRefreshableVersion="3" recordCount="15" xr:uid="{00000000-000A-0000-FFFF-FFFF01000000}">
  <cacheSource type="worksheet">
    <worksheetSource ref="A100:L115" sheet="T_17"/>
  </cacheSource>
  <cacheFields count="12">
    <cacheField name="Year" numFmtId="0">
      <sharedItems count="3">
        <s v="2015-16"/>
        <s v="2016-17"/>
        <s v="2017-18"/>
      </sharedItems>
    </cacheField>
    <cacheField name="Treatment" numFmtId="0">
      <sharedItems count="5">
        <s v="1Precautionary check recommended"/>
        <s v="2First aid given at scene"/>
        <s v="3Victim went to hospital, injuries appear to be Slight"/>
        <s v="4Victim went to hospital, injuries appear to be Serious"/>
        <s v="Population"/>
      </sharedItems>
    </cacheField>
    <cacheField name="Total_Nonfatal" numFmtId="0">
      <sharedItems containsString="0" containsBlank="1" containsNumber="1" containsInteger="1" minValue="63" maxValue="512"/>
    </cacheField>
    <cacheField name="FRS personnel17-29" numFmtId="0">
      <sharedItems containsString="0" containsBlank="1" containsNumber="1" containsInteger="1" minValue="0" maxValue="2"/>
    </cacheField>
    <cacheField name="FRS personnel30-59" numFmtId="0">
      <sharedItems containsString="0" containsBlank="1" containsNumber="1" containsInteger="1" minValue="0" maxValue="7"/>
    </cacheField>
    <cacheField name="FRS personnel60+" numFmtId="0">
      <sharedItems containsString="0" containsBlank="1" containsNumber="1" containsInteger="1" minValue="0" maxValue="1"/>
    </cacheField>
    <cacheField name="FRS personnelUnknown" numFmtId="0">
      <sharedItems containsString="0" containsBlank="1" containsNumber="1" containsInteger="1" minValue="0" maxValue="6"/>
    </cacheField>
    <cacheField name="Non FRS personnel0-16" numFmtId="0">
      <sharedItems containsSemiMixedTypes="0" containsString="0" containsNumber="1" containsInteger="1" minValue="1" maxValue="973036"/>
    </cacheField>
    <cacheField name="Non FRS personnel17-29" numFmtId="0">
      <sharedItems containsSemiMixedTypes="0" containsString="0" containsNumber="1" containsInteger="1" minValue="8" maxValue="924449"/>
    </cacheField>
    <cacheField name="Non FRS personnel30-59" numFmtId="0">
      <sharedItems containsSemiMixedTypes="0" containsString="0" containsNumber="1" containsInteger="1" minValue="31" maxValue="2190171"/>
    </cacheField>
    <cacheField name="Non FRS personnel60+" numFmtId="0">
      <sharedItems containsSemiMixedTypes="0" containsString="0" containsNumber="1" containsInteger="1" minValue="9" maxValue="1341578"/>
    </cacheField>
    <cacheField name="Non FRS personnelUnknown" numFmtId="0">
      <sharedItems containsString="0" containsBlank="1" containsNumber="1" containsInteger="1" minValue="1" maxValue="44"/>
    </cacheField>
  </cacheFields>
  <extLst>
    <ext xmlns:x14="http://schemas.microsoft.com/office/spreadsheetml/2009/9/main" uri="{725AE2AE-9491-48be-B2B4-4EB974FC3084}">
      <x14:pivotCacheDefinition pivotCacheId="1101573197"/>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2592596" createdVersion="6" refreshedVersion="5" minRefreshableVersion="3" recordCount="14" xr:uid="{00000000-000A-0000-FFFF-FFFF13000000}">
  <cacheSource type="worksheet">
    <worksheetSource ref="A30:I44" sheet="T16"/>
  </cacheSource>
  <cacheFields count="9">
    <cacheField name="Year" numFmtId="0">
      <sharedItems count="3">
        <s v="2015-16"/>
        <s v="2016-17"/>
        <s v="2017-18"/>
      </sharedItems>
    </cacheField>
    <cacheField name="Who" numFmtId="0">
      <sharedItems count="1">
        <s v="Non 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2"/>
    </cacheField>
    <cacheField name="17-29" numFmtId="0">
      <sharedItems containsString="0" containsBlank="1" containsNumber="1" containsInteger="1" minValue="1" maxValue="3"/>
    </cacheField>
    <cacheField name="30-59" numFmtId="0">
      <sharedItems containsString="0" containsBlank="1" containsNumber="1" containsInteger="1" minValue="1" maxValue="9"/>
    </cacheField>
    <cacheField name="60+" numFmtId="0">
      <sharedItems containsString="0" containsBlank="1" containsNumber="1" containsInteger="1" minValue="1" maxValue="10"/>
    </cacheField>
    <cacheField name="Unknown" numFmtId="0">
      <sharedItems containsString="0" containsBlank="1" containsNumber="1" containsInteger="1" minValue="1" maxValue="1"/>
    </cacheField>
  </cacheFields>
  <extLst>
    <ext xmlns:x14="http://schemas.microsoft.com/office/spreadsheetml/2009/9/main" uri="{725AE2AE-9491-48be-B2B4-4EB974FC3084}">
      <x14:pivotCacheDefinition pivotCacheId="1138532"/>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3055558" createdVersion="6" refreshedVersion="5" minRefreshableVersion="3" recordCount="32" xr:uid="{00000000-000A-0000-FFFF-FFFF14000000}">
  <cacheSource type="worksheet">
    <worksheetSource ref="A4:I36" sheet="T16c"/>
  </cacheSource>
  <cacheFields count="9">
    <cacheField name="Year" numFmtId="0">
      <sharedItems count="3">
        <s v="2015-16"/>
        <s v="2016-17"/>
        <s v="2017-18"/>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0-16" numFmtId="0">
      <sharedItems containsString="0" containsBlank="1" containsNumber="1" containsInteger="1" minValue="1" maxValue="61"/>
    </cacheField>
    <cacheField name="17-29" numFmtId="0">
      <sharedItems containsString="0" containsBlank="1" containsNumber="1" containsInteger="1" minValue="1" maxValue="122"/>
    </cacheField>
    <cacheField name="30-59" numFmtId="0">
      <sharedItems containsString="0" containsBlank="1" containsNumber="1" containsInteger="1" minValue="1" maxValue="349"/>
    </cacheField>
    <cacheField name="60+" numFmtId="0">
      <sharedItems containsString="0" containsBlank="1" containsNumber="1" containsInteger="1" minValue="1" maxValue="221"/>
    </cacheField>
    <cacheField name="Unknown" numFmtId="0">
      <sharedItems containsString="0" containsBlank="1" containsNumber="1" containsInteger="1" minValue="1" maxValue="54"/>
    </cacheField>
  </cacheFields>
  <extLst>
    <ext xmlns:x14="http://schemas.microsoft.com/office/spreadsheetml/2009/9/main" uri="{725AE2AE-9491-48be-B2B4-4EB974FC3084}">
      <x14:pivotCacheDefinition pivotCacheId="1243177902"/>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3402781" createdVersion="6" refreshedVersion="5" minRefreshableVersion="3" recordCount="12" xr:uid="{00000000-000A-0000-FFFF-FFFF15000000}">
  <cacheSource type="worksheet">
    <worksheetSource ref="A4:L16" sheet="T16d"/>
  </cacheSource>
  <cacheFields count="12">
    <cacheField name="Year" numFmtId="0">
      <sharedItems count="3">
        <s v="2015-16"/>
        <s v="2016-17"/>
        <s v="2017-18"/>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63" maxValue="512"/>
    </cacheField>
    <cacheField name="FRS personnel17-29" numFmtId="0">
      <sharedItems containsString="0" containsBlank="1" containsNumber="1" containsInteger="1" minValue="1" maxValue="2"/>
    </cacheField>
    <cacheField name="FRS personnel30-59" numFmtId="0">
      <sharedItems containsString="0" containsBlank="1" containsNumber="1" containsInteger="1" minValue="1" maxValue="7"/>
    </cacheField>
    <cacheField name="FRS personnel60+" numFmtId="0">
      <sharedItems containsString="0" containsBlank="1" containsNumber="1" containsInteger="1" minValue="1" maxValue="1"/>
    </cacheField>
    <cacheField name="FRS personnelUnknown" numFmtId="0">
      <sharedItems containsString="0" containsBlank="1" containsNumber="1" containsInteger="1" minValue="1" maxValue="6"/>
    </cacheField>
    <cacheField name="Non FRS personnel0-16" numFmtId="0">
      <sharedItems containsSemiMixedTypes="0" containsString="0" containsNumber="1" containsInteger="1" minValue="1" maxValue="37"/>
    </cacheField>
    <cacheField name="Non FRS personnel17-29" numFmtId="0">
      <sharedItems containsSemiMixedTypes="0" containsString="0" containsNumber="1" containsInteger="1" minValue="8" maxValue="76"/>
    </cacheField>
    <cacheField name="Non FRS personnel30-59" numFmtId="0">
      <sharedItems containsSemiMixedTypes="0" containsString="0" containsNumber="1" containsInteger="1" minValue="31" maxValue="234"/>
    </cacheField>
    <cacheField name="Non FRS personnel60+" numFmtId="0">
      <sharedItems containsSemiMixedTypes="0" containsString="0" containsNumber="1" containsInteger="1" minValue="9" maxValue="167"/>
    </cacheField>
    <cacheField name="Non FRS personnelUnknown" numFmtId="0">
      <sharedItems containsSemiMixedTypes="0" containsString="0" containsNumber="1" containsInteger="1" minValue="1" maxValue="44"/>
    </cacheField>
  </cacheFields>
  <extLst>
    <ext xmlns:x14="http://schemas.microsoft.com/office/spreadsheetml/2009/9/main" uri="{725AE2AE-9491-48be-B2B4-4EB974FC3084}">
      <x14:pivotCacheDefinition pivotCacheId="1077398770"/>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3865743" createdVersion="6" refreshedVersion="5" minRefreshableVersion="3" recordCount="96" xr:uid="{00000000-000A-0000-FFFF-FFFF16000000}">
  <cacheSource type="worksheet">
    <worksheetSource ref="A4:AA100" sheet="T19a"/>
  </cacheSource>
  <cacheFields count="27">
    <cacheField name="a.Year" numFmtId="0">
      <sharedItems count="3">
        <s v="2015-16"/>
        <s v="2016-17"/>
        <s v="2017-18"/>
      </sharedItems>
    </cacheField>
    <cacheField name="a.Type" numFmtId="0">
      <sharedItems/>
    </cacheField>
    <cacheField name="a.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a.Total" numFmtId="0">
      <sharedItems containsSemiMixedTypes="0" containsString="0" containsNumber="1" containsInteger="1" minValue="7" maxValue="962"/>
    </cacheField>
    <cacheField name="a.1Present, operated and raised the alarm" numFmtId="0">
      <sharedItems containsSemiMixedTypes="0" containsString="0" containsNumber="1" containsInteger="1" minValue="1" maxValue="566"/>
    </cacheField>
    <cacheField name="a.2Present, operated but did not raise the alarm" numFmtId="0">
      <sharedItems containsString="0" containsBlank="1" containsNumber="1" containsInteger="1" minValue="1" maxValue="80"/>
    </cacheField>
    <cacheField name="a.3Present but did not operate" numFmtId="0">
      <sharedItems containsString="0" containsBlank="1" containsNumber="1" containsInteger="1" minValue="1" maxValue="135"/>
    </cacheField>
    <cacheField name="a.4Smoke alarm absent" numFmtId="0">
      <sharedItems containsSemiMixedTypes="0" containsString="0" containsNumber="1" containsInteger="1" minValue="2" maxValue="235"/>
    </cacheField>
    <cacheField name="a.5Don't know if smoke alarm was present" numFmtId="0">
      <sharedItems containsString="0" containsBlank="1" containsNumber="1" containsInteger="1" minValue="1" maxValue="15"/>
    </cacheField>
    <cacheField name="f.Year" numFmtId="0">
      <sharedItems containsBlank="1"/>
    </cacheField>
    <cacheField name="f.PubLANAME" numFmtId="0">
      <sharedItems containsBlank="1"/>
    </cacheField>
    <cacheField name="f.Type" numFmtId="0">
      <sharedItems containsBlank="1"/>
    </cacheField>
    <cacheField name="f.Total" numFmtId="0">
      <sharedItems containsString="0" containsBlank="1" containsNumber="1" containsInteger="1" minValue="1" maxValue="6"/>
    </cacheField>
    <cacheField name="f.1Present, operated and raised the alarm" numFmtId="0">
      <sharedItems containsString="0" containsBlank="1" containsNumber="1" containsInteger="1" minValue="1" maxValue="3"/>
    </cacheField>
    <cacheField name="f.2Present, operated but did not raise the alarm" numFmtId="0">
      <sharedItems containsString="0" containsBlank="1" containsNumber="1" containsInteger="1" minValue="1" maxValue="2"/>
    </cacheField>
    <cacheField name="f.3Present but did not operate" numFmtId="0">
      <sharedItems containsString="0" containsBlank="1" containsNumber="1" containsInteger="1" minValue="1" maxValue="2"/>
    </cacheField>
    <cacheField name="f.4Smoke alarm absent" numFmtId="0">
      <sharedItems containsString="0" containsBlank="1" containsNumber="1" containsInteger="1" minValue="1" maxValue="3"/>
    </cacheField>
    <cacheField name="f.5Don't know if smoke alarm was present" numFmtId="0">
      <sharedItems containsString="0" containsBlank="1" containsNumber="1" containsInteger="1" minValue="1" maxValue="2"/>
    </cacheField>
    <cacheField name="n.Year" numFmtId="0">
      <sharedItems/>
    </cacheField>
    <cacheField name="n.PubLANAME" numFmtId="0">
      <sharedItems/>
    </cacheField>
    <cacheField name="n.Type" numFmtId="0">
      <sharedItems/>
    </cacheField>
    <cacheField name="n.Total" numFmtId="0">
      <sharedItems containsSemiMixedTypes="0" containsString="0" containsNumber="1" containsInteger="1" minValue="1" maxValue="209"/>
    </cacheField>
    <cacheField name="n.1Present, operated and raised the alarm" numFmtId="0">
      <sharedItems containsString="0" containsBlank="1" containsNumber="1" containsInteger="1" minValue="1" maxValue="127"/>
    </cacheField>
    <cacheField name="n.2Present, operated but did not raise the alarm" numFmtId="0">
      <sharedItems containsString="0" containsBlank="1" containsNumber="1" containsInteger="1" minValue="1" maxValue="24"/>
    </cacheField>
    <cacheField name="n.3Present but did not operate" numFmtId="0">
      <sharedItems containsString="0" containsBlank="1" containsNumber="1" containsInteger="1" minValue="1" maxValue="29"/>
    </cacheField>
    <cacheField name="n.4Smoke alarm absent" numFmtId="0">
      <sharedItems containsString="0" containsBlank="1" containsNumber="1" containsInteger="1" minValue="1" maxValue="45"/>
    </cacheField>
    <cacheField name="n.5Don't know if smoke alarm was present" numFmtId="0">
      <sharedItems containsString="0" containsBlank="1" containsNumber="1" containsInteger="1" minValue="1" maxValue="16"/>
    </cacheField>
  </cacheFields>
  <extLst>
    <ext xmlns:x14="http://schemas.microsoft.com/office/spreadsheetml/2009/9/main" uri="{725AE2AE-9491-48be-B2B4-4EB974FC3084}">
      <x14:pivotCacheDefinition pivotCacheId="791682079"/>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4212966" createdVersion="6" refreshedVersion="5" minRefreshableVersion="3" recordCount="96" xr:uid="{00000000-000A-0000-FFFF-FFFF17000000}">
  <cacheSource type="worksheet">
    <worksheetSource ref="A30:G126" sheet="T21"/>
  </cacheSource>
  <cacheFields count="7">
    <cacheField name="Pub_level_type_o" numFmtId="0">
      <sharedItems/>
    </cacheField>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7" maxValue="847"/>
    </cacheField>
    <cacheField name="1:Yes" numFmtId="0">
      <sharedItems containsString="0" containsBlank="1" containsNumber="1" containsInteger="1" minValue="1" maxValue="149"/>
    </cacheField>
    <cacheField name="2:No" numFmtId="0">
      <sharedItems containsSemiMixedTypes="0" containsString="0" containsNumber="1" containsInteger="1" minValue="5" maxValue="608"/>
    </cacheField>
    <cacheField name="3:Not Known" numFmtId="0">
      <sharedItems containsString="0" containsBlank="1" containsNumber="1" containsInteger="1" minValue="1" maxValue="125"/>
    </cacheField>
  </cacheFields>
  <extLst>
    <ext xmlns:x14="http://schemas.microsoft.com/office/spreadsheetml/2009/9/main" uri="{725AE2AE-9491-48be-B2B4-4EB974FC3084}">
      <x14:pivotCacheDefinition pivotCacheId="1332252649"/>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4560182" createdVersion="6" refreshedVersion="5" minRefreshableVersion="3" recordCount="192" xr:uid="{00000000-000A-0000-FFFF-FFFF18000000}">
  <cacheSource type="worksheet">
    <worksheetSource ref="A15:K207" sheet="T23"/>
  </cacheSource>
  <cacheFields count="11">
    <cacheField name="IS_PRIMARY_FIRE" numFmtId="0">
      <sharedItems count="2">
        <s v="yes"/>
        <s v="no"/>
      </sharedItems>
    </cacheField>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5" maxValue="2557"/>
    </cacheField>
    <cacheField name="01" numFmtId="0">
      <sharedItems containsSemiMixedTypes="0" containsString="0" containsNumber="1" containsInteger="1" minValue="5" maxValue="2212"/>
    </cacheField>
    <cacheField name="02" numFmtId="0">
      <sharedItems containsString="0" containsBlank="1" containsNumber="1" containsInteger="1" minValue="1" maxValue="739"/>
    </cacheField>
    <cacheField name="03-05" numFmtId="0">
      <sharedItems containsString="0" containsBlank="1" containsNumber="1" containsInteger="1" minValue="1" maxValue="685"/>
    </cacheField>
    <cacheField name="06-10" numFmtId="0">
      <sharedItems containsString="0" containsBlank="1" containsNumber="1" containsInteger="1" minValue="1" maxValue="20"/>
    </cacheField>
    <cacheField name="11-15" numFmtId="0">
      <sharedItems containsString="0" containsBlank="1" containsNumber="1" containsInteger="1" minValue="1" maxValue="5"/>
    </cacheField>
    <cacheField name="16+" numFmtId="0">
      <sharedItems containsString="0" containsBlank="1" containsNumber="1" containsInteger="1" minValue="1" maxValue="5"/>
    </cacheField>
    <cacheField name="Unknown" numFmtId="0">
      <sharedItems containsString="0" containsBlank="1" containsNumber="1" containsInteger="1" minValue="1" maxValue="45"/>
    </cacheField>
  </cacheFields>
  <extLst>
    <ext xmlns:x14="http://schemas.microsoft.com/office/spreadsheetml/2009/9/main" uri="{725AE2AE-9491-48be-B2B4-4EB974FC3084}">
      <x14:pivotCacheDefinition pivotCacheId="1313497787"/>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4907406" createdVersion="6" refreshedVersion="5" minRefreshableVersion="3" recordCount="97" xr:uid="{00000000-000A-0000-FFFF-FFFF19000000}">
  <cacheSource type="worksheet">
    <worksheetSource ref="A10:D107" sheet="T04"/>
  </cacheSource>
  <cacheFields count="4">
    <cacheField name="Year" numFmtId="0">
      <sharedItems count="3">
        <s v="2015-16"/>
        <s v="2016-17"/>
        <s v="2017-18"/>
      </sharedItems>
    </cacheField>
    <cacheField name="PubLANAME" numFmtId="0">
      <sharedItems count="33">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No Location"/>
      </sharedItems>
    </cacheField>
    <cacheField name="Total" numFmtId="0">
      <sharedItems containsSemiMixedTypes="0" containsString="0" containsNumber="1" containsInteger="1" minValue="1" maxValue="8352"/>
    </cacheField>
    <cacheField name="pop" numFmtId="0">
      <sharedItems containsString="0" containsBlank="1" containsNumber="1" containsInteger="1" minValue="21670" maxValue="621020"/>
    </cacheField>
  </cacheFields>
  <extLst>
    <ext xmlns:x14="http://schemas.microsoft.com/office/spreadsheetml/2009/9/main" uri="{725AE2AE-9491-48be-B2B4-4EB974FC3084}">
      <x14:pivotCacheDefinition pivotCacheId="835551149"/>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5370367" createdVersion="6" refreshedVersion="5" minRefreshableVersion="3" recordCount="35" xr:uid="{00000000-000A-0000-FFFF-FFFF1A000000}">
  <cacheSource type="worksheet">
    <worksheetSource ref="A40:I75" sheet="T_17"/>
  </cacheSource>
  <cacheFields count="9">
    <cacheField name="Year" numFmtId="0">
      <sharedItems count="3">
        <s v="2015-16"/>
        <s v="2016-17"/>
        <s v="2017-18"/>
      </sharedItems>
    </cacheField>
    <cacheField name="who" numFmtId="0">
      <sharedItems containsBlank="1" count="3">
        <s v="FRS personnel"/>
        <s v="Non FRS personnel"/>
        <m u="1"/>
      </sharedItems>
    </cacheField>
    <cacheField name="Pub_injury_withchecks" numFmtId="0">
      <sharedItems count="8">
        <s v="1Burns"/>
        <s v="4Physical injuries"/>
        <s v="6Other specified"/>
        <s v="8Other/Not known"/>
        <s v="2Combination of burns and overcome by gas/smoke"/>
        <s v="3Overcome by gas, smoke or toxic fumes"/>
        <s v="5Shock"/>
        <s v="Population"/>
      </sharedItems>
    </cacheField>
    <cacheField name="Total_Nonfatal" numFmtId="0">
      <sharedItems containsString="0" containsBlank="1" containsNumber="1" containsInteger="1" minValue="1" maxValue="752"/>
    </cacheField>
    <cacheField name="0-16" numFmtId="0">
      <sharedItems containsSemiMixedTypes="0" containsString="0" containsNumber="1" containsInteger="1" minValue="0" maxValue="973036"/>
    </cacheField>
    <cacheField name="17-29" numFmtId="0">
      <sharedItems containsSemiMixedTypes="0" containsString="0" containsNumber="1" containsInteger="1" minValue="0" maxValue="924449"/>
    </cacheField>
    <cacheField name="30-59" numFmtId="0">
      <sharedItems containsSemiMixedTypes="0" containsString="0" containsNumber="1" containsInteger="1" minValue="0" maxValue="2190171"/>
    </cacheField>
    <cacheField name="60+" numFmtId="0">
      <sharedItems containsSemiMixedTypes="0" containsString="0" containsNumber="1" containsInteger="1" minValue="0" maxValue="1341578"/>
    </cacheField>
    <cacheField name="Unknown" numFmtId="0">
      <sharedItems containsString="0" containsBlank="1" containsNumber="1" containsInteger="1" minValue="0" maxValue="54"/>
    </cacheField>
  </cacheFields>
  <extLst>
    <ext xmlns:x14="http://schemas.microsoft.com/office/spreadsheetml/2009/9/main" uri="{725AE2AE-9491-48be-B2B4-4EB974FC3084}">
      <x14:pivotCacheDefinition pivotCacheId="1510979343"/>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45949075" createdVersion="5" refreshedVersion="5" minRefreshableVersion="3" recordCount="96" xr:uid="{00000000-000A-0000-FFFF-FFFF1B000000}">
  <cacheSource type="worksheet">
    <worksheetSource ref="A80:C176" sheet="Tref"/>
  </cacheSource>
  <cacheFields count="3">
    <cacheField name="Year" numFmtId="0">
      <sharedItems count="3">
        <s v="2015-16"/>
        <s v="2016-17"/>
        <s v="2017-18"/>
      </sharedItems>
    </cacheField>
    <cacheField name="Council area"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Dwellings" numFmtId="0">
      <sharedItems containsSemiMixedTypes="0" containsString="0" containsNumber="1" containsInteger="1" minValue="10924" maxValue="308293"/>
    </cacheField>
  </cacheFields>
  <extLst>
    <ext xmlns:x14="http://schemas.microsoft.com/office/spreadsheetml/2009/9/main" uri="{725AE2AE-9491-48be-B2B4-4EB974FC3084}">
      <x14:pivotCacheDefinition pivotCacheId="204039921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530093" createdVersion="6" refreshedVersion="5" minRefreshableVersion="3" recordCount="94" xr:uid="{00000000-000A-0000-FFFF-FFFF02000000}">
  <cacheSource type="worksheet">
    <worksheetSource ref="A10:E104" sheet="T05"/>
  </cacheSource>
  <cacheFields count="5">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SpecialServiceFalseAlarms" numFmtId="0">
      <sharedItems containsSemiMixedTypes="0" containsString="0" containsNumber="1" containsInteger="1" minValue="2" maxValue="111"/>
    </cacheField>
    <cacheField name="1Malicious False Alarm" numFmtId="0">
      <sharedItems containsSemiMixedTypes="0" containsString="0" containsNumber="1" containsInteger="1" minValue="0" maxValue="8"/>
    </cacheField>
    <cacheField name="3Good Intent false alarm" numFmtId="0">
      <sharedItems containsSemiMixedTypes="0" containsString="0" containsNumber="1" containsInteger="1" minValue="2" maxValue="109"/>
    </cacheField>
  </cacheFields>
  <extLst>
    <ext xmlns:x14="http://schemas.microsoft.com/office/spreadsheetml/2009/9/main" uri="{725AE2AE-9491-48be-B2B4-4EB974FC3084}">
      <x14:pivotCacheDefinition pivotCacheId="178391077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5648146" createdVersion="5" refreshedVersion="5" minRefreshableVersion="3" recordCount="96" xr:uid="{00000000-000A-0000-FFFF-FFFF03000000}">
  <cacheSource type="worksheet">
    <worksheetSource ref="A10:J106" sheet="T01"/>
  </cacheSource>
  <cacheFields count="10">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Primary_Total" numFmtId="0">
      <sharedItems containsSemiMixedTypes="0" containsString="0" containsNumber="1" containsInteger="1" minValue="15" maxValue="1738"/>
    </cacheField>
    <cacheField name="1:Dwelling" numFmtId="0">
      <sharedItems containsSemiMixedTypes="0" containsString="0" containsNumber="1" containsInteger="1" minValue="7" maxValue="962"/>
    </cacheField>
    <cacheField name="2:Other Buildings" numFmtId="0">
      <sharedItems containsSemiMixedTypes="0" containsString="0" containsNumber="1" containsInteger="1" minValue="2" maxValue="408"/>
    </cacheField>
    <cacheField name="3:Road Vehicle" numFmtId="0">
      <sharedItems containsSemiMixedTypes="0" containsString="0" containsNumber="1" containsInteger="1" minValue="1" maxValue="319"/>
    </cacheField>
    <cacheField name="4:Others" numFmtId="0">
      <sharedItems containsSemiMixedTypes="0" containsString="0" containsNumber="1" containsInteger="1" minValue="1" maxValue="118"/>
    </cacheField>
    <cacheField name="Secondary_Total" numFmtId="0">
      <sharedItems containsSemiMixedTypes="0" containsString="0" containsNumber="1" containsInteger="1" minValue="5" maxValue="2559"/>
    </cacheField>
    <cacheField name="Chimney_Total" numFmtId="0">
      <sharedItems containsString="0" containsBlank="1" containsNumber="1" containsInteger="1" minValue="1" maxValue="238"/>
    </cacheField>
    <cacheField name="pop" numFmtId="0">
      <sharedItems containsSemiMixedTypes="0" containsString="0" containsNumber="1" containsInteger="1" minValue="21670" maxValue="621020"/>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6111115" createdVersion="5" refreshedVersion="5" minRefreshableVersion="3" recordCount="256" xr:uid="{00000000-000A-0000-FFFF-FFFF04000000}">
  <cacheSource type="worksheet">
    <worksheetSource ref="A20:H276" sheet="T02"/>
  </cacheSource>
  <cacheFields count="8">
    <cacheField name="VICTIM_TYPE_DESCRIPTION" numFmtId="0">
      <sharedItems count="3">
        <s v="Exprecautionary"/>
        <s v="Fatality"/>
        <s v="Injured (incl. rescue with injury)"/>
      </sharedItems>
    </cacheField>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1" maxValue="219"/>
    </cacheField>
    <cacheField name="1:Dwelling" numFmtId="0">
      <sharedItems containsString="0" containsBlank="1" containsNumber="1" containsInteger="1" minValue="1" maxValue="209"/>
    </cacheField>
    <cacheField name="2:Other Buildings" numFmtId="0">
      <sharedItems containsString="0" containsBlank="1" containsNumber="1" containsInteger="1" minValue="1" maxValue="16"/>
    </cacheField>
    <cacheField name="3:Road Vehicle" numFmtId="0">
      <sharedItems containsString="0" containsBlank="1" containsNumber="1" containsInteger="1" minValue="1" maxValue="12"/>
    </cacheField>
    <cacheField name="4:Others" numFmtId="0">
      <sharedItems containsString="0" containsBlank="1" containsNumber="1" containsInteger="1" minValue="1" maxValue="6"/>
    </cacheField>
  </cacheFields>
  <extLst>
    <ext xmlns:x14="http://schemas.microsoft.com/office/spreadsheetml/2009/9/main" uri="{725AE2AE-9491-48be-B2B4-4EB974FC3084}">
      <x14:pivotCacheDefinition pivotCacheId="5"/>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6458331" createdVersion="5" refreshedVersion="5" minRefreshableVersion="3" recordCount="96" xr:uid="{00000000-000A-0000-FFFF-FFFF05000000}">
  <cacheSource type="worksheet">
    <worksheetSource ref="A10:F106" sheet="T03"/>
  </cacheSource>
  <cacheFields count="6">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_ADF" numFmtId="0">
      <sharedItems containsSemiMixedTypes="0" containsString="0" containsNumber="1" containsInteger="1" minValue="7" maxValue="847"/>
    </cacheField>
    <cacheField name="Total_fatal_ADF" numFmtId="0">
      <sharedItems containsString="0" containsBlank="1" containsNumber="1" containsInteger="1" minValue="1" maxValue="5"/>
    </cacheField>
    <cacheField name="Total_nonfatal_ADF" numFmtId="0">
      <sharedItems containsSemiMixedTypes="0" containsString="0" containsNumber="1" containsInteger="1" minValue="1" maxValue="167"/>
    </cacheField>
    <cacheField name="Dwellings" numFmtId="0">
      <sharedItems containsSemiMixedTypes="0" containsString="0" containsNumber="1" containsInteger="1" minValue="10924" maxValue="308293"/>
    </cacheField>
  </cacheFields>
  <extLst>
    <ext xmlns:x14="http://schemas.microsoft.com/office/spreadsheetml/2009/9/main" uri="{725AE2AE-9491-48be-B2B4-4EB974FC3084}">
      <x14:pivotCacheDefinition pivotCacheId="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6805554" createdVersion="5" refreshedVersion="5" minRefreshableVersion="3" recordCount="96" xr:uid="{00000000-000A-0000-FFFF-FFFF06000000}">
  <cacheSource type="worksheet">
    <worksheetSource ref="A4:F100" sheet="T03b"/>
  </cacheSource>
  <cacheFields count="6">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1:Dwelling" numFmtId="0">
      <sharedItems containsSemiMixedTypes="0" containsString="0" containsNumber="1" containsInteger="1" minValue="7" maxValue="962"/>
    </cacheField>
    <cacheField name="Total_ADF" numFmtId="0">
      <sharedItems containsSemiMixedTypes="0" containsString="0" containsNumber="1" containsInteger="1" minValue="7" maxValue="847"/>
    </cacheField>
    <cacheField name="DDF" numFmtId="0">
      <sharedItems containsSemiMixedTypes="0" containsString="0" containsNumber="1" containsInteger="1" minValue="0" maxValue="127"/>
    </cacheField>
    <cacheField name="Dwellings" numFmtId="0">
      <sharedItems containsSemiMixedTypes="0" containsString="0" containsNumber="1" containsInteger="1" minValue="10924" maxValue="308293"/>
    </cacheField>
  </cacheFields>
  <extLst>
    <ext xmlns:x14="http://schemas.microsoft.com/office/spreadsheetml/2009/9/main" uri="{725AE2AE-9491-48be-B2B4-4EB974FC3084}">
      <x14:pivotCacheDefinition pivotCacheId="8"/>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7152777" createdVersion="5" refreshedVersion="5" minRefreshableVersion="3" recordCount="97" xr:uid="{00000000-000A-0000-FFFF-FFFF07000000}">
  <cacheSource type="worksheet">
    <worksheetSource ref="A10:G107" sheet="T04"/>
  </cacheSource>
  <cacheFields count="7">
    <cacheField name="Year" numFmtId="0">
      <sharedItems count="3">
        <s v="2015-16"/>
        <s v="2016-17"/>
        <s v="2017-18"/>
      </sharedItems>
    </cacheField>
    <cacheField name="PubLANAME" numFmtId="0">
      <sharedItems count="33">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No Location"/>
      </sharedItems>
    </cacheField>
    <cacheField name="Total" numFmtId="0">
      <sharedItems containsSemiMixedTypes="0" containsString="0" containsNumber="1" containsInteger="1" minValue="1" maxValue="8352"/>
    </cacheField>
    <cacheField name="pop" numFmtId="0">
      <sharedItems containsString="0" containsBlank="1" containsNumber="1" containsInteger="1" minValue="21670" maxValue="621020"/>
    </cacheField>
    <cacheField name="1Malicious False Alarm" numFmtId="0">
      <sharedItems containsString="0" containsBlank="1" containsNumber="1" containsInteger="1" minValue="1" maxValue="571"/>
    </cacheField>
    <cacheField name="2Fire alarm due to Apparatus" numFmtId="0">
      <sharedItems containsString="0" containsBlank="1" containsNumber="1" containsInteger="1" minValue="55" maxValue="6607"/>
    </cacheField>
    <cacheField name="3Good Intent false alarm" numFmtId="0">
      <sharedItems containsSemiMixedTypes="0" containsString="0" containsNumber="1" containsInteger="1" minValue="1" maxValue="1270"/>
    </cacheField>
  </cacheFields>
  <extLst>
    <ext xmlns:x14="http://schemas.microsoft.com/office/spreadsheetml/2009/9/main" uri="{725AE2AE-9491-48be-B2B4-4EB974FC3084}">
      <x14:pivotCacheDefinition pivotCacheId="9"/>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396.609537615739" createdVersion="6" refreshedVersion="5" minRefreshableVersion="3" recordCount="96" xr:uid="{00000000-000A-0000-FFFF-FFFF08000000}">
  <cacheSource type="worksheet">
    <worksheetSource ref="A30:V126" sheet="T06"/>
  </cacheSource>
  <cacheFields count="22">
    <cacheField name="Year" numFmtId="0">
      <sharedItems count="3">
        <s v="2015-16"/>
        <s v="2016-17"/>
        <s v="2017-18"/>
      </sharedItems>
    </cacheField>
    <cacheField name="PubLANAME" numFmtId="0">
      <sharedItems count="32">
        <s v="Aberdeen City"/>
        <s v="Aberdeenshire"/>
        <s v="Angus"/>
        <s v="Argyll and Bute"/>
        <s v="Clackmannanshire"/>
        <s v="Dumfries and Galloway"/>
        <s v="Dundee City"/>
        <s v="East Ayrshire"/>
        <s v="East Dunbartonshire"/>
        <s v="East Lothian"/>
        <s v="East Renfrewshire"/>
        <s v="Edinburgh, City of"/>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01:RTC" numFmtId="0">
      <sharedItems containsSemiMixedTypes="0" containsString="0" containsNumber="1" containsInteger="1" minValue="2" maxValue="236"/>
    </cacheField>
    <cacheField name="02:Other Transport incident" numFmtId="0">
      <sharedItems containsSemiMixedTypes="0" containsString="0" containsNumber="1" containsInteger="1" minValue="0" maxValue="13"/>
    </cacheField>
    <cacheField name="03:Flooding" numFmtId="0">
      <sharedItems containsSemiMixedTypes="0" containsString="0" containsNumber="1" containsInteger="1" minValue="0" maxValue="247"/>
    </cacheField>
    <cacheField name="04:Rescue or evacuation from water" numFmtId="0">
      <sharedItems containsSemiMixedTypes="0" containsString="0" containsNumber="1" containsInteger="1" minValue="0" maxValue="26"/>
    </cacheField>
    <cacheField name="05:Other rescue/release of persons" numFmtId="0">
      <sharedItems containsSemiMixedTypes="0" containsString="0" containsNumber="1" containsInteger="1" minValue="0" maxValue="77"/>
    </cacheField>
    <cacheField name="06:Evacuation (no fire)" numFmtId="0">
      <sharedItems containsSemiMixedTypes="0" containsString="0" containsNumber="1" containsInteger="1" minValue="0" maxValue="14"/>
    </cacheField>
    <cacheField name="07:Lift Release" numFmtId="0">
      <sharedItems containsSemiMixedTypes="0" containsString="0" containsNumber="1" containsInteger="1" minValue="0" maxValue="161"/>
    </cacheField>
    <cacheField name="08:Medical Incident - First responder/Co-responder" numFmtId="0">
      <sharedItems containsSemiMixedTypes="0" containsString="0" containsNumber="1" containsInteger="1" minValue="0" maxValue="69"/>
    </cacheField>
    <cacheField name="09:Suicide/attempts" numFmtId="0">
      <sharedItems containsSemiMixedTypes="0" containsString="0" containsNumber="1" containsInteger="1" minValue="0" maxValue="25"/>
    </cacheField>
    <cacheField name="10:Hazardous Materials incident" numFmtId="0">
      <sharedItems containsSemiMixedTypes="0" containsString="0" containsNumber="1" containsInteger="1" minValue="0" maxValue="40"/>
    </cacheField>
    <cacheField name="11:Spills and Leaks (not RTC)" numFmtId="0">
      <sharedItems containsSemiMixedTypes="0" containsString="0" containsNumber="1" containsInteger="1" minValue="0" maxValue="34"/>
    </cacheField>
    <cacheField name="12:Removal of objects" numFmtId="0">
      <sharedItems containsSemiMixedTypes="0" containsString="0" containsNumber="1" containsInteger="1" minValue="0" maxValue="50"/>
    </cacheField>
    <cacheField name="13:Animal assistance incidents" numFmtId="0">
      <sharedItems containsSemiMixedTypes="0" containsString="0" containsNumber="1" containsInteger="1" minValue="0" maxValue="40"/>
    </cacheField>
    <cacheField name="14:Effecting entry/exit" numFmtId="0">
      <sharedItems containsSemiMixedTypes="0" containsString="0" containsNumber="1" containsInteger="1" minValue="1" maxValue="523"/>
    </cacheField>
    <cacheField name="15:Making Safe (not RTC)" numFmtId="0">
      <sharedItems containsSemiMixedTypes="0" containsString="0" containsNumber="1" containsInteger="1" minValue="0" maxValue="62"/>
    </cacheField>
    <cacheField name="16:No action (not false alarm)" numFmtId="0">
      <sharedItems containsSemiMixedTypes="0" containsString="0" containsNumber="1" containsInteger="1" minValue="0" maxValue="319"/>
    </cacheField>
    <cacheField name="17:Water provision" numFmtId="0">
      <sharedItems containsSemiMixedTypes="0" containsString="0" containsNumber="1" containsInteger="1" minValue="0" maxValue="2"/>
    </cacheField>
    <cacheField name="18:Stand By" numFmtId="0">
      <sharedItems containsSemiMixedTypes="0" containsString="0" containsNumber="1" containsInteger="1" minValue="0" maxValue="31"/>
    </cacheField>
    <cacheField name="19:Assist other agencies" numFmtId="0">
      <sharedItems containsSemiMixedTypes="0" containsString="0" containsNumber="1" containsInteger="1" minValue="3" maxValue="247"/>
    </cacheField>
    <cacheField name="20:Advice Only" numFmtId="0">
      <sharedItems containsSemiMixedTypes="0" containsString="0" containsNumber="1" containsInteger="1" minValue="0" maxValue="43"/>
    </cacheField>
  </cacheFields>
  <extLst>
    <ext xmlns:x14="http://schemas.microsoft.com/office/spreadsheetml/2009/9/main" uri="{725AE2AE-9491-48be-B2B4-4EB974FC3084}">
      <x14:pivotCacheDefinition pivotCacheId="6318418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s v="Non FRS personnel"/>
    <n v="1"/>
    <x v="0"/>
    <n v="8"/>
    <n v="0"/>
    <n v="0"/>
    <n v="3"/>
    <n v="5"/>
    <n v="0"/>
    <n v="0"/>
  </r>
  <r>
    <x v="0"/>
    <s v="Non FRS personnel"/>
    <n v="2"/>
    <x v="1"/>
    <n v="9"/>
    <n v="0"/>
    <n v="0"/>
    <n v="4"/>
    <n v="5"/>
    <n v="0"/>
    <n v="0"/>
  </r>
  <r>
    <x v="0"/>
    <s v="Non FRS personnel"/>
    <n v="3"/>
    <x v="2"/>
    <n v="19"/>
    <n v="0"/>
    <n v="2"/>
    <n v="8"/>
    <n v="9"/>
    <n v="0"/>
    <n v="0"/>
  </r>
  <r>
    <x v="0"/>
    <s v="Non FRS personnel"/>
    <n v="6"/>
    <x v="3"/>
    <n v="1"/>
    <n v="0"/>
    <n v="0"/>
    <n v="0"/>
    <n v="1"/>
    <n v="0"/>
    <n v="0"/>
  </r>
  <r>
    <x v="0"/>
    <s v="Non FRS personnel"/>
    <n v="8"/>
    <x v="4"/>
    <n v="8"/>
    <n v="0"/>
    <n v="1"/>
    <n v="3"/>
    <n v="3"/>
    <n v="1"/>
    <n v="0"/>
  </r>
  <r>
    <x v="1"/>
    <s v="Non FRS personnel"/>
    <n v="1"/>
    <x v="0"/>
    <n v="7"/>
    <n v="0"/>
    <n v="0"/>
    <n v="5"/>
    <n v="2"/>
    <n v="0"/>
    <n v="0"/>
  </r>
  <r>
    <x v="1"/>
    <s v="Non FRS personnel"/>
    <n v="2"/>
    <x v="1"/>
    <n v="6"/>
    <n v="0"/>
    <n v="1"/>
    <n v="3"/>
    <n v="2"/>
    <n v="0"/>
    <n v="0"/>
  </r>
  <r>
    <x v="1"/>
    <s v="Non FRS personnel"/>
    <n v="3"/>
    <x v="2"/>
    <n v="22"/>
    <n v="0"/>
    <n v="3"/>
    <n v="9"/>
    <n v="10"/>
    <n v="0"/>
    <n v="0"/>
  </r>
  <r>
    <x v="1"/>
    <s v="Non FRS personnel"/>
    <n v="8"/>
    <x v="4"/>
    <n v="9"/>
    <n v="0"/>
    <n v="0"/>
    <n v="5"/>
    <n v="4"/>
    <n v="0"/>
    <n v="0"/>
  </r>
  <r>
    <x v="2"/>
    <s v="Non FRS personnel"/>
    <n v="1"/>
    <x v="0"/>
    <n v="15"/>
    <n v="0"/>
    <n v="1"/>
    <n v="4"/>
    <n v="10"/>
    <n v="0"/>
    <n v="0"/>
  </r>
  <r>
    <x v="2"/>
    <s v="Non FRS personnel"/>
    <n v="2"/>
    <x v="1"/>
    <n v="2"/>
    <n v="0"/>
    <n v="0"/>
    <n v="0"/>
    <n v="2"/>
    <n v="0"/>
    <n v="0"/>
  </r>
  <r>
    <x v="2"/>
    <s v="Non FRS personnel"/>
    <n v="3"/>
    <x v="2"/>
    <n v="16"/>
    <n v="0"/>
    <n v="2"/>
    <n v="6"/>
    <n v="8"/>
    <n v="0"/>
    <n v="0"/>
  </r>
  <r>
    <x v="2"/>
    <s v="Non FRS personnel"/>
    <n v="4"/>
    <x v="5"/>
    <n v="1"/>
    <n v="0"/>
    <n v="0"/>
    <n v="1"/>
    <n v="0"/>
    <n v="0"/>
    <n v="0"/>
  </r>
  <r>
    <x v="2"/>
    <s v="Non FRS personnel"/>
    <n v="8"/>
    <x v="4"/>
    <n v="10"/>
    <n v="0"/>
    <n v="0"/>
    <n v="7"/>
    <n v="3"/>
    <n v="0"/>
    <n v="0"/>
  </r>
  <r>
    <x v="0"/>
    <m/>
    <m/>
    <x v="6"/>
    <m/>
    <n v="971022"/>
    <n v="920189"/>
    <n v="2181793"/>
    <n v="1299996"/>
    <m/>
    <n v="1"/>
  </r>
  <r>
    <x v="1"/>
    <m/>
    <m/>
    <x v="6"/>
    <m/>
    <n v="972780"/>
    <n v="924449"/>
    <n v="2187067"/>
    <n v="1320404"/>
    <m/>
    <n v="1"/>
  </r>
  <r>
    <x v="2"/>
    <m/>
    <m/>
    <x v="6"/>
    <m/>
    <n v="973036"/>
    <n v="920015"/>
    <n v="2190171"/>
    <n v="1341578"/>
    <m/>
    <n v="1"/>
  </r>
</pivotCacheRecords>
</file>

<file path=xl/pivotCache/pivotCacheRecords10.xml><?xml version="1.0" encoding="utf-8"?>
<pivotCacheRecords xmlns="http://schemas.openxmlformats.org/spreadsheetml/2006/main" xmlns:r="http://schemas.openxmlformats.org/officeDocument/2006/relationships" count="96">
  <r>
    <x v="0"/>
    <x v="0"/>
    <n v="58"/>
    <n v="12"/>
    <n v="43"/>
    <n v="4"/>
    <n v="23"/>
    <n v="2"/>
    <n v="117"/>
    <n v="11"/>
    <n v="3"/>
    <n v="5"/>
    <n v="9"/>
    <n v="7"/>
    <n v="11"/>
    <n v="113"/>
    <n v="21"/>
    <n v="58"/>
    <n v="0"/>
    <n v="15"/>
    <n v="27"/>
    <n v="39"/>
    <n v="230350"/>
  </r>
  <r>
    <x v="0"/>
    <x v="1"/>
    <n v="187"/>
    <n v="5"/>
    <n v="84"/>
    <n v="15"/>
    <n v="13"/>
    <n v="0"/>
    <n v="11"/>
    <n v="69"/>
    <n v="5"/>
    <n v="2"/>
    <n v="4"/>
    <n v="4"/>
    <n v="16"/>
    <n v="51"/>
    <n v="9"/>
    <n v="29"/>
    <n v="0"/>
    <n v="1"/>
    <n v="32"/>
    <n v="4"/>
    <n v="261960"/>
  </r>
  <r>
    <x v="0"/>
    <x v="2"/>
    <n v="69"/>
    <n v="1"/>
    <n v="56"/>
    <n v="5"/>
    <n v="9"/>
    <n v="0"/>
    <n v="1"/>
    <n v="6"/>
    <n v="2"/>
    <n v="1"/>
    <n v="3"/>
    <n v="3"/>
    <n v="9"/>
    <n v="39"/>
    <n v="15"/>
    <n v="2"/>
    <n v="0"/>
    <n v="0"/>
    <n v="17"/>
    <n v="2"/>
    <n v="116900"/>
  </r>
  <r>
    <x v="0"/>
    <x v="3"/>
    <n v="70"/>
    <n v="1"/>
    <n v="34"/>
    <n v="4"/>
    <n v="5"/>
    <n v="0"/>
    <n v="7"/>
    <n v="9"/>
    <n v="1"/>
    <n v="0"/>
    <n v="4"/>
    <n v="3"/>
    <n v="8"/>
    <n v="20"/>
    <n v="4"/>
    <n v="20"/>
    <n v="2"/>
    <n v="31"/>
    <n v="50"/>
    <n v="2"/>
    <n v="86890"/>
  </r>
  <r>
    <x v="0"/>
    <x v="4"/>
    <n v="19"/>
    <n v="1"/>
    <n v="6"/>
    <n v="0"/>
    <n v="6"/>
    <n v="0"/>
    <n v="0"/>
    <n v="6"/>
    <n v="1"/>
    <n v="1"/>
    <n v="2"/>
    <n v="5"/>
    <n v="7"/>
    <n v="16"/>
    <n v="2"/>
    <n v="0"/>
    <n v="0"/>
    <n v="0"/>
    <n v="21"/>
    <n v="0"/>
    <n v="51360"/>
  </r>
  <r>
    <x v="0"/>
    <x v="5"/>
    <n v="102"/>
    <n v="2"/>
    <n v="69"/>
    <n v="9"/>
    <n v="18"/>
    <n v="2"/>
    <n v="17"/>
    <n v="18"/>
    <n v="3"/>
    <n v="6"/>
    <n v="15"/>
    <n v="6"/>
    <n v="16"/>
    <n v="49"/>
    <n v="9"/>
    <n v="7"/>
    <n v="0"/>
    <n v="0"/>
    <n v="23"/>
    <n v="5"/>
    <n v="149670"/>
  </r>
  <r>
    <x v="0"/>
    <x v="6"/>
    <n v="40"/>
    <n v="4"/>
    <n v="35"/>
    <n v="3"/>
    <n v="20"/>
    <n v="4"/>
    <n v="34"/>
    <n v="11"/>
    <n v="1"/>
    <n v="9"/>
    <n v="20"/>
    <n v="13"/>
    <n v="15"/>
    <n v="97"/>
    <n v="62"/>
    <n v="12"/>
    <n v="0"/>
    <n v="0"/>
    <n v="20"/>
    <n v="5"/>
    <n v="148210"/>
  </r>
  <r>
    <x v="0"/>
    <x v="7"/>
    <n v="66"/>
    <n v="4"/>
    <n v="24"/>
    <n v="1"/>
    <n v="12"/>
    <n v="0"/>
    <n v="3"/>
    <n v="3"/>
    <n v="0"/>
    <n v="3"/>
    <n v="2"/>
    <n v="1"/>
    <n v="8"/>
    <n v="24"/>
    <n v="4"/>
    <n v="41"/>
    <n v="0"/>
    <n v="1"/>
    <n v="15"/>
    <n v="3"/>
    <n v="122060"/>
  </r>
  <r>
    <x v="0"/>
    <x v="8"/>
    <n v="24"/>
    <n v="1"/>
    <n v="20"/>
    <n v="3"/>
    <n v="4"/>
    <n v="0"/>
    <n v="3"/>
    <n v="8"/>
    <n v="0"/>
    <n v="0"/>
    <n v="1"/>
    <n v="16"/>
    <n v="7"/>
    <n v="38"/>
    <n v="1"/>
    <n v="30"/>
    <n v="0"/>
    <n v="0"/>
    <n v="11"/>
    <n v="1"/>
    <n v="106960"/>
  </r>
  <r>
    <x v="0"/>
    <x v="9"/>
    <n v="57"/>
    <n v="2"/>
    <n v="12"/>
    <n v="2"/>
    <n v="15"/>
    <n v="1"/>
    <n v="4"/>
    <n v="24"/>
    <n v="3"/>
    <n v="10"/>
    <n v="2"/>
    <n v="4"/>
    <n v="7"/>
    <n v="34"/>
    <n v="8"/>
    <n v="12"/>
    <n v="0"/>
    <n v="0"/>
    <n v="14"/>
    <n v="3"/>
    <n v="103050"/>
  </r>
  <r>
    <x v="0"/>
    <x v="10"/>
    <n v="22"/>
    <n v="0"/>
    <n v="14"/>
    <n v="1"/>
    <n v="9"/>
    <n v="0"/>
    <n v="3"/>
    <n v="3"/>
    <n v="0"/>
    <n v="1"/>
    <n v="1"/>
    <n v="4"/>
    <n v="5"/>
    <n v="30"/>
    <n v="2"/>
    <n v="18"/>
    <n v="1"/>
    <n v="0"/>
    <n v="12"/>
    <n v="1"/>
    <n v="92940"/>
  </r>
  <r>
    <x v="0"/>
    <x v="11"/>
    <n v="143"/>
    <n v="10"/>
    <n v="138"/>
    <n v="7"/>
    <n v="68"/>
    <n v="4"/>
    <n v="109"/>
    <n v="49"/>
    <n v="7"/>
    <n v="40"/>
    <n v="30"/>
    <n v="33"/>
    <n v="21"/>
    <n v="487"/>
    <n v="57"/>
    <n v="143"/>
    <n v="1"/>
    <n v="2"/>
    <n v="79"/>
    <n v="20"/>
    <n v="498810"/>
  </r>
  <r>
    <x v="0"/>
    <x v="12"/>
    <n v="72"/>
    <n v="1"/>
    <n v="27"/>
    <n v="5"/>
    <n v="17"/>
    <n v="2"/>
    <n v="8"/>
    <n v="17"/>
    <n v="3"/>
    <n v="3"/>
    <n v="6"/>
    <n v="5"/>
    <n v="10"/>
    <n v="50"/>
    <n v="6"/>
    <n v="25"/>
    <n v="0"/>
    <n v="2"/>
    <n v="67"/>
    <n v="3"/>
    <n v="158460"/>
  </r>
  <r>
    <x v="0"/>
    <x v="13"/>
    <n v="149"/>
    <n v="3"/>
    <n v="63"/>
    <n v="7"/>
    <n v="53"/>
    <n v="3"/>
    <n v="26"/>
    <n v="34"/>
    <n v="14"/>
    <n v="16"/>
    <n v="11"/>
    <n v="16"/>
    <n v="28"/>
    <n v="109"/>
    <n v="19"/>
    <n v="32"/>
    <n v="0"/>
    <n v="1"/>
    <n v="75"/>
    <n v="8"/>
    <n v="368080"/>
  </r>
  <r>
    <x v="0"/>
    <x v="14"/>
    <n v="188"/>
    <n v="3"/>
    <n v="210"/>
    <n v="25"/>
    <n v="71"/>
    <n v="9"/>
    <n v="132"/>
    <n v="44"/>
    <n v="16"/>
    <n v="19"/>
    <n v="19"/>
    <n v="50"/>
    <n v="35"/>
    <n v="426"/>
    <n v="37"/>
    <n v="319"/>
    <n v="1"/>
    <n v="0"/>
    <n v="247"/>
    <n v="28"/>
    <n v="606340"/>
  </r>
  <r>
    <x v="0"/>
    <x v="15"/>
    <n v="202"/>
    <n v="7"/>
    <n v="88"/>
    <n v="3"/>
    <n v="12"/>
    <n v="3"/>
    <n v="30"/>
    <n v="13"/>
    <n v="8"/>
    <n v="13"/>
    <n v="13"/>
    <n v="6"/>
    <n v="40"/>
    <n v="66"/>
    <n v="16"/>
    <n v="21"/>
    <n v="0"/>
    <n v="0"/>
    <n v="53"/>
    <n v="9"/>
    <n v="234110"/>
  </r>
  <r>
    <x v="0"/>
    <x v="16"/>
    <n v="36"/>
    <n v="0"/>
    <n v="25"/>
    <n v="1"/>
    <n v="14"/>
    <n v="1"/>
    <n v="11"/>
    <n v="5"/>
    <n v="1"/>
    <n v="0"/>
    <n v="5"/>
    <n v="5"/>
    <n v="3"/>
    <n v="59"/>
    <n v="13"/>
    <n v="26"/>
    <n v="0"/>
    <n v="1"/>
    <n v="20"/>
    <n v="3"/>
    <n v="79500"/>
  </r>
  <r>
    <x v="0"/>
    <x v="17"/>
    <n v="47"/>
    <n v="2"/>
    <n v="13"/>
    <n v="4"/>
    <n v="8"/>
    <n v="2"/>
    <n v="2"/>
    <n v="12"/>
    <n v="1"/>
    <n v="7"/>
    <n v="4"/>
    <n v="5"/>
    <n v="10"/>
    <n v="41"/>
    <n v="5"/>
    <n v="13"/>
    <n v="0"/>
    <n v="0"/>
    <n v="7"/>
    <n v="0"/>
    <n v="87390"/>
  </r>
  <r>
    <x v="0"/>
    <x v="18"/>
    <n v="37"/>
    <n v="0"/>
    <n v="0"/>
    <n v="3"/>
    <n v="6"/>
    <n v="0"/>
    <n v="3"/>
    <n v="4"/>
    <n v="1"/>
    <n v="4"/>
    <n v="3"/>
    <n v="5"/>
    <n v="8"/>
    <n v="23"/>
    <n v="1"/>
    <n v="16"/>
    <n v="0"/>
    <n v="1"/>
    <n v="14"/>
    <n v="0"/>
    <n v="95510"/>
  </r>
  <r>
    <x v="0"/>
    <x v="19"/>
    <n v="16"/>
    <n v="0"/>
    <n v="7"/>
    <n v="0"/>
    <n v="1"/>
    <n v="1"/>
    <n v="0"/>
    <n v="1"/>
    <n v="0"/>
    <n v="1"/>
    <n v="0"/>
    <n v="1"/>
    <n v="6"/>
    <n v="5"/>
    <n v="3"/>
    <n v="1"/>
    <n v="0"/>
    <n v="1"/>
    <n v="4"/>
    <n v="4"/>
    <n v="27070"/>
  </r>
  <r>
    <x v="0"/>
    <x v="20"/>
    <n v="53"/>
    <n v="0"/>
    <n v="26"/>
    <n v="2"/>
    <n v="16"/>
    <n v="2"/>
    <n v="10"/>
    <n v="5"/>
    <n v="3"/>
    <n v="2"/>
    <n v="2"/>
    <n v="5"/>
    <n v="16"/>
    <n v="75"/>
    <n v="9"/>
    <n v="47"/>
    <n v="0"/>
    <n v="0"/>
    <n v="51"/>
    <n v="1"/>
    <n v="136130"/>
  </r>
  <r>
    <x v="0"/>
    <x v="21"/>
    <n v="124"/>
    <n v="3"/>
    <n v="83"/>
    <n v="3"/>
    <n v="25"/>
    <n v="7"/>
    <n v="29"/>
    <n v="11"/>
    <n v="7"/>
    <n v="6"/>
    <n v="15"/>
    <n v="30"/>
    <n v="17"/>
    <n v="128"/>
    <n v="17"/>
    <n v="80"/>
    <n v="1"/>
    <n v="2"/>
    <n v="75"/>
    <n v="7"/>
    <n v="338260"/>
  </r>
  <r>
    <x v="0"/>
    <x v="22"/>
    <n v="8"/>
    <n v="1"/>
    <n v="4"/>
    <n v="0"/>
    <n v="3"/>
    <n v="0"/>
    <n v="1"/>
    <n v="0"/>
    <n v="1"/>
    <n v="0"/>
    <n v="0"/>
    <n v="1"/>
    <n v="0"/>
    <n v="2"/>
    <n v="0"/>
    <n v="0"/>
    <n v="0"/>
    <n v="3"/>
    <n v="3"/>
    <n v="0"/>
    <n v="21670"/>
  </r>
  <r>
    <x v="0"/>
    <x v="23"/>
    <n v="91"/>
    <n v="4"/>
    <n v="104"/>
    <n v="18"/>
    <n v="7"/>
    <n v="1"/>
    <n v="8"/>
    <n v="13"/>
    <n v="2"/>
    <n v="4"/>
    <n v="17"/>
    <n v="7"/>
    <n v="14"/>
    <n v="39"/>
    <n v="28"/>
    <n v="6"/>
    <n v="0"/>
    <n v="0"/>
    <n v="14"/>
    <n v="5"/>
    <n v="149930"/>
  </r>
  <r>
    <x v="0"/>
    <x v="24"/>
    <n v="54"/>
    <n v="4"/>
    <n v="47"/>
    <n v="5"/>
    <n v="11"/>
    <n v="2"/>
    <n v="15"/>
    <n v="20"/>
    <n v="7"/>
    <n v="3"/>
    <n v="4"/>
    <n v="7"/>
    <n v="8"/>
    <n v="94"/>
    <n v="9"/>
    <n v="128"/>
    <n v="0"/>
    <n v="6"/>
    <n v="60"/>
    <n v="8"/>
    <n v="174560"/>
  </r>
  <r>
    <x v="0"/>
    <x v="25"/>
    <n v="108"/>
    <n v="5"/>
    <n v="80"/>
    <n v="13"/>
    <n v="19"/>
    <n v="0"/>
    <n v="2"/>
    <n v="41"/>
    <n v="6"/>
    <n v="8"/>
    <n v="6"/>
    <n v="2"/>
    <n v="19"/>
    <n v="43"/>
    <n v="3"/>
    <n v="11"/>
    <n v="0"/>
    <n v="3"/>
    <n v="17"/>
    <n v="3"/>
    <n v="114030"/>
  </r>
  <r>
    <x v="0"/>
    <x v="26"/>
    <n v="9"/>
    <n v="1"/>
    <n v="2"/>
    <n v="0"/>
    <n v="0"/>
    <n v="0"/>
    <n v="0"/>
    <n v="0"/>
    <n v="0"/>
    <n v="0"/>
    <n v="0"/>
    <n v="1"/>
    <n v="2"/>
    <n v="3"/>
    <n v="3"/>
    <n v="3"/>
    <n v="0"/>
    <n v="4"/>
    <n v="4"/>
    <n v="0"/>
    <n v="23200"/>
  </r>
  <r>
    <x v="0"/>
    <x v="27"/>
    <n v="60"/>
    <n v="4"/>
    <n v="22"/>
    <n v="9"/>
    <n v="10"/>
    <n v="1"/>
    <n v="12"/>
    <n v="7"/>
    <n v="4"/>
    <n v="2"/>
    <n v="3"/>
    <n v="6"/>
    <n v="4"/>
    <n v="47"/>
    <n v="11"/>
    <n v="52"/>
    <n v="1"/>
    <n v="2"/>
    <n v="40"/>
    <n v="4"/>
    <n v="112400"/>
  </r>
  <r>
    <x v="0"/>
    <x v="28"/>
    <n v="137"/>
    <n v="3"/>
    <n v="71"/>
    <n v="5"/>
    <n v="21"/>
    <n v="3"/>
    <n v="21"/>
    <n v="20"/>
    <n v="2"/>
    <n v="6"/>
    <n v="9"/>
    <n v="15"/>
    <n v="13"/>
    <n v="117"/>
    <n v="17"/>
    <n v="96"/>
    <n v="0"/>
    <n v="0"/>
    <n v="65"/>
    <n v="15"/>
    <n v="316230"/>
  </r>
  <r>
    <x v="0"/>
    <x v="29"/>
    <n v="71"/>
    <n v="2"/>
    <n v="35"/>
    <n v="14"/>
    <n v="7"/>
    <n v="0"/>
    <n v="7"/>
    <n v="18"/>
    <n v="1"/>
    <n v="0"/>
    <n v="4"/>
    <n v="5"/>
    <n v="10"/>
    <n v="37"/>
    <n v="2"/>
    <n v="5"/>
    <n v="0"/>
    <n v="0"/>
    <n v="22"/>
    <n v="0"/>
    <n v="92830"/>
  </r>
  <r>
    <x v="0"/>
    <x v="30"/>
    <n v="32"/>
    <n v="1"/>
    <n v="23"/>
    <n v="3"/>
    <n v="11"/>
    <n v="1"/>
    <n v="20"/>
    <n v="6"/>
    <n v="4"/>
    <n v="1"/>
    <n v="2"/>
    <n v="7"/>
    <n v="3"/>
    <n v="27"/>
    <n v="4"/>
    <n v="37"/>
    <n v="1"/>
    <n v="0"/>
    <n v="25"/>
    <n v="6"/>
    <n v="89590"/>
  </r>
  <r>
    <x v="0"/>
    <x v="31"/>
    <n v="93"/>
    <n v="2"/>
    <n v="23"/>
    <n v="2"/>
    <n v="12"/>
    <n v="0"/>
    <n v="6"/>
    <n v="35"/>
    <n v="6"/>
    <n v="10"/>
    <n v="6"/>
    <n v="5"/>
    <n v="8"/>
    <n v="106"/>
    <n v="6"/>
    <n v="41"/>
    <n v="0"/>
    <n v="0"/>
    <n v="17"/>
    <n v="3"/>
    <n v="178550"/>
  </r>
  <r>
    <x v="1"/>
    <x v="0"/>
    <n v="53"/>
    <n v="6"/>
    <n v="35"/>
    <n v="4"/>
    <n v="25"/>
    <n v="2"/>
    <n v="129"/>
    <n v="11"/>
    <n v="5"/>
    <n v="10"/>
    <n v="8"/>
    <n v="12"/>
    <n v="12"/>
    <n v="121"/>
    <n v="3"/>
    <n v="42"/>
    <n v="0"/>
    <n v="2"/>
    <n v="25"/>
    <n v="11"/>
    <n v="229840"/>
  </r>
  <r>
    <x v="1"/>
    <x v="1"/>
    <n v="159"/>
    <n v="3"/>
    <n v="17"/>
    <n v="3"/>
    <n v="13"/>
    <n v="1"/>
    <n v="13"/>
    <n v="65"/>
    <n v="5"/>
    <n v="9"/>
    <n v="10"/>
    <n v="5"/>
    <n v="18"/>
    <n v="58"/>
    <n v="2"/>
    <n v="25"/>
    <n v="0"/>
    <n v="1"/>
    <n v="30"/>
    <n v="6"/>
    <n v="262190"/>
  </r>
  <r>
    <x v="1"/>
    <x v="2"/>
    <n v="53"/>
    <n v="3"/>
    <n v="11"/>
    <n v="1"/>
    <n v="11"/>
    <n v="1"/>
    <n v="4"/>
    <n v="10"/>
    <n v="4"/>
    <n v="3"/>
    <n v="7"/>
    <n v="4"/>
    <n v="11"/>
    <n v="39"/>
    <n v="5"/>
    <n v="7"/>
    <n v="1"/>
    <n v="1"/>
    <n v="18"/>
    <n v="3"/>
    <n v="116520"/>
  </r>
  <r>
    <x v="1"/>
    <x v="3"/>
    <n v="79"/>
    <n v="4"/>
    <n v="18"/>
    <n v="3"/>
    <n v="7"/>
    <n v="0"/>
    <n v="4"/>
    <n v="20"/>
    <n v="1"/>
    <n v="2"/>
    <n v="2"/>
    <n v="2"/>
    <n v="6"/>
    <n v="22"/>
    <n v="1"/>
    <n v="34"/>
    <n v="0"/>
    <n v="28"/>
    <n v="50"/>
    <n v="4"/>
    <n v="87130"/>
  </r>
  <r>
    <x v="1"/>
    <x v="4"/>
    <n v="16"/>
    <n v="0"/>
    <n v="6"/>
    <n v="1"/>
    <n v="8"/>
    <n v="0"/>
    <n v="3"/>
    <n v="3"/>
    <n v="2"/>
    <n v="3"/>
    <n v="1"/>
    <n v="7"/>
    <n v="3"/>
    <n v="35"/>
    <n v="2"/>
    <n v="1"/>
    <n v="0"/>
    <n v="1"/>
    <n v="11"/>
    <n v="2"/>
    <n v="51350"/>
  </r>
  <r>
    <x v="1"/>
    <x v="5"/>
    <n v="99"/>
    <n v="5"/>
    <n v="9"/>
    <n v="10"/>
    <n v="21"/>
    <n v="0"/>
    <n v="9"/>
    <n v="23"/>
    <n v="2"/>
    <n v="4"/>
    <n v="10"/>
    <n v="3"/>
    <n v="14"/>
    <n v="57"/>
    <n v="8"/>
    <n v="5"/>
    <n v="0"/>
    <n v="1"/>
    <n v="39"/>
    <n v="0"/>
    <n v="149520"/>
  </r>
  <r>
    <x v="1"/>
    <x v="6"/>
    <n v="34"/>
    <n v="2"/>
    <n v="35"/>
    <n v="2"/>
    <n v="30"/>
    <n v="3"/>
    <n v="42"/>
    <n v="6"/>
    <n v="4"/>
    <n v="3"/>
    <n v="18"/>
    <n v="11"/>
    <n v="11"/>
    <n v="121"/>
    <n v="30"/>
    <n v="18"/>
    <n v="0"/>
    <n v="0"/>
    <n v="32"/>
    <n v="2"/>
    <n v="148270"/>
  </r>
  <r>
    <x v="1"/>
    <x v="7"/>
    <n v="57"/>
    <n v="2"/>
    <n v="8"/>
    <n v="1"/>
    <n v="8"/>
    <n v="1"/>
    <n v="6"/>
    <n v="8"/>
    <n v="3"/>
    <n v="4"/>
    <n v="4"/>
    <n v="4"/>
    <n v="8"/>
    <n v="26"/>
    <n v="1"/>
    <n v="25"/>
    <n v="0"/>
    <n v="1"/>
    <n v="28"/>
    <n v="3"/>
    <n v="122200"/>
  </r>
  <r>
    <x v="1"/>
    <x v="8"/>
    <n v="30"/>
    <n v="1"/>
    <n v="14"/>
    <n v="1"/>
    <n v="5"/>
    <n v="1"/>
    <n v="4"/>
    <n v="2"/>
    <n v="0"/>
    <n v="0"/>
    <n v="4"/>
    <n v="35"/>
    <n v="10"/>
    <n v="41"/>
    <n v="4"/>
    <n v="14"/>
    <n v="0"/>
    <n v="0"/>
    <n v="17"/>
    <n v="2"/>
    <n v="107540"/>
  </r>
  <r>
    <x v="1"/>
    <x v="9"/>
    <n v="50"/>
    <n v="1"/>
    <n v="15"/>
    <n v="3"/>
    <n v="20"/>
    <n v="2"/>
    <n v="4"/>
    <n v="27"/>
    <n v="1"/>
    <n v="3"/>
    <n v="7"/>
    <n v="8"/>
    <n v="9"/>
    <n v="46"/>
    <n v="0"/>
    <n v="13"/>
    <n v="0"/>
    <n v="0"/>
    <n v="19"/>
    <n v="1"/>
    <n v="104090"/>
  </r>
  <r>
    <x v="1"/>
    <x v="10"/>
    <n v="28"/>
    <n v="3"/>
    <n v="10"/>
    <n v="0"/>
    <n v="3"/>
    <n v="1"/>
    <n v="2"/>
    <n v="8"/>
    <n v="0"/>
    <n v="1"/>
    <n v="1"/>
    <n v="3"/>
    <n v="5"/>
    <n v="33"/>
    <n v="2"/>
    <n v="10"/>
    <n v="0"/>
    <n v="1"/>
    <n v="12"/>
    <n v="4"/>
    <n v="93810"/>
  </r>
  <r>
    <x v="1"/>
    <x v="11"/>
    <n v="145"/>
    <n v="10"/>
    <n v="163"/>
    <n v="8"/>
    <n v="74"/>
    <n v="5"/>
    <n v="113"/>
    <n v="35"/>
    <n v="11"/>
    <n v="37"/>
    <n v="32"/>
    <n v="37"/>
    <n v="25"/>
    <n v="523"/>
    <n v="20"/>
    <n v="122"/>
    <n v="1"/>
    <n v="5"/>
    <n v="80"/>
    <n v="24"/>
    <n v="507170"/>
  </r>
  <r>
    <x v="1"/>
    <x v="12"/>
    <n v="78"/>
    <n v="4"/>
    <n v="15"/>
    <n v="6"/>
    <n v="14"/>
    <n v="6"/>
    <n v="9"/>
    <n v="39"/>
    <n v="10"/>
    <n v="8"/>
    <n v="5"/>
    <n v="4"/>
    <n v="16"/>
    <n v="120"/>
    <n v="4"/>
    <n v="15"/>
    <n v="0"/>
    <n v="1"/>
    <n v="38"/>
    <n v="2"/>
    <n v="159380"/>
  </r>
  <r>
    <x v="1"/>
    <x v="13"/>
    <n v="168"/>
    <n v="4"/>
    <n v="54"/>
    <n v="1"/>
    <n v="50"/>
    <n v="5"/>
    <n v="27"/>
    <n v="18"/>
    <n v="12"/>
    <n v="12"/>
    <n v="19"/>
    <n v="11"/>
    <n v="35"/>
    <n v="202"/>
    <n v="8"/>
    <n v="21"/>
    <n v="0"/>
    <n v="4"/>
    <n v="51"/>
    <n v="5"/>
    <n v="370330"/>
  </r>
  <r>
    <x v="1"/>
    <x v="14"/>
    <n v="206"/>
    <n v="5"/>
    <n v="203"/>
    <n v="26"/>
    <n v="48"/>
    <n v="11"/>
    <n v="161"/>
    <n v="37"/>
    <n v="20"/>
    <n v="25"/>
    <n v="26"/>
    <n v="41"/>
    <n v="37"/>
    <n v="369"/>
    <n v="39"/>
    <n v="293"/>
    <n v="2"/>
    <n v="1"/>
    <n v="226"/>
    <n v="27"/>
    <n v="615070"/>
  </r>
  <r>
    <x v="1"/>
    <x v="15"/>
    <n v="215"/>
    <n v="3"/>
    <n v="36"/>
    <n v="6"/>
    <n v="15"/>
    <n v="0"/>
    <n v="26"/>
    <n v="8"/>
    <n v="9"/>
    <n v="16"/>
    <n v="16"/>
    <n v="5"/>
    <n v="33"/>
    <n v="77"/>
    <n v="16"/>
    <n v="18"/>
    <n v="1"/>
    <n v="3"/>
    <n v="55"/>
    <n v="14"/>
    <n v="234770"/>
  </r>
  <r>
    <x v="1"/>
    <x v="16"/>
    <n v="28"/>
    <n v="2"/>
    <n v="33"/>
    <n v="1"/>
    <n v="8"/>
    <n v="3"/>
    <n v="15"/>
    <n v="7"/>
    <n v="3"/>
    <n v="2"/>
    <n v="4"/>
    <n v="4"/>
    <n v="8"/>
    <n v="54"/>
    <n v="8"/>
    <n v="23"/>
    <n v="1"/>
    <n v="2"/>
    <n v="16"/>
    <n v="0"/>
    <n v="79160"/>
  </r>
  <r>
    <x v="1"/>
    <x v="17"/>
    <n v="39"/>
    <n v="0"/>
    <n v="20"/>
    <n v="2"/>
    <n v="11"/>
    <n v="3"/>
    <n v="0"/>
    <n v="6"/>
    <n v="2"/>
    <n v="3"/>
    <n v="1"/>
    <n v="3"/>
    <n v="8"/>
    <n v="33"/>
    <n v="0"/>
    <n v="18"/>
    <n v="0"/>
    <n v="0"/>
    <n v="12"/>
    <n v="1"/>
    <n v="88610"/>
  </r>
  <r>
    <x v="1"/>
    <x v="18"/>
    <n v="38"/>
    <n v="2"/>
    <n v="10"/>
    <n v="1"/>
    <n v="21"/>
    <n v="2"/>
    <n v="2"/>
    <n v="4"/>
    <n v="3"/>
    <n v="4"/>
    <n v="3"/>
    <n v="2"/>
    <n v="10"/>
    <n v="35"/>
    <n v="1"/>
    <n v="8"/>
    <n v="0"/>
    <n v="1"/>
    <n v="16"/>
    <n v="2"/>
    <n v="96070"/>
  </r>
  <r>
    <x v="1"/>
    <x v="19"/>
    <n v="14"/>
    <n v="1"/>
    <n v="2"/>
    <n v="0"/>
    <n v="1"/>
    <n v="0"/>
    <n v="4"/>
    <n v="1"/>
    <n v="0"/>
    <n v="0"/>
    <n v="0"/>
    <n v="1"/>
    <n v="4"/>
    <n v="5"/>
    <n v="1"/>
    <n v="3"/>
    <n v="0"/>
    <n v="6"/>
    <n v="10"/>
    <n v="0"/>
    <n v="26900"/>
  </r>
  <r>
    <x v="1"/>
    <x v="20"/>
    <n v="39"/>
    <n v="3"/>
    <n v="47"/>
    <n v="1"/>
    <n v="8"/>
    <n v="2"/>
    <n v="12"/>
    <n v="10"/>
    <n v="0"/>
    <n v="4"/>
    <n v="3"/>
    <n v="1"/>
    <n v="9"/>
    <n v="65"/>
    <n v="4"/>
    <n v="31"/>
    <n v="0"/>
    <n v="0"/>
    <n v="45"/>
    <n v="1"/>
    <n v="135890"/>
  </r>
  <r>
    <x v="1"/>
    <x v="21"/>
    <n v="153"/>
    <n v="2"/>
    <n v="52"/>
    <n v="1"/>
    <n v="30"/>
    <n v="6"/>
    <n v="25"/>
    <n v="15"/>
    <n v="7"/>
    <n v="4"/>
    <n v="15"/>
    <n v="22"/>
    <n v="15"/>
    <n v="126"/>
    <n v="8"/>
    <n v="71"/>
    <n v="0"/>
    <n v="0"/>
    <n v="61"/>
    <n v="8"/>
    <n v="339390"/>
  </r>
  <r>
    <x v="1"/>
    <x v="22"/>
    <n v="5"/>
    <n v="1"/>
    <n v="0"/>
    <n v="1"/>
    <n v="0"/>
    <n v="0"/>
    <n v="0"/>
    <n v="1"/>
    <n v="1"/>
    <n v="1"/>
    <n v="0"/>
    <n v="0"/>
    <n v="1"/>
    <n v="1"/>
    <n v="1"/>
    <n v="3"/>
    <n v="0"/>
    <n v="0"/>
    <n v="7"/>
    <n v="1"/>
    <n v="21850"/>
  </r>
  <r>
    <x v="1"/>
    <x v="23"/>
    <n v="86"/>
    <n v="2"/>
    <n v="19"/>
    <n v="18"/>
    <n v="13"/>
    <n v="1"/>
    <n v="10"/>
    <n v="11"/>
    <n v="1"/>
    <n v="5"/>
    <n v="6"/>
    <n v="2"/>
    <n v="8"/>
    <n v="59"/>
    <n v="9"/>
    <n v="8"/>
    <n v="0"/>
    <n v="0"/>
    <n v="16"/>
    <n v="2"/>
    <n v="150680"/>
  </r>
  <r>
    <x v="1"/>
    <x v="24"/>
    <n v="86"/>
    <n v="4"/>
    <n v="33"/>
    <n v="5"/>
    <n v="16"/>
    <n v="2"/>
    <n v="19"/>
    <n v="13"/>
    <n v="4"/>
    <n v="3"/>
    <n v="9"/>
    <n v="4"/>
    <n v="13"/>
    <n v="116"/>
    <n v="2"/>
    <n v="78"/>
    <n v="0"/>
    <n v="4"/>
    <n v="39"/>
    <n v="7"/>
    <n v="175930"/>
  </r>
  <r>
    <x v="1"/>
    <x v="25"/>
    <n v="99"/>
    <n v="3"/>
    <n v="19"/>
    <n v="3"/>
    <n v="14"/>
    <n v="0"/>
    <n v="6"/>
    <n v="38"/>
    <n v="4"/>
    <n v="8"/>
    <n v="4"/>
    <n v="5"/>
    <n v="11"/>
    <n v="62"/>
    <n v="2"/>
    <n v="12"/>
    <n v="0"/>
    <n v="0"/>
    <n v="27"/>
    <n v="4"/>
    <n v="114530"/>
  </r>
  <r>
    <x v="1"/>
    <x v="26"/>
    <n v="10"/>
    <n v="0"/>
    <n v="3"/>
    <n v="0"/>
    <n v="1"/>
    <n v="0"/>
    <n v="0"/>
    <n v="1"/>
    <n v="2"/>
    <n v="2"/>
    <n v="0"/>
    <n v="1"/>
    <n v="0"/>
    <n v="2"/>
    <n v="3"/>
    <n v="2"/>
    <n v="0"/>
    <n v="6"/>
    <n v="5"/>
    <n v="0"/>
    <n v="23200"/>
  </r>
  <r>
    <x v="1"/>
    <x v="27"/>
    <n v="62"/>
    <n v="1"/>
    <n v="14"/>
    <n v="2"/>
    <n v="12"/>
    <n v="1"/>
    <n v="12"/>
    <n v="9"/>
    <n v="2"/>
    <n v="3"/>
    <n v="7"/>
    <n v="5"/>
    <n v="12"/>
    <n v="49"/>
    <n v="6"/>
    <n v="30"/>
    <n v="0"/>
    <n v="3"/>
    <n v="22"/>
    <n v="1"/>
    <n v="112470"/>
  </r>
  <r>
    <x v="1"/>
    <x v="28"/>
    <n v="150"/>
    <n v="3"/>
    <n v="37"/>
    <n v="1"/>
    <n v="16"/>
    <n v="5"/>
    <n v="14"/>
    <n v="19"/>
    <n v="10"/>
    <n v="3"/>
    <n v="13"/>
    <n v="18"/>
    <n v="19"/>
    <n v="124"/>
    <n v="9"/>
    <n v="105"/>
    <n v="1"/>
    <n v="0"/>
    <n v="80"/>
    <n v="8"/>
    <n v="317100"/>
  </r>
  <r>
    <x v="1"/>
    <x v="29"/>
    <n v="67"/>
    <n v="1"/>
    <n v="23"/>
    <n v="4"/>
    <n v="11"/>
    <n v="1"/>
    <n v="6"/>
    <n v="18"/>
    <n v="3"/>
    <n v="3"/>
    <n v="7"/>
    <n v="2"/>
    <n v="12"/>
    <n v="48"/>
    <n v="3"/>
    <n v="6"/>
    <n v="0"/>
    <n v="1"/>
    <n v="16"/>
    <n v="1"/>
    <n v="93750"/>
  </r>
  <r>
    <x v="1"/>
    <x v="30"/>
    <n v="27"/>
    <n v="0"/>
    <n v="21"/>
    <n v="1"/>
    <n v="10"/>
    <n v="3"/>
    <n v="9"/>
    <n v="10"/>
    <n v="3"/>
    <n v="0"/>
    <n v="7"/>
    <n v="3"/>
    <n v="7"/>
    <n v="46"/>
    <n v="5"/>
    <n v="20"/>
    <n v="0"/>
    <n v="0"/>
    <n v="28"/>
    <n v="4"/>
    <n v="89860"/>
  </r>
  <r>
    <x v="1"/>
    <x v="31"/>
    <n v="88"/>
    <n v="4"/>
    <n v="23"/>
    <n v="2"/>
    <n v="22"/>
    <n v="3"/>
    <n v="5"/>
    <n v="56"/>
    <n v="4"/>
    <n v="8"/>
    <n v="6"/>
    <n v="8"/>
    <n v="11"/>
    <n v="137"/>
    <n v="9"/>
    <n v="41"/>
    <n v="0"/>
    <n v="0"/>
    <n v="36"/>
    <n v="1"/>
    <n v="180130"/>
  </r>
  <r>
    <x v="2"/>
    <x v="0"/>
    <n v="52"/>
    <n v="13"/>
    <n v="58"/>
    <n v="1"/>
    <n v="26"/>
    <n v="5"/>
    <n v="151"/>
    <n v="18"/>
    <n v="3"/>
    <n v="16"/>
    <n v="3"/>
    <n v="5"/>
    <n v="20"/>
    <n v="146"/>
    <n v="11"/>
    <n v="29"/>
    <n v="0"/>
    <n v="1"/>
    <n v="28"/>
    <n v="8"/>
    <n v="228800"/>
  </r>
  <r>
    <x v="2"/>
    <x v="1"/>
    <n v="182"/>
    <n v="0"/>
    <n v="26"/>
    <n v="5"/>
    <n v="17"/>
    <n v="1"/>
    <n v="14"/>
    <n v="26"/>
    <n v="0"/>
    <n v="7"/>
    <n v="4"/>
    <n v="6"/>
    <n v="24"/>
    <n v="57"/>
    <n v="8"/>
    <n v="12"/>
    <n v="0"/>
    <n v="0"/>
    <n v="34"/>
    <n v="2"/>
    <n v="261800"/>
  </r>
  <r>
    <x v="2"/>
    <x v="2"/>
    <n v="65"/>
    <n v="1"/>
    <n v="20"/>
    <n v="2"/>
    <n v="16"/>
    <n v="1"/>
    <n v="3"/>
    <n v="11"/>
    <n v="3"/>
    <n v="4"/>
    <n v="2"/>
    <n v="3"/>
    <n v="9"/>
    <n v="77"/>
    <n v="7"/>
    <n v="20"/>
    <n v="0"/>
    <n v="0"/>
    <n v="28"/>
    <n v="4"/>
    <n v="116280"/>
  </r>
  <r>
    <x v="2"/>
    <x v="3"/>
    <n v="77"/>
    <n v="2"/>
    <n v="22"/>
    <n v="3"/>
    <n v="6"/>
    <n v="2"/>
    <n v="8"/>
    <n v="15"/>
    <n v="4"/>
    <n v="2"/>
    <n v="6"/>
    <n v="3"/>
    <n v="10"/>
    <n v="28"/>
    <n v="6"/>
    <n v="29"/>
    <n v="0"/>
    <n v="25"/>
    <n v="53"/>
    <n v="3"/>
    <n v="86810"/>
  </r>
  <r>
    <x v="2"/>
    <x v="4"/>
    <n v="12"/>
    <n v="0"/>
    <n v="9"/>
    <n v="0"/>
    <n v="8"/>
    <n v="1"/>
    <n v="1"/>
    <n v="4"/>
    <n v="2"/>
    <n v="1"/>
    <n v="2"/>
    <n v="6"/>
    <n v="4"/>
    <n v="41"/>
    <n v="0"/>
    <n v="3"/>
    <n v="0"/>
    <n v="0"/>
    <n v="12"/>
    <n v="1"/>
    <n v="51450"/>
  </r>
  <r>
    <x v="2"/>
    <x v="5"/>
    <n v="91"/>
    <n v="4"/>
    <n v="30"/>
    <n v="13"/>
    <n v="11"/>
    <n v="1"/>
    <n v="12"/>
    <n v="23"/>
    <n v="8"/>
    <n v="6"/>
    <n v="7"/>
    <n v="5"/>
    <n v="19"/>
    <n v="45"/>
    <n v="7"/>
    <n v="7"/>
    <n v="0"/>
    <n v="1"/>
    <n v="35"/>
    <n v="5"/>
    <n v="149200"/>
  </r>
  <r>
    <x v="2"/>
    <x v="6"/>
    <n v="34"/>
    <n v="3"/>
    <n v="45"/>
    <n v="2"/>
    <n v="12"/>
    <n v="6"/>
    <n v="54"/>
    <n v="8"/>
    <n v="5"/>
    <n v="4"/>
    <n v="6"/>
    <n v="3"/>
    <n v="12"/>
    <n v="141"/>
    <n v="32"/>
    <n v="21"/>
    <n v="0"/>
    <n v="1"/>
    <n v="20"/>
    <n v="7"/>
    <n v="148710"/>
  </r>
  <r>
    <x v="2"/>
    <x v="7"/>
    <n v="61"/>
    <n v="3"/>
    <n v="15"/>
    <n v="5"/>
    <n v="7"/>
    <n v="0"/>
    <n v="2"/>
    <n v="4"/>
    <n v="2"/>
    <n v="3"/>
    <n v="0"/>
    <n v="3"/>
    <n v="8"/>
    <n v="45"/>
    <n v="5"/>
    <n v="26"/>
    <n v="0"/>
    <n v="0"/>
    <n v="23"/>
    <n v="3"/>
    <n v="121940"/>
  </r>
  <r>
    <x v="2"/>
    <x v="8"/>
    <n v="38"/>
    <n v="0"/>
    <n v="26"/>
    <n v="2"/>
    <n v="3"/>
    <n v="1"/>
    <n v="8"/>
    <n v="5"/>
    <n v="0"/>
    <n v="5"/>
    <n v="3"/>
    <n v="19"/>
    <n v="6"/>
    <n v="43"/>
    <n v="2"/>
    <n v="28"/>
    <n v="0"/>
    <n v="2"/>
    <n v="16"/>
    <n v="3"/>
    <n v="108130"/>
  </r>
  <r>
    <x v="2"/>
    <x v="9"/>
    <n v="55"/>
    <n v="1"/>
    <n v="12"/>
    <n v="2"/>
    <n v="10"/>
    <n v="1"/>
    <n v="4"/>
    <n v="18"/>
    <n v="0"/>
    <n v="3"/>
    <n v="4"/>
    <n v="6"/>
    <n v="3"/>
    <n v="69"/>
    <n v="3"/>
    <n v="13"/>
    <n v="0"/>
    <n v="1"/>
    <n v="9"/>
    <n v="3"/>
    <n v="104840"/>
  </r>
  <r>
    <x v="2"/>
    <x v="10"/>
    <n v="29"/>
    <n v="1"/>
    <n v="14"/>
    <n v="0"/>
    <n v="8"/>
    <n v="0"/>
    <n v="4"/>
    <n v="5"/>
    <n v="1"/>
    <n v="2"/>
    <n v="1"/>
    <n v="3"/>
    <n v="5"/>
    <n v="28"/>
    <n v="2"/>
    <n v="19"/>
    <n v="0"/>
    <n v="0"/>
    <n v="14"/>
    <n v="2"/>
    <n v="94760"/>
  </r>
  <r>
    <x v="2"/>
    <x v="11"/>
    <n v="136"/>
    <n v="6"/>
    <n v="168"/>
    <n v="11"/>
    <n v="40"/>
    <n v="2"/>
    <n v="125"/>
    <n v="47"/>
    <n v="11"/>
    <n v="30"/>
    <n v="34"/>
    <n v="33"/>
    <n v="22"/>
    <n v="511"/>
    <n v="30"/>
    <n v="128"/>
    <n v="0"/>
    <n v="6"/>
    <n v="92"/>
    <n v="19"/>
    <n v="513210"/>
  </r>
  <r>
    <x v="2"/>
    <x v="12"/>
    <n v="93"/>
    <n v="3"/>
    <n v="32"/>
    <n v="3"/>
    <n v="22"/>
    <n v="3"/>
    <n v="8"/>
    <n v="12"/>
    <n v="3"/>
    <n v="3"/>
    <n v="3"/>
    <n v="8"/>
    <n v="11"/>
    <n v="123"/>
    <n v="4"/>
    <n v="22"/>
    <n v="0"/>
    <n v="1"/>
    <n v="40"/>
    <n v="4"/>
    <n v="160130"/>
  </r>
  <r>
    <x v="2"/>
    <x v="13"/>
    <n v="170"/>
    <n v="8"/>
    <n v="84"/>
    <n v="9"/>
    <n v="49"/>
    <n v="10"/>
    <n v="22"/>
    <n v="31"/>
    <n v="14"/>
    <n v="14"/>
    <n v="23"/>
    <n v="19"/>
    <n v="29"/>
    <n v="236"/>
    <n v="10"/>
    <n v="21"/>
    <n v="0"/>
    <n v="2"/>
    <n v="64"/>
    <n v="11"/>
    <n v="371410"/>
  </r>
  <r>
    <x v="2"/>
    <x v="14"/>
    <n v="199"/>
    <n v="10"/>
    <n v="247"/>
    <n v="24"/>
    <n v="77"/>
    <n v="14"/>
    <n v="140"/>
    <n v="55"/>
    <n v="25"/>
    <n v="30"/>
    <n v="14"/>
    <n v="36"/>
    <n v="35"/>
    <n v="409"/>
    <n v="39"/>
    <n v="316"/>
    <n v="1"/>
    <n v="4"/>
    <n v="219"/>
    <n v="43"/>
    <n v="621020"/>
  </r>
  <r>
    <x v="2"/>
    <x v="15"/>
    <n v="236"/>
    <n v="5"/>
    <n v="51"/>
    <n v="8"/>
    <n v="30"/>
    <n v="2"/>
    <n v="20"/>
    <n v="18"/>
    <n v="4"/>
    <n v="9"/>
    <n v="8"/>
    <n v="6"/>
    <n v="29"/>
    <n v="92"/>
    <n v="16"/>
    <n v="24"/>
    <n v="0"/>
    <n v="7"/>
    <n v="64"/>
    <n v="1"/>
    <n v="235180"/>
  </r>
  <r>
    <x v="2"/>
    <x v="16"/>
    <n v="30"/>
    <n v="0"/>
    <n v="29"/>
    <n v="1"/>
    <n v="18"/>
    <n v="4"/>
    <n v="12"/>
    <n v="13"/>
    <n v="2"/>
    <n v="1"/>
    <n v="4"/>
    <n v="4"/>
    <n v="12"/>
    <n v="52"/>
    <n v="9"/>
    <n v="29"/>
    <n v="0"/>
    <n v="1"/>
    <n v="22"/>
    <n v="4"/>
    <n v="78760"/>
  </r>
  <r>
    <x v="2"/>
    <x v="17"/>
    <n v="42"/>
    <n v="1"/>
    <n v="18"/>
    <n v="1"/>
    <n v="11"/>
    <n v="2"/>
    <n v="2"/>
    <n v="10"/>
    <n v="4"/>
    <n v="3"/>
    <n v="4"/>
    <n v="5"/>
    <n v="10"/>
    <n v="45"/>
    <n v="1"/>
    <n v="12"/>
    <n v="0"/>
    <n v="0"/>
    <n v="15"/>
    <n v="2"/>
    <n v="90090"/>
  </r>
  <r>
    <x v="2"/>
    <x v="18"/>
    <n v="53"/>
    <n v="2"/>
    <n v="6"/>
    <n v="6"/>
    <n v="11"/>
    <n v="0"/>
    <n v="3"/>
    <n v="4"/>
    <n v="3"/>
    <n v="5"/>
    <n v="1"/>
    <n v="1"/>
    <n v="10"/>
    <n v="31"/>
    <n v="3"/>
    <n v="5"/>
    <n v="0"/>
    <n v="0"/>
    <n v="6"/>
    <n v="0"/>
    <n v="95780"/>
  </r>
  <r>
    <x v="2"/>
    <x v="19"/>
    <n v="16"/>
    <n v="0"/>
    <n v="5"/>
    <n v="0"/>
    <n v="0"/>
    <n v="0"/>
    <n v="5"/>
    <n v="1"/>
    <n v="0"/>
    <n v="1"/>
    <n v="0"/>
    <n v="0"/>
    <n v="5"/>
    <n v="7"/>
    <n v="0"/>
    <n v="1"/>
    <n v="0"/>
    <n v="0"/>
    <n v="8"/>
    <n v="0"/>
    <n v="26950"/>
  </r>
  <r>
    <x v="2"/>
    <x v="20"/>
    <n v="45"/>
    <n v="0"/>
    <n v="36"/>
    <n v="3"/>
    <n v="16"/>
    <n v="3"/>
    <n v="17"/>
    <n v="13"/>
    <n v="1"/>
    <n v="2"/>
    <n v="5"/>
    <n v="9"/>
    <n v="6"/>
    <n v="68"/>
    <n v="5"/>
    <n v="37"/>
    <n v="0"/>
    <n v="0"/>
    <n v="40"/>
    <n v="4"/>
    <n v="135790"/>
  </r>
  <r>
    <x v="2"/>
    <x v="21"/>
    <n v="128"/>
    <n v="5"/>
    <n v="88"/>
    <n v="1"/>
    <n v="37"/>
    <n v="5"/>
    <n v="21"/>
    <n v="13"/>
    <n v="7"/>
    <n v="10"/>
    <n v="10"/>
    <n v="26"/>
    <n v="25"/>
    <n v="127"/>
    <n v="13"/>
    <n v="85"/>
    <n v="0"/>
    <n v="0"/>
    <n v="69"/>
    <n v="6"/>
    <n v="339960"/>
  </r>
  <r>
    <x v="2"/>
    <x v="22"/>
    <n v="2"/>
    <n v="0"/>
    <n v="6"/>
    <n v="0"/>
    <n v="1"/>
    <n v="0"/>
    <n v="2"/>
    <n v="1"/>
    <n v="0"/>
    <n v="0"/>
    <n v="1"/>
    <n v="0"/>
    <n v="1"/>
    <n v="1"/>
    <n v="0"/>
    <n v="0"/>
    <n v="0"/>
    <n v="3"/>
    <n v="4"/>
    <n v="0"/>
    <n v="22000"/>
  </r>
  <r>
    <x v="2"/>
    <x v="23"/>
    <n v="118"/>
    <n v="1"/>
    <n v="29"/>
    <n v="8"/>
    <n v="11"/>
    <n v="0"/>
    <n v="10"/>
    <n v="9"/>
    <n v="4"/>
    <n v="0"/>
    <n v="5"/>
    <n v="3"/>
    <n v="15"/>
    <n v="79"/>
    <n v="17"/>
    <n v="14"/>
    <n v="0"/>
    <n v="0"/>
    <n v="22"/>
    <n v="1"/>
    <n v="151100"/>
  </r>
  <r>
    <x v="2"/>
    <x v="24"/>
    <n v="76"/>
    <n v="3"/>
    <n v="45"/>
    <n v="5"/>
    <n v="17"/>
    <n v="5"/>
    <n v="11"/>
    <n v="25"/>
    <n v="4"/>
    <n v="3"/>
    <n v="9"/>
    <n v="6"/>
    <n v="14"/>
    <n v="107"/>
    <n v="14"/>
    <n v="91"/>
    <n v="1"/>
    <n v="10"/>
    <n v="64"/>
    <n v="12"/>
    <n v="176830"/>
  </r>
  <r>
    <x v="2"/>
    <x v="25"/>
    <n v="92"/>
    <n v="1"/>
    <n v="23"/>
    <n v="7"/>
    <n v="9"/>
    <n v="2"/>
    <n v="5"/>
    <n v="22"/>
    <n v="2"/>
    <n v="4"/>
    <n v="8"/>
    <n v="5"/>
    <n v="14"/>
    <n v="84"/>
    <n v="8"/>
    <n v="8"/>
    <n v="1"/>
    <n v="0"/>
    <n v="20"/>
    <n v="1"/>
    <n v="115020"/>
  </r>
  <r>
    <x v="2"/>
    <x v="26"/>
    <n v="12"/>
    <n v="0"/>
    <n v="6"/>
    <n v="0"/>
    <n v="1"/>
    <n v="0"/>
    <n v="2"/>
    <n v="0"/>
    <n v="0"/>
    <n v="1"/>
    <n v="0"/>
    <n v="0"/>
    <n v="0"/>
    <n v="2"/>
    <n v="2"/>
    <n v="1"/>
    <n v="0"/>
    <n v="5"/>
    <n v="5"/>
    <n v="1"/>
    <n v="23080"/>
  </r>
  <r>
    <x v="2"/>
    <x v="27"/>
    <n v="69"/>
    <n v="6"/>
    <n v="14"/>
    <n v="6"/>
    <n v="18"/>
    <n v="5"/>
    <n v="7"/>
    <n v="10"/>
    <n v="4"/>
    <n v="0"/>
    <n v="4"/>
    <n v="3"/>
    <n v="6"/>
    <n v="53"/>
    <n v="8"/>
    <n v="38"/>
    <n v="0"/>
    <n v="5"/>
    <n v="16"/>
    <n v="2"/>
    <n v="112680"/>
  </r>
  <r>
    <x v="2"/>
    <x v="28"/>
    <n v="130"/>
    <n v="2"/>
    <n v="65"/>
    <n v="2"/>
    <n v="26"/>
    <n v="2"/>
    <n v="19"/>
    <n v="21"/>
    <n v="5"/>
    <n v="5"/>
    <n v="9"/>
    <n v="18"/>
    <n v="22"/>
    <n v="103"/>
    <n v="17"/>
    <n v="79"/>
    <n v="0"/>
    <n v="0"/>
    <n v="50"/>
    <n v="12"/>
    <n v="318170"/>
  </r>
  <r>
    <x v="2"/>
    <x v="29"/>
    <n v="58"/>
    <n v="1"/>
    <n v="21"/>
    <n v="11"/>
    <n v="8"/>
    <n v="0"/>
    <n v="8"/>
    <n v="12"/>
    <n v="2"/>
    <n v="3"/>
    <n v="3"/>
    <n v="4"/>
    <n v="12"/>
    <n v="49"/>
    <n v="5"/>
    <n v="7"/>
    <n v="0"/>
    <n v="0"/>
    <n v="14"/>
    <n v="1"/>
    <n v="94000"/>
  </r>
  <r>
    <x v="2"/>
    <x v="30"/>
    <n v="28"/>
    <n v="0"/>
    <n v="20"/>
    <n v="3"/>
    <n v="7"/>
    <n v="0"/>
    <n v="14"/>
    <n v="7"/>
    <n v="2"/>
    <n v="4"/>
    <n v="3"/>
    <n v="7"/>
    <n v="8"/>
    <n v="42"/>
    <n v="3"/>
    <n v="42"/>
    <n v="0"/>
    <n v="1"/>
    <n v="25"/>
    <n v="5"/>
    <n v="89610"/>
  </r>
  <r>
    <x v="2"/>
    <x v="31"/>
    <n v="96"/>
    <n v="2"/>
    <n v="27"/>
    <n v="2"/>
    <n v="26"/>
    <n v="6"/>
    <n v="3"/>
    <n v="25"/>
    <n v="7"/>
    <n v="11"/>
    <n v="10"/>
    <n v="6"/>
    <n v="9"/>
    <n v="175"/>
    <n v="6"/>
    <n v="45"/>
    <n v="0"/>
    <n v="0"/>
    <n v="33"/>
    <n v="0"/>
    <n v="181310"/>
  </r>
</pivotCacheRecords>
</file>

<file path=xl/pivotCache/pivotCacheRecords11.xml><?xml version="1.0" encoding="utf-8"?>
<pivotCacheRecords xmlns="http://schemas.openxmlformats.org/spreadsheetml/2006/main" xmlns:r="http://schemas.openxmlformats.org/officeDocument/2006/relationships" count="96">
  <r>
    <x v="0"/>
    <x v="0"/>
    <n v="455"/>
    <n v="22"/>
    <n v="7"/>
    <m/>
    <n v="13"/>
    <m/>
    <n v="12"/>
    <n v="2"/>
    <n v="6"/>
    <n v="10"/>
    <n v="13"/>
    <n v="10"/>
    <n v="16"/>
    <n v="10"/>
    <n v="334"/>
  </r>
  <r>
    <x v="1"/>
    <x v="0"/>
    <n v="275"/>
    <n v="13"/>
    <n v="7"/>
    <n v="5"/>
    <n v="18"/>
    <m/>
    <n v="3"/>
    <n v="8"/>
    <n v="3"/>
    <n v="4"/>
    <n v="6"/>
    <n v="8"/>
    <n v="3"/>
    <n v="5"/>
    <n v="192"/>
  </r>
  <r>
    <x v="2"/>
    <x v="0"/>
    <n v="137"/>
    <n v="3"/>
    <n v="11"/>
    <n v="5"/>
    <n v="5"/>
    <m/>
    <m/>
    <n v="1"/>
    <m/>
    <n v="2"/>
    <n v="6"/>
    <n v="5"/>
    <n v="2"/>
    <n v="2"/>
    <n v="95"/>
  </r>
  <r>
    <x v="3"/>
    <x v="0"/>
    <n v="102"/>
    <n v="10"/>
    <n v="2"/>
    <n v="4"/>
    <n v="4"/>
    <m/>
    <n v="1"/>
    <m/>
    <n v="1"/>
    <n v="2"/>
    <n v="3"/>
    <n v="2"/>
    <m/>
    <n v="9"/>
    <n v="64"/>
  </r>
  <r>
    <x v="4"/>
    <x v="0"/>
    <n v="98"/>
    <m/>
    <n v="1"/>
    <m/>
    <n v="4"/>
    <n v="1"/>
    <m/>
    <n v="5"/>
    <m/>
    <n v="3"/>
    <n v="1"/>
    <n v="3"/>
    <n v="3"/>
    <n v="2"/>
    <n v="75"/>
  </r>
  <r>
    <x v="5"/>
    <x v="0"/>
    <n v="139"/>
    <n v="5"/>
    <n v="8"/>
    <n v="8"/>
    <m/>
    <m/>
    <n v="1"/>
    <n v="1"/>
    <n v="5"/>
    <n v="6"/>
    <n v="1"/>
    <n v="5"/>
    <n v="1"/>
    <n v="4"/>
    <n v="94"/>
  </r>
  <r>
    <x v="6"/>
    <x v="0"/>
    <n v="334"/>
    <n v="14"/>
    <n v="9"/>
    <n v="1"/>
    <n v="9"/>
    <n v="4"/>
    <n v="3"/>
    <n v="1"/>
    <n v="3"/>
    <n v="5"/>
    <n v="12"/>
    <n v="4"/>
    <n v="8"/>
    <n v="5"/>
    <n v="256"/>
  </r>
  <r>
    <x v="7"/>
    <x v="0"/>
    <n v="158"/>
    <n v="5"/>
    <n v="14"/>
    <n v="1"/>
    <n v="2"/>
    <n v="1"/>
    <n v="3"/>
    <n v="9"/>
    <n v="2"/>
    <n v="2"/>
    <n v="7"/>
    <n v="3"/>
    <n v="2"/>
    <n v="3"/>
    <n v="104"/>
  </r>
  <r>
    <x v="8"/>
    <x v="0"/>
    <n v="106"/>
    <n v="5"/>
    <n v="4"/>
    <m/>
    <n v="2"/>
    <m/>
    <n v="2"/>
    <n v="8"/>
    <m/>
    <m/>
    <n v="1"/>
    <n v="4"/>
    <m/>
    <n v="3"/>
    <n v="77"/>
  </r>
  <r>
    <x v="9"/>
    <x v="0"/>
    <n v="120"/>
    <n v="6"/>
    <n v="2"/>
    <n v="3"/>
    <n v="4"/>
    <n v="1"/>
    <n v="2"/>
    <m/>
    <n v="3"/>
    <n v="3"/>
    <n v="2"/>
    <n v="4"/>
    <n v="1"/>
    <n v="4"/>
    <n v="85"/>
  </r>
  <r>
    <x v="10"/>
    <x v="0"/>
    <n v="104"/>
    <n v="5"/>
    <n v="9"/>
    <n v="1"/>
    <n v="2"/>
    <n v="1"/>
    <n v="2"/>
    <n v="2"/>
    <m/>
    <n v="1"/>
    <m/>
    <n v="5"/>
    <n v="1"/>
    <n v="4"/>
    <n v="71"/>
  </r>
  <r>
    <x v="11"/>
    <x v="0"/>
    <n v="922"/>
    <n v="67"/>
    <n v="23"/>
    <n v="3"/>
    <n v="9"/>
    <n v="4"/>
    <n v="30"/>
    <n v="13"/>
    <n v="14"/>
    <n v="36"/>
    <n v="25"/>
    <n v="18"/>
    <n v="22"/>
    <n v="25"/>
    <n v="633"/>
  </r>
  <r>
    <x v="12"/>
    <x v="0"/>
    <n v="205"/>
    <n v="9"/>
    <n v="4"/>
    <n v="6"/>
    <n v="6"/>
    <n v="2"/>
    <n v="1"/>
    <n v="4"/>
    <n v="3"/>
    <n v="5"/>
    <n v="14"/>
    <n v="4"/>
    <n v="11"/>
    <n v="2"/>
    <n v="134"/>
  </r>
  <r>
    <x v="13"/>
    <x v="0"/>
    <n v="413"/>
    <n v="19"/>
    <n v="21"/>
    <n v="3"/>
    <n v="21"/>
    <n v="3"/>
    <n v="6"/>
    <n v="4"/>
    <n v="7"/>
    <n v="9"/>
    <n v="18"/>
    <n v="7"/>
    <n v="8"/>
    <n v="8"/>
    <n v="279"/>
  </r>
  <r>
    <x v="14"/>
    <x v="0"/>
    <n v="1368"/>
    <n v="118"/>
    <n v="42"/>
    <n v="1"/>
    <n v="34"/>
    <n v="4"/>
    <n v="23"/>
    <n v="5"/>
    <n v="18"/>
    <n v="20"/>
    <n v="38"/>
    <n v="28"/>
    <n v="37"/>
    <n v="40"/>
    <n v="960"/>
  </r>
  <r>
    <x v="15"/>
    <x v="0"/>
    <n v="234"/>
    <n v="31"/>
    <n v="12"/>
    <n v="11"/>
    <n v="9"/>
    <n v="3"/>
    <n v="1"/>
    <n v="1"/>
    <n v="4"/>
    <n v="10"/>
    <n v="5"/>
    <n v="3"/>
    <n v="6"/>
    <n v="7"/>
    <n v="131"/>
  </r>
  <r>
    <x v="16"/>
    <x v="0"/>
    <n v="166"/>
    <n v="5"/>
    <n v="6"/>
    <n v="1"/>
    <n v="2"/>
    <n v="1"/>
    <n v="2"/>
    <n v="1"/>
    <n v="2"/>
    <n v="1"/>
    <n v="3"/>
    <n v="2"/>
    <n v="4"/>
    <n v="7"/>
    <n v="129"/>
  </r>
  <r>
    <x v="17"/>
    <x v="0"/>
    <n v="101"/>
    <n v="6"/>
    <n v="6"/>
    <n v="3"/>
    <n v="1"/>
    <n v="2"/>
    <n v="1"/>
    <m/>
    <n v="1"/>
    <n v="2"/>
    <n v="5"/>
    <n v="2"/>
    <m/>
    <n v="3"/>
    <n v="69"/>
  </r>
  <r>
    <x v="18"/>
    <x v="0"/>
    <n v="86"/>
    <n v="7"/>
    <n v="6"/>
    <n v="2"/>
    <n v="7"/>
    <n v="1"/>
    <n v="2"/>
    <n v="1"/>
    <n v="2"/>
    <n v="3"/>
    <n v="1"/>
    <n v="1"/>
    <n v="3"/>
    <m/>
    <n v="50"/>
  </r>
  <r>
    <x v="19"/>
    <x v="0"/>
    <n v="27"/>
    <n v="2"/>
    <m/>
    <m/>
    <n v="1"/>
    <m/>
    <m/>
    <m/>
    <m/>
    <n v="1"/>
    <n v="1"/>
    <m/>
    <m/>
    <n v="2"/>
    <n v="20"/>
  </r>
  <r>
    <x v="20"/>
    <x v="0"/>
    <n v="239"/>
    <n v="9"/>
    <n v="11"/>
    <n v="2"/>
    <n v="9"/>
    <n v="1"/>
    <n v="2"/>
    <m/>
    <n v="4"/>
    <n v="2"/>
    <n v="10"/>
    <n v="7"/>
    <n v="1"/>
    <n v="5"/>
    <n v="176"/>
  </r>
  <r>
    <x v="21"/>
    <x v="0"/>
    <n v="476"/>
    <n v="15"/>
    <n v="28"/>
    <n v="3"/>
    <n v="17"/>
    <n v="3"/>
    <n v="7"/>
    <n v="6"/>
    <n v="5"/>
    <n v="13"/>
    <n v="15"/>
    <n v="16"/>
    <n v="7"/>
    <n v="5"/>
    <n v="336"/>
  </r>
  <r>
    <x v="22"/>
    <x v="0"/>
    <n v="20"/>
    <n v="1"/>
    <n v="3"/>
    <n v="3"/>
    <m/>
    <m/>
    <m/>
    <m/>
    <m/>
    <m/>
    <n v="1"/>
    <m/>
    <m/>
    <n v="1"/>
    <n v="11"/>
  </r>
  <r>
    <x v="23"/>
    <x v="0"/>
    <n v="197"/>
    <n v="9"/>
    <n v="8"/>
    <n v="3"/>
    <n v="16"/>
    <m/>
    <n v="1"/>
    <n v="7"/>
    <n v="5"/>
    <n v="6"/>
    <n v="8"/>
    <n v="2"/>
    <n v="5"/>
    <n v="4"/>
    <n v="123"/>
  </r>
  <r>
    <x v="24"/>
    <x v="0"/>
    <n v="331"/>
    <n v="14"/>
    <n v="11"/>
    <m/>
    <n v="8"/>
    <n v="7"/>
    <n v="3"/>
    <n v="2"/>
    <m/>
    <n v="6"/>
    <n v="14"/>
    <n v="8"/>
    <n v="9"/>
    <n v="7"/>
    <n v="242"/>
  </r>
  <r>
    <x v="25"/>
    <x v="0"/>
    <n v="157"/>
    <n v="10"/>
    <n v="3"/>
    <n v="7"/>
    <n v="6"/>
    <m/>
    <n v="2"/>
    <n v="1"/>
    <n v="2"/>
    <n v="2"/>
    <n v="5"/>
    <n v="4"/>
    <n v="3"/>
    <n v="3"/>
    <n v="109"/>
  </r>
  <r>
    <x v="26"/>
    <x v="0"/>
    <n v="23"/>
    <n v="2"/>
    <m/>
    <m/>
    <m/>
    <m/>
    <m/>
    <m/>
    <m/>
    <n v="1"/>
    <n v="1"/>
    <m/>
    <m/>
    <m/>
    <n v="19"/>
  </r>
  <r>
    <x v="27"/>
    <x v="0"/>
    <n v="155"/>
    <n v="9"/>
    <n v="12"/>
    <n v="1"/>
    <n v="6"/>
    <m/>
    <n v="1"/>
    <n v="1"/>
    <n v="3"/>
    <m/>
    <n v="10"/>
    <n v="3"/>
    <n v="5"/>
    <n v="3"/>
    <n v="101"/>
  </r>
  <r>
    <x v="28"/>
    <x v="0"/>
    <n v="393"/>
    <n v="22"/>
    <n v="23"/>
    <n v="3"/>
    <n v="5"/>
    <n v="2"/>
    <n v="4"/>
    <n v="2"/>
    <n v="8"/>
    <n v="3"/>
    <n v="14"/>
    <n v="4"/>
    <n v="1"/>
    <n v="8"/>
    <n v="294"/>
  </r>
  <r>
    <x v="29"/>
    <x v="0"/>
    <n v="180"/>
    <n v="13"/>
    <n v="2"/>
    <n v="2"/>
    <n v="4"/>
    <m/>
    <n v="2"/>
    <n v="30"/>
    <n v="1"/>
    <n v="4"/>
    <n v="2"/>
    <n v="7"/>
    <n v="2"/>
    <n v="3"/>
    <n v="108"/>
  </r>
  <r>
    <x v="30"/>
    <x v="0"/>
    <n v="215"/>
    <n v="24"/>
    <n v="5"/>
    <m/>
    <n v="5"/>
    <m/>
    <n v="4"/>
    <n v="2"/>
    <n v="4"/>
    <n v="2"/>
    <n v="4"/>
    <n v="1"/>
    <n v="4"/>
    <n v="4"/>
    <n v="156"/>
  </r>
  <r>
    <x v="31"/>
    <x v="0"/>
    <n v="238"/>
    <n v="10"/>
    <n v="12"/>
    <n v="4"/>
    <n v="19"/>
    <n v="4"/>
    <n v="9"/>
    <n v="1"/>
    <n v="4"/>
    <n v="3"/>
    <n v="11"/>
    <n v="5"/>
    <n v="2"/>
    <n v="4"/>
    <n v="150"/>
  </r>
  <r>
    <x v="0"/>
    <x v="1"/>
    <n v="458"/>
    <n v="31"/>
    <n v="10"/>
    <m/>
    <n v="10"/>
    <n v="4"/>
    <n v="9"/>
    <n v="1"/>
    <n v="5"/>
    <n v="6"/>
    <n v="11"/>
    <n v="7"/>
    <n v="11"/>
    <n v="3"/>
    <n v="350"/>
  </r>
  <r>
    <x v="1"/>
    <x v="1"/>
    <n v="272"/>
    <n v="17"/>
    <n v="11"/>
    <n v="5"/>
    <n v="10"/>
    <n v="4"/>
    <n v="2"/>
    <n v="7"/>
    <n v="3"/>
    <n v="5"/>
    <n v="6"/>
    <n v="6"/>
    <n v="6"/>
    <n v="6"/>
    <n v="184"/>
  </r>
  <r>
    <x v="2"/>
    <x v="1"/>
    <n v="126"/>
    <n v="4"/>
    <n v="6"/>
    <n v="1"/>
    <n v="5"/>
    <m/>
    <n v="1"/>
    <n v="2"/>
    <n v="1"/>
    <n v="1"/>
    <n v="2"/>
    <n v="2"/>
    <n v="3"/>
    <m/>
    <n v="98"/>
  </r>
  <r>
    <x v="3"/>
    <x v="1"/>
    <n v="111"/>
    <n v="6"/>
    <n v="5"/>
    <m/>
    <n v="3"/>
    <m/>
    <n v="2"/>
    <n v="1"/>
    <n v="4"/>
    <n v="2"/>
    <n v="1"/>
    <m/>
    <n v="1"/>
    <n v="6"/>
    <n v="80"/>
  </r>
  <r>
    <x v="4"/>
    <x v="1"/>
    <n v="92"/>
    <n v="3"/>
    <m/>
    <n v="2"/>
    <n v="7"/>
    <m/>
    <n v="1"/>
    <n v="1"/>
    <m/>
    <m/>
    <n v="3"/>
    <n v="2"/>
    <n v="1"/>
    <m/>
    <n v="72"/>
  </r>
  <r>
    <x v="5"/>
    <x v="1"/>
    <n v="173"/>
    <n v="9"/>
    <n v="8"/>
    <n v="7"/>
    <n v="6"/>
    <n v="2"/>
    <n v="4"/>
    <n v="3"/>
    <n v="2"/>
    <n v="4"/>
    <n v="4"/>
    <n v="3"/>
    <n v="2"/>
    <n v="1"/>
    <n v="118"/>
  </r>
  <r>
    <x v="6"/>
    <x v="1"/>
    <n v="324"/>
    <n v="12"/>
    <n v="12"/>
    <m/>
    <n v="12"/>
    <n v="3"/>
    <n v="2"/>
    <n v="2"/>
    <m/>
    <n v="4"/>
    <n v="5"/>
    <n v="6"/>
    <n v="5"/>
    <n v="4"/>
    <n v="257"/>
  </r>
  <r>
    <x v="7"/>
    <x v="1"/>
    <n v="201"/>
    <n v="7"/>
    <n v="19"/>
    <n v="1"/>
    <n v="4"/>
    <n v="1"/>
    <m/>
    <n v="5"/>
    <n v="5"/>
    <m/>
    <n v="6"/>
    <n v="2"/>
    <n v="2"/>
    <n v="3"/>
    <n v="146"/>
  </r>
  <r>
    <x v="8"/>
    <x v="1"/>
    <n v="118"/>
    <n v="3"/>
    <n v="9"/>
    <m/>
    <n v="2"/>
    <m/>
    <n v="1"/>
    <n v="10"/>
    <n v="1"/>
    <n v="1"/>
    <n v="2"/>
    <n v="7"/>
    <m/>
    <m/>
    <n v="82"/>
  </r>
  <r>
    <x v="9"/>
    <x v="1"/>
    <n v="103"/>
    <n v="8"/>
    <n v="6"/>
    <n v="2"/>
    <n v="4"/>
    <n v="1"/>
    <n v="3"/>
    <n v="1"/>
    <n v="6"/>
    <n v="4"/>
    <m/>
    <n v="3"/>
    <n v="3"/>
    <n v="3"/>
    <n v="59"/>
  </r>
  <r>
    <x v="10"/>
    <x v="1"/>
    <n v="82"/>
    <n v="2"/>
    <n v="6"/>
    <m/>
    <n v="2"/>
    <m/>
    <n v="1"/>
    <m/>
    <n v="1"/>
    <m/>
    <n v="2"/>
    <n v="3"/>
    <m/>
    <n v="1"/>
    <n v="64"/>
  </r>
  <r>
    <x v="11"/>
    <x v="1"/>
    <n v="840"/>
    <n v="61"/>
    <n v="15"/>
    <n v="1"/>
    <n v="16"/>
    <n v="2"/>
    <n v="18"/>
    <n v="9"/>
    <n v="12"/>
    <n v="34"/>
    <n v="28"/>
    <n v="19"/>
    <n v="17"/>
    <n v="27"/>
    <n v="581"/>
  </r>
  <r>
    <x v="12"/>
    <x v="1"/>
    <n v="182"/>
    <n v="8"/>
    <n v="13"/>
    <n v="1"/>
    <n v="6"/>
    <n v="1"/>
    <n v="2"/>
    <n v="6"/>
    <n v="1"/>
    <n v="8"/>
    <n v="3"/>
    <n v="6"/>
    <n v="7"/>
    <n v="3"/>
    <n v="117"/>
  </r>
  <r>
    <x v="13"/>
    <x v="1"/>
    <n v="417"/>
    <n v="17"/>
    <n v="20"/>
    <n v="6"/>
    <n v="26"/>
    <n v="4"/>
    <n v="4"/>
    <n v="4"/>
    <n v="4"/>
    <n v="11"/>
    <n v="13"/>
    <n v="17"/>
    <n v="8"/>
    <n v="11"/>
    <n v="272"/>
  </r>
  <r>
    <x v="14"/>
    <x v="1"/>
    <n v="1324"/>
    <n v="81"/>
    <n v="28"/>
    <n v="1"/>
    <n v="29"/>
    <n v="7"/>
    <n v="41"/>
    <n v="16"/>
    <n v="20"/>
    <n v="19"/>
    <n v="51"/>
    <n v="34"/>
    <n v="41"/>
    <n v="27"/>
    <n v="929"/>
  </r>
  <r>
    <x v="15"/>
    <x v="1"/>
    <n v="252"/>
    <n v="20"/>
    <n v="16"/>
    <n v="6"/>
    <n v="12"/>
    <n v="1"/>
    <n v="1"/>
    <m/>
    <n v="2"/>
    <n v="13"/>
    <n v="9"/>
    <n v="1"/>
    <n v="5"/>
    <n v="5"/>
    <n v="161"/>
  </r>
  <r>
    <x v="16"/>
    <x v="1"/>
    <n v="163"/>
    <n v="4"/>
    <n v="4"/>
    <m/>
    <n v="3"/>
    <n v="1"/>
    <m/>
    <n v="1"/>
    <n v="3"/>
    <n v="2"/>
    <n v="4"/>
    <n v="1"/>
    <n v="5"/>
    <n v="4"/>
    <n v="131"/>
  </r>
  <r>
    <x v="17"/>
    <x v="1"/>
    <n v="110"/>
    <n v="7"/>
    <n v="6"/>
    <n v="1"/>
    <n v="6"/>
    <m/>
    <m/>
    <m/>
    <n v="2"/>
    <n v="4"/>
    <m/>
    <n v="2"/>
    <n v="1"/>
    <n v="3"/>
    <n v="78"/>
  </r>
  <r>
    <x v="18"/>
    <x v="1"/>
    <n v="84"/>
    <n v="5"/>
    <n v="3"/>
    <n v="1"/>
    <n v="5"/>
    <m/>
    <n v="2"/>
    <n v="1"/>
    <n v="1"/>
    <n v="3"/>
    <n v="1"/>
    <n v="3"/>
    <n v="1"/>
    <n v="3"/>
    <n v="55"/>
  </r>
  <r>
    <x v="19"/>
    <x v="1"/>
    <n v="28"/>
    <n v="2"/>
    <n v="1"/>
    <m/>
    <m/>
    <m/>
    <m/>
    <m/>
    <m/>
    <m/>
    <n v="2"/>
    <m/>
    <m/>
    <m/>
    <n v="23"/>
  </r>
  <r>
    <x v="20"/>
    <x v="1"/>
    <n v="210"/>
    <n v="4"/>
    <n v="7"/>
    <n v="1"/>
    <n v="6"/>
    <n v="1"/>
    <n v="2"/>
    <m/>
    <n v="2"/>
    <n v="4"/>
    <n v="7"/>
    <n v="2"/>
    <n v="1"/>
    <n v="6"/>
    <n v="167"/>
  </r>
  <r>
    <x v="21"/>
    <x v="1"/>
    <n v="465"/>
    <n v="12"/>
    <n v="27"/>
    <n v="2"/>
    <n v="10"/>
    <n v="4"/>
    <n v="4"/>
    <n v="5"/>
    <n v="8"/>
    <n v="8"/>
    <n v="11"/>
    <n v="8"/>
    <n v="5"/>
    <n v="8"/>
    <n v="353"/>
  </r>
  <r>
    <x v="22"/>
    <x v="1"/>
    <n v="12"/>
    <m/>
    <n v="1"/>
    <n v="2"/>
    <m/>
    <m/>
    <m/>
    <m/>
    <m/>
    <m/>
    <m/>
    <n v="1"/>
    <m/>
    <n v="1"/>
    <n v="7"/>
  </r>
  <r>
    <x v="23"/>
    <x v="1"/>
    <n v="216"/>
    <n v="14"/>
    <n v="11"/>
    <n v="10"/>
    <n v="6"/>
    <n v="4"/>
    <n v="2"/>
    <n v="6"/>
    <n v="1"/>
    <n v="9"/>
    <n v="4"/>
    <n v="2"/>
    <m/>
    <n v="1"/>
    <n v="146"/>
  </r>
  <r>
    <x v="24"/>
    <x v="1"/>
    <n v="283"/>
    <n v="17"/>
    <n v="10"/>
    <n v="1"/>
    <n v="8"/>
    <n v="3"/>
    <n v="6"/>
    <m/>
    <n v="5"/>
    <n v="2"/>
    <n v="13"/>
    <n v="2"/>
    <n v="3"/>
    <n v="8"/>
    <n v="205"/>
  </r>
  <r>
    <x v="25"/>
    <x v="1"/>
    <n v="133"/>
    <n v="2"/>
    <n v="12"/>
    <n v="9"/>
    <n v="2"/>
    <m/>
    <m/>
    <m/>
    <m/>
    <n v="2"/>
    <n v="4"/>
    <n v="5"/>
    <n v="2"/>
    <n v="4"/>
    <n v="91"/>
  </r>
  <r>
    <x v="26"/>
    <x v="1"/>
    <n v="17"/>
    <m/>
    <n v="1"/>
    <m/>
    <n v="2"/>
    <m/>
    <m/>
    <m/>
    <n v="1"/>
    <m/>
    <m/>
    <n v="1"/>
    <n v="2"/>
    <n v="1"/>
    <n v="9"/>
  </r>
  <r>
    <x v="27"/>
    <x v="1"/>
    <n v="141"/>
    <n v="10"/>
    <n v="5"/>
    <n v="3"/>
    <n v="3"/>
    <n v="1"/>
    <n v="1"/>
    <n v="1"/>
    <n v="3"/>
    <n v="4"/>
    <n v="6"/>
    <n v="3"/>
    <n v="1"/>
    <n v="3"/>
    <n v="97"/>
  </r>
  <r>
    <x v="28"/>
    <x v="1"/>
    <n v="361"/>
    <n v="12"/>
    <n v="27"/>
    <n v="6"/>
    <n v="11"/>
    <n v="4"/>
    <n v="6"/>
    <n v="2"/>
    <n v="6"/>
    <n v="6"/>
    <n v="14"/>
    <n v="3"/>
    <n v="3"/>
    <n v="11"/>
    <n v="250"/>
  </r>
  <r>
    <x v="29"/>
    <x v="1"/>
    <n v="129"/>
    <n v="8"/>
    <n v="6"/>
    <n v="1"/>
    <n v="5"/>
    <m/>
    <n v="2"/>
    <n v="10"/>
    <n v="1"/>
    <n v="4"/>
    <n v="2"/>
    <n v="2"/>
    <n v="1"/>
    <n v="2"/>
    <n v="85"/>
  </r>
  <r>
    <x v="30"/>
    <x v="1"/>
    <n v="187"/>
    <n v="15"/>
    <n v="4"/>
    <m/>
    <n v="2"/>
    <n v="1"/>
    <n v="2"/>
    <m/>
    <n v="2"/>
    <n v="2"/>
    <n v="7"/>
    <n v="7"/>
    <n v="1"/>
    <n v="1"/>
    <n v="143"/>
  </r>
  <r>
    <x v="31"/>
    <x v="1"/>
    <n v="213"/>
    <n v="14"/>
    <n v="8"/>
    <n v="3"/>
    <n v="9"/>
    <n v="3"/>
    <m/>
    <n v="5"/>
    <n v="3"/>
    <n v="10"/>
    <n v="4"/>
    <n v="4"/>
    <n v="7"/>
    <n v="5"/>
    <n v="138"/>
  </r>
  <r>
    <x v="0"/>
    <x v="2"/>
    <n v="375"/>
    <n v="17"/>
    <n v="10"/>
    <m/>
    <n v="6"/>
    <n v="3"/>
    <n v="9"/>
    <n v="2"/>
    <n v="1"/>
    <n v="9"/>
    <n v="10"/>
    <n v="12"/>
    <n v="14"/>
    <n v="5"/>
    <n v="277"/>
  </r>
  <r>
    <x v="1"/>
    <x v="2"/>
    <n v="275"/>
    <n v="11"/>
    <n v="11"/>
    <n v="12"/>
    <n v="16"/>
    <m/>
    <n v="5"/>
    <n v="18"/>
    <n v="4"/>
    <n v="4"/>
    <n v="6"/>
    <n v="9"/>
    <n v="3"/>
    <n v="8"/>
    <n v="168"/>
  </r>
  <r>
    <x v="2"/>
    <x v="2"/>
    <n v="115"/>
    <n v="3"/>
    <n v="8"/>
    <n v="4"/>
    <n v="4"/>
    <m/>
    <m/>
    <n v="4"/>
    <m/>
    <n v="5"/>
    <n v="2"/>
    <n v="1"/>
    <m/>
    <n v="3"/>
    <n v="81"/>
  </r>
  <r>
    <x v="3"/>
    <x v="2"/>
    <n v="136"/>
    <n v="15"/>
    <n v="3"/>
    <n v="6"/>
    <n v="5"/>
    <n v="2"/>
    <n v="2"/>
    <m/>
    <n v="1"/>
    <n v="2"/>
    <n v="3"/>
    <n v="4"/>
    <n v="1"/>
    <n v="6"/>
    <n v="86"/>
  </r>
  <r>
    <x v="4"/>
    <x v="2"/>
    <n v="72"/>
    <n v="3"/>
    <n v="4"/>
    <n v="1"/>
    <n v="7"/>
    <m/>
    <n v="1"/>
    <n v="1"/>
    <m/>
    <m/>
    <m/>
    <n v="2"/>
    <m/>
    <n v="2"/>
    <n v="51"/>
  </r>
  <r>
    <x v="5"/>
    <x v="2"/>
    <n v="153"/>
    <n v="6"/>
    <n v="9"/>
    <n v="5"/>
    <n v="6"/>
    <n v="1"/>
    <m/>
    <n v="1"/>
    <n v="3"/>
    <n v="8"/>
    <n v="1"/>
    <n v="4"/>
    <n v="2"/>
    <n v="3"/>
    <n v="104"/>
  </r>
  <r>
    <x v="6"/>
    <x v="2"/>
    <n v="274"/>
    <n v="17"/>
    <n v="10"/>
    <m/>
    <n v="6"/>
    <n v="2"/>
    <n v="1"/>
    <n v="4"/>
    <n v="3"/>
    <n v="3"/>
    <n v="5"/>
    <n v="6"/>
    <m/>
    <n v="3"/>
    <n v="214"/>
  </r>
  <r>
    <x v="7"/>
    <x v="2"/>
    <n v="120"/>
    <n v="1"/>
    <n v="9"/>
    <n v="1"/>
    <n v="3"/>
    <n v="1"/>
    <m/>
    <n v="10"/>
    <n v="4"/>
    <n v="1"/>
    <n v="1"/>
    <n v="1"/>
    <m/>
    <n v="1"/>
    <n v="87"/>
  </r>
  <r>
    <x v="8"/>
    <x v="2"/>
    <n v="101"/>
    <n v="6"/>
    <n v="6"/>
    <m/>
    <n v="1"/>
    <m/>
    <m/>
    <n v="5"/>
    <n v="3"/>
    <n v="1"/>
    <n v="5"/>
    <n v="3"/>
    <n v="1"/>
    <n v="3"/>
    <n v="67"/>
  </r>
  <r>
    <x v="9"/>
    <x v="2"/>
    <n v="114"/>
    <n v="5"/>
    <n v="7"/>
    <n v="3"/>
    <n v="5"/>
    <m/>
    <n v="2"/>
    <m/>
    <n v="1"/>
    <n v="2"/>
    <n v="3"/>
    <n v="8"/>
    <n v="2"/>
    <m/>
    <n v="76"/>
  </r>
  <r>
    <x v="10"/>
    <x v="2"/>
    <n v="107"/>
    <n v="2"/>
    <n v="5"/>
    <m/>
    <n v="3"/>
    <n v="2"/>
    <m/>
    <m/>
    <n v="2"/>
    <n v="2"/>
    <n v="3"/>
    <n v="3"/>
    <n v="1"/>
    <m/>
    <n v="84"/>
  </r>
  <r>
    <x v="11"/>
    <x v="2"/>
    <n v="762"/>
    <n v="56"/>
    <n v="18"/>
    <m/>
    <n v="6"/>
    <m/>
    <n v="17"/>
    <n v="17"/>
    <n v="11"/>
    <n v="30"/>
    <n v="23"/>
    <n v="23"/>
    <n v="24"/>
    <n v="14"/>
    <n v="523"/>
  </r>
  <r>
    <x v="12"/>
    <x v="2"/>
    <n v="218"/>
    <n v="6"/>
    <n v="15"/>
    <n v="3"/>
    <n v="13"/>
    <m/>
    <n v="1"/>
    <n v="33"/>
    <n v="4"/>
    <n v="3"/>
    <n v="7"/>
    <n v="2"/>
    <n v="6"/>
    <n v="3"/>
    <n v="122"/>
  </r>
  <r>
    <x v="13"/>
    <x v="2"/>
    <n v="458"/>
    <n v="22"/>
    <n v="35"/>
    <n v="5"/>
    <n v="14"/>
    <n v="3"/>
    <n v="8"/>
    <n v="1"/>
    <n v="8"/>
    <n v="8"/>
    <n v="8"/>
    <n v="17"/>
    <n v="8"/>
    <n v="19"/>
    <n v="302"/>
  </r>
  <r>
    <x v="14"/>
    <x v="2"/>
    <n v="1329"/>
    <n v="79"/>
    <n v="39"/>
    <m/>
    <n v="18"/>
    <n v="8"/>
    <n v="31"/>
    <n v="18"/>
    <n v="17"/>
    <n v="20"/>
    <n v="38"/>
    <n v="28"/>
    <n v="28"/>
    <n v="43"/>
    <n v="962"/>
  </r>
  <r>
    <x v="15"/>
    <x v="2"/>
    <n v="241"/>
    <n v="13"/>
    <n v="17"/>
    <n v="1"/>
    <n v="9"/>
    <n v="1"/>
    <n v="1"/>
    <n v="1"/>
    <n v="5"/>
    <n v="11"/>
    <n v="5"/>
    <n v="3"/>
    <n v="8"/>
    <n v="13"/>
    <n v="153"/>
  </r>
  <r>
    <x v="16"/>
    <x v="2"/>
    <n v="136"/>
    <n v="3"/>
    <n v="5"/>
    <n v="2"/>
    <n v="3"/>
    <m/>
    <m/>
    <n v="1"/>
    <n v="4"/>
    <n v="3"/>
    <n v="6"/>
    <n v="1"/>
    <n v="1"/>
    <n v="4"/>
    <n v="103"/>
  </r>
  <r>
    <x v="17"/>
    <x v="2"/>
    <n v="107"/>
    <n v="12"/>
    <n v="6"/>
    <n v="2"/>
    <n v="1"/>
    <m/>
    <n v="1"/>
    <m/>
    <n v="1"/>
    <n v="3"/>
    <n v="2"/>
    <n v="3"/>
    <n v="1"/>
    <n v="5"/>
    <n v="70"/>
  </r>
  <r>
    <x v="18"/>
    <x v="2"/>
    <n v="75"/>
    <n v="1"/>
    <n v="10"/>
    <n v="4"/>
    <n v="4"/>
    <m/>
    <n v="1"/>
    <m/>
    <n v="1"/>
    <n v="6"/>
    <n v="3"/>
    <n v="1"/>
    <n v="1"/>
    <n v="4"/>
    <n v="39"/>
  </r>
  <r>
    <x v="19"/>
    <x v="2"/>
    <n v="25"/>
    <m/>
    <m/>
    <m/>
    <n v="3"/>
    <m/>
    <m/>
    <m/>
    <m/>
    <n v="3"/>
    <m/>
    <n v="1"/>
    <m/>
    <n v="1"/>
    <n v="17"/>
  </r>
  <r>
    <x v="20"/>
    <x v="2"/>
    <n v="214"/>
    <n v="19"/>
    <n v="10"/>
    <m/>
    <n v="6"/>
    <m/>
    <n v="1"/>
    <m/>
    <n v="2"/>
    <n v="1"/>
    <n v="5"/>
    <n v="4"/>
    <n v="2"/>
    <n v="2"/>
    <n v="162"/>
  </r>
  <r>
    <x v="21"/>
    <x v="2"/>
    <n v="434"/>
    <n v="13"/>
    <n v="33"/>
    <n v="2"/>
    <n v="20"/>
    <n v="4"/>
    <n v="10"/>
    <n v="7"/>
    <n v="9"/>
    <n v="7"/>
    <n v="10"/>
    <n v="3"/>
    <n v="5"/>
    <n v="4"/>
    <n v="307"/>
  </r>
  <r>
    <x v="22"/>
    <x v="2"/>
    <n v="9"/>
    <m/>
    <m/>
    <m/>
    <n v="2"/>
    <m/>
    <m/>
    <m/>
    <m/>
    <m/>
    <m/>
    <m/>
    <m/>
    <m/>
    <n v="7"/>
  </r>
  <r>
    <x v="23"/>
    <x v="2"/>
    <n v="173"/>
    <n v="7"/>
    <n v="5"/>
    <n v="7"/>
    <n v="5"/>
    <n v="2"/>
    <n v="1"/>
    <n v="9"/>
    <n v="3"/>
    <n v="3"/>
    <n v="8"/>
    <n v="2"/>
    <n v="1"/>
    <n v="4"/>
    <n v="116"/>
  </r>
  <r>
    <x v="24"/>
    <x v="2"/>
    <n v="293"/>
    <n v="11"/>
    <n v="12"/>
    <m/>
    <n v="6"/>
    <n v="1"/>
    <n v="2"/>
    <n v="1"/>
    <n v="7"/>
    <n v="3"/>
    <n v="6"/>
    <n v="9"/>
    <n v="9"/>
    <n v="3"/>
    <n v="223"/>
  </r>
  <r>
    <x v="25"/>
    <x v="2"/>
    <n v="135"/>
    <n v="8"/>
    <n v="4"/>
    <n v="4"/>
    <n v="6"/>
    <m/>
    <n v="1"/>
    <m/>
    <n v="3"/>
    <m/>
    <n v="3"/>
    <n v="5"/>
    <m/>
    <n v="1"/>
    <n v="100"/>
  </r>
  <r>
    <x v="26"/>
    <x v="2"/>
    <n v="20"/>
    <n v="1"/>
    <n v="1"/>
    <m/>
    <m/>
    <m/>
    <m/>
    <n v="1"/>
    <n v="1"/>
    <n v="1"/>
    <m/>
    <n v="2"/>
    <m/>
    <m/>
    <n v="13"/>
  </r>
  <r>
    <x v="27"/>
    <x v="2"/>
    <n v="149"/>
    <n v="3"/>
    <n v="11"/>
    <m/>
    <n v="7"/>
    <n v="2"/>
    <n v="2"/>
    <m/>
    <n v="3"/>
    <n v="2"/>
    <n v="8"/>
    <n v="3"/>
    <n v="1"/>
    <n v="2"/>
    <n v="105"/>
  </r>
  <r>
    <x v="28"/>
    <x v="2"/>
    <n v="392"/>
    <n v="12"/>
    <n v="32"/>
    <n v="2"/>
    <n v="17"/>
    <n v="2"/>
    <n v="6"/>
    <m/>
    <n v="2"/>
    <n v="1"/>
    <n v="18"/>
    <n v="6"/>
    <n v="2"/>
    <n v="14"/>
    <n v="278"/>
  </r>
  <r>
    <x v="29"/>
    <x v="2"/>
    <n v="131"/>
    <n v="9"/>
    <n v="7"/>
    <n v="2"/>
    <n v="2"/>
    <m/>
    <m/>
    <n v="9"/>
    <n v="4"/>
    <n v="5"/>
    <n v="1"/>
    <n v="2"/>
    <m/>
    <n v="4"/>
    <n v="86"/>
  </r>
  <r>
    <x v="30"/>
    <x v="2"/>
    <n v="205"/>
    <n v="16"/>
    <n v="4"/>
    <m/>
    <n v="6"/>
    <m/>
    <n v="2"/>
    <n v="1"/>
    <n v="3"/>
    <n v="6"/>
    <n v="5"/>
    <n v="2"/>
    <m/>
    <n v="2"/>
    <n v="158"/>
  </r>
  <r>
    <x v="31"/>
    <x v="2"/>
    <n v="243"/>
    <n v="6"/>
    <n v="10"/>
    <n v="2"/>
    <n v="15"/>
    <n v="1"/>
    <n v="1"/>
    <n v="9"/>
    <n v="5"/>
    <n v="3"/>
    <n v="6"/>
    <n v="7"/>
    <n v="6"/>
    <n v="3"/>
    <n v="169"/>
  </r>
</pivotCacheRecords>
</file>

<file path=xl/pivotCache/pivotCacheRecords12.xml><?xml version="1.0" encoding="utf-8"?>
<pivotCacheRecords xmlns="http://schemas.openxmlformats.org/spreadsheetml/2006/main" xmlns:r="http://schemas.openxmlformats.org/officeDocument/2006/relationships" count="96">
  <r>
    <x v="0"/>
    <s v="yes"/>
    <x v="0"/>
    <n v="98"/>
    <n v="230350"/>
    <n v="14"/>
    <m/>
    <n v="1"/>
    <n v="2"/>
    <n v="1"/>
    <m/>
    <n v="30"/>
    <n v="8"/>
    <n v="29"/>
    <n v="13"/>
  </r>
  <r>
    <x v="0"/>
    <s v="yes"/>
    <x v="1"/>
    <n v="129"/>
    <n v="261960"/>
    <n v="5"/>
    <n v="14"/>
    <n v="16"/>
    <n v="1"/>
    <n v="2"/>
    <n v="1"/>
    <n v="41"/>
    <n v="5"/>
    <n v="38"/>
    <n v="6"/>
  </r>
  <r>
    <x v="0"/>
    <s v="yes"/>
    <x v="2"/>
    <n v="44"/>
    <n v="116900"/>
    <n v="4"/>
    <n v="5"/>
    <n v="1"/>
    <n v="1"/>
    <m/>
    <n v="1"/>
    <n v="13"/>
    <n v="3"/>
    <n v="15"/>
    <n v="1"/>
  </r>
  <r>
    <x v="0"/>
    <s v="yes"/>
    <x v="3"/>
    <n v="35"/>
    <n v="86890"/>
    <n v="6"/>
    <n v="4"/>
    <m/>
    <m/>
    <n v="4"/>
    <m/>
    <n v="9"/>
    <n v="2"/>
    <n v="9"/>
    <n v="1"/>
  </r>
  <r>
    <x v="0"/>
    <s v="yes"/>
    <x v="4"/>
    <n v="14"/>
    <n v="51360"/>
    <n v="4"/>
    <n v="1"/>
    <n v="2"/>
    <n v="3"/>
    <m/>
    <m/>
    <n v="3"/>
    <m/>
    <n v="1"/>
    <m/>
  </r>
  <r>
    <x v="0"/>
    <s v="yes"/>
    <x v="5"/>
    <n v="90"/>
    <n v="149670"/>
    <n v="15"/>
    <n v="3"/>
    <n v="3"/>
    <n v="1"/>
    <m/>
    <n v="1"/>
    <n v="34"/>
    <n v="3"/>
    <n v="28"/>
    <n v="2"/>
  </r>
  <r>
    <x v="0"/>
    <s v="yes"/>
    <x v="6"/>
    <n v="49"/>
    <n v="148210"/>
    <n v="6"/>
    <m/>
    <n v="2"/>
    <n v="1"/>
    <m/>
    <m/>
    <n v="16"/>
    <n v="5"/>
    <n v="14"/>
    <n v="5"/>
  </r>
  <r>
    <x v="0"/>
    <s v="yes"/>
    <x v="7"/>
    <n v="61"/>
    <n v="122060"/>
    <n v="8"/>
    <n v="3"/>
    <n v="3"/>
    <n v="5"/>
    <m/>
    <m/>
    <n v="19"/>
    <n v="7"/>
    <n v="15"/>
    <n v="1"/>
  </r>
  <r>
    <x v="0"/>
    <s v="yes"/>
    <x v="8"/>
    <n v="41"/>
    <n v="106960"/>
    <n v="4"/>
    <n v="1"/>
    <n v="1"/>
    <n v="4"/>
    <m/>
    <m/>
    <n v="16"/>
    <n v="11"/>
    <n v="4"/>
    <m/>
  </r>
  <r>
    <x v="0"/>
    <s v="yes"/>
    <x v="9"/>
    <n v="77"/>
    <n v="103050"/>
    <n v="4"/>
    <n v="4"/>
    <n v="10"/>
    <n v="6"/>
    <n v="3"/>
    <m/>
    <n v="29"/>
    <n v="4"/>
    <n v="14"/>
    <n v="3"/>
  </r>
  <r>
    <x v="0"/>
    <s v="yes"/>
    <x v="10"/>
    <n v="27"/>
    <n v="92940"/>
    <n v="5"/>
    <n v="1"/>
    <n v="1"/>
    <n v="4"/>
    <m/>
    <m/>
    <n v="10"/>
    <m/>
    <n v="6"/>
    <m/>
  </r>
  <r>
    <x v="0"/>
    <s v="yes"/>
    <x v="11"/>
    <n v="302"/>
    <n v="498810"/>
    <n v="61"/>
    <n v="9"/>
    <n v="2"/>
    <n v="24"/>
    <n v="3"/>
    <m/>
    <n v="75"/>
    <n v="28"/>
    <n v="47"/>
    <n v="53"/>
  </r>
  <r>
    <x v="0"/>
    <s v="yes"/>
    <x v="12"/>
    <n v="102"/>
    <n v="158460"/>
    <n v="9"/>
    <n v="2"/>
    <n v="6"/>
    <n v="26"/>
    <n v="1"/>
    <n v="3"/>
    <n v="33"/>
    <n v="4"/>
    <n v="17"/>
    <n v="1"/>
  </r>
  <r>
    <x v="0"/>
    <s v="yes"/>
    <x v="13"/>
    <n v="165"/>
    <n v="368080"/>
    <n v="17"/>
    <n v="8"/>
    <n v="10"/>
    <n v="9"/>
    <n v="4"/>
    <m/>
    <n v="62"/>
    <n v="13"/>
    <n v="41"/>
    <n v="1"/>
  </r>
  <r>
    <x v="0"/>
    <s v="yes"/>
    <x v="14"/>
    <n v="370"/>
    <n v="606340"/>
    <n v="52"/>
    <n v="18"/>
    <n v="2"/>
    <n v="3"/>
    <n v="1"/>
    <n v="3"/>
    <n v="182"/>
    <n v="38"/>
    <n v="63"/>
    <n v="8"/>
  </r>
  <r>
    <x v="0"/>
    <s v="yes"/>
    <x v="15"/>
    <n v="143"/>
    <n v="234110"/>
    <n v="9"/>
    <n v="17"/>
    <n v="22"/>
    <n v="7"/>
    <n v="1"/>
    <m/>
    <n v="43"/>
    <n v="3"/>
    <n v="38"/>
    <n v="3"/>
  </r>
  <r>
    <x v="0"/>
    <s v="yes"/>
    <x v="16"/>
    <n v="49"/>
    <n v="79500"/>
    <n v="9"/>
    <n v="4"/>
    <m/>
    <n v="1"/>
    <n v="3"/>
    <m/>
    <n v="23"/>
    <n v="4"/>
    <n v="5"/>
    <m/>
  </r>
  <r>
    <x v="0"/>
    <s v="yes"/>
    <x v="17"/>
    <n v="69"/>
    <n v="87390"/>
    <n v="11"/>
    <n v="1"/>
    <n v="9"/>
    <n v="19"/>
    <m/>
    <m/>
    <n v="13"/>
    <n v="5"/>
    <n v="9"/>
    <n v="2"/>
  </r>
  <r>
    <x v="0"/>
    <s v="yes"/>
    <x v="18"/>
    <n v="39"/>
    <n v="95510"/>
    <n v="4"/>
    <n v="2"/>
    <n v="3"/>
    <n v="1"/>
    <n v="1"/>
    <m/>
    <n v="12"/>
    <n v="1"/>
    <n v="15"/>
    <m/>
  </r>
  <r>
    <x v="0"/>
    <s v="yes"/>
    <x v="19"/>
    <n v="14"/>
    <n v="27070"/>
    <n v="1"/>
    <n v="2"/>
    <m/>
    <n v="1"/>
    <m/>
    <n v="1"/>
    <n v="6"/>
    <m/>
    <n v="2"/>
    <n v="1"/>
  </r>
  <r>
    <x v="0"/>
    <s v="yes"/>
    <x v="20"/>
    <n v="45"/>
    <n v="136130"/>
    <n v="1"/>
    <n v="6"/>
    <n v="1"/>
    <n v="3"/>
    <m/>
    <m/>
    <n v="19"/>
    <n v="3"/>
    <n v="11"/>
    <n v="1"/>
  </r>
  <r>
    <x v="0"/>
    <s v="yes"/>
    <x v="21"/>
    <n v="179"/>
    <n v="338260"/>
    <n v="18"/>
    <n v="7"/>
    <n v="3"/>
    <n v="5"/>
    <m/>
    <m/>
    <n v="72"/>
    <n v="28"/>
    <n v="40"/>
    <n v="6"/>
  </r>
  <r>
    <x v="0"/>
    <s v="yes"/>
    <x v="22"/>
    <n v="17"/>
    <n v="21670"/>
    <n v="1"/>
    <n v="2"/>
    <m/>
    <m/>
    <n v="3"/>
    <m/>
    <n v="6"/>
    <m/>
    <n v="5"/>
    <m/>
  </r>
  <r>
    <x v="0"/>
    <s v="yes"/>
    <x v="23"/>
    <n v="73"/>
    <n v="149930"/>
    <n v="4"/>
    <n v="12"/>
    <n v="4"/>
    <n v="2"/>
    <m/>
    <n v="1"/>
    <n v="25"/>
    <n v="1"/>
    <n v="24"/>
    <m/>
  </r>
  <r>
    <x v="0"/>
    <s v="yes"/>
    <x v="24"/>
    <n v="75"/>
    <n v="174560"/>
    <n v="7"/>
    <n v="5"/>
    <m/>
    <n v="6"/>
    <n v="1"/>
    <m/>
    <n v="28"/>
    <n v="9"/>
    <n v="19"/>
    <m/>
  </r>
  <r>
    <x v="0"/>
    <s v="yes"/>
    <x v="25"/>
    <n v="69"/>
    <n v="114030"/>
    <n v="7"/>
    <n v="8"/>
    <n v="4"/>
    <n v="18"/>
    <m/>
    <m/>
    <n v="13"/>
    <n v="1"/>
    <n v="15"/>
    <n v="3"/>
  </r>
  <r>
    <x v="0"/>
    <s v="yes"/>
    <x v="26"/>
    <n v="14"/>
    <n v="23200"/>
    <n v="2"/>
    <n v="4"/>
    <m/>
    <m/>
    <m/>
    <n v="1"/>
    <n v="5"/>
    <m/>
    <n v="2"/>
    <m/>
  </r>
  <r>
    <x v="0"/>
    <s v="yes"/>
    <x v="27"/>
    <n v="34"/>
    <n v="112400"/>
    <n v="2"/>
    <n v="2"/>
    <m/>
    <m/>
    <m/>
    <m/>
    <n v="13"/>
    <n v="6"/>
    <n v="11"/>
    <m/>
  </r>
  <r>
    <x v="0"/>
    <s v="yes"/>
    <x v="28"/>
    <n v="146"/>
    <n v="316230"/>
    <n v="9"/>
    <n v="6"/>
    <n v="1"/>
    <n v="7"/>
    <m/>
    <m/>
    <n v="71"/>
    <n v="11"/>
    <n v="37"/>
    <n v="4"/>
  </r>
  <r>
    <x v="0"/>
    <s v="yes"/>
    <x v="29"/>
    <n v="52"/>
    <n v="92830"/>
    <n v="7"/>
    <n v="1"/>
    <n v="6"/>
    <n v="4"/>
    <m/>
    <m/>
    <n v="17"/>
    <n v="2"/>
    <n v="15"/>
    <m/>
  </r>
  <r>
    <x v="0"/>
    <s v="yes"/>
    <x v="30"/>
    <n v="55"/>
    <n v="89590"/>
    <n v="10"/>
    <n v="1"/>
    <m/>
    <n v="1"/>
    <n v="3"/>
    <m/>
    <n v="28"/>
    <n v="4"/>
    <n v="8"/>
    <m/>
  </r>
  <r>
    <x v="0"/>
    <s v="yes"/>
    <x v="31"/>
    <n v="162"/>
    <n v="178550"/>
    <n v="13"/>
    <n v="2"/>
    <n v="5"/>
    <n v="62"/>
    <m/>
    <n v="2"/>
    <n v="43"/>
    <n v="8"/>
    <n v="22"/>
    <n v="5"/>
  </r>
  <r>
    <x v="1"/>
    <s v="yes"/>
    <x v="0"/>
    <n v="106"/>
    <n v="229840"/>
    <n v="9"/>
    <n v="5"/>
    <n v="2"/>
    <n v="4"/>
    <n v="2"/>
    <m/>
    <n v="33"/>
    <n v="14"/>
    <n v="17"/>
    <n v="20"/>
  </r>
  <r>
    <x v="1"/>
    <s v="yes"/>
    <x v="1"/>
    <n v="127"/>
    <n v="262190"/>
    <n v="10"/>
    <n v="12"/>
    <n v="10"/>
    <n v="4"/>
    <n v="2"/>
    <m/>
    <n v="32"/>
    <n v="10"/>
    <n v="38"/>
    <n v="9"/>
  </r>
  <r>
    <x v="1"/>
    <s v="yes"/>
    <x v="2"/>
    <n v="60"/>
    <n v="116520"/>
    <n v="3"/>
    <n v="3"/>
    <n v="5"/>
    <n v="1"/>
    <n v="1"/>
    <m/>
    <n v="21"/>
    <n v="7"/>
    <n v="17"/>
    <n v="2"/>
  </r>
  <r>
    <x v="1"/>
    <s v="yes"/>
    <x v="3"/>
    <n v="39"/>
    <n v="87130"/>
    <n v="5"/>
    <n v="3"/>
    <n v="3"/>
    <n v="1"/>
    <n v="1"/>
    <m/>
    <n v="16"/>
    <n v="2"/>
    <n v="8"/>
    <m/>
  </r>
  <r>
    <x v="1"/>
    <s v="yes"/>
    <x v="4"/>
    <n v="17"/>
    <n v="51350"/>
    <n v="1"/>
    <m/>
    <n v="1"/>
    <n v="2"/>
    <m/>
    <m/>
    <n v="7"/>
    <n v="2"/>
    <n v="4"/>
    <m/>
  </r>
  <r>
    <x v="1"/>
    <s v="yes"/>
    <x v="5"/>
    <n v="74"/>
    <n v="149520"/>
    <n v="11"/>
    <n v="2"/>
    <n v="5"/>
    <m/>
    <n v="2"/>
    <m/>
    <n v="23"/>
    <n v="10"/>
    <n v="21"/>
    <m/>
  </r>
  <r>
    <x v="1"/>
    <s v="yes"/>
    <x v="6"/>
    <n v="58"/>
    <n v="148270"/>
    <n v="9"/>
    <n v="2"/>
    <n v="2"/>
    <n v="5"/>
    <n v="1"/>
    <m/>
    <n v="24"/>
    <n v="4"/>
    <n v="8"/>
    <n v="3"/>
  </r>
  <r>
    <x v="1"/>
    <s v="yes"/>
    <x v="7"/>
    <n v="54"/>
    <n v="122200"/>
    <n v="4"/>
    <n v="3"/>
    <m/>
    <n v="1"/>
    <m/>
    <m/>
    <n v="25"/>
    <n v="9"/>
    <n v="11"/>
    <n v="1"/>
  </r>
  <r>
    <x v="1"/>
    <s v="yes"/>
    <x v="8"/>
    <n v="48"/>
    <n v="107540"/>
    <n v="2"/>
    <n v="2"/>
    <n v="1"/>
    <n v="5"/>
    <m/>
    <m/>
    <n v="19"/>
    <n v="8"/>
    <n v="9"/>
    <n v="2"/>
  </r>
  <r>
    <x v="1"/>
    <s v="yes"/>
    <x v="9"/>
    <n v="52"/>
    <n v="104090"/>
    <n v="6"/>
    <n v="4"/>
    <n v="7"/>
    <n v="7"/>
    <m/>
    <n v="1"/>
    <n v="17"/>
    <n v="4"/>
    <n v="5"/>
    <n v="1"/>
  </r>
  <r>
    <x v="1"/>
    <s v="yes"/>
    <x v="10"/>
    <n v="24"/>
    <n v="93810"/>
    <n v="4"/>
    <n v="2"/>
    <n v="1"/>
    <n v="1"/>
    <m/>
    <m/>
    <n v="9"/>
    <n v="4"/>
    <n v="3"/>
    <m/>
  </r>
  <r>
    <x v="1"/>
    <s v="yes"/>
    <x v="11"/>
    <n v="331"/>
    <n v="507170"/>
    <n v="73"/>
    <n v="9"/>
    <n v="4"/>
    <n v="25"/>
    <n v="4"/>
    <n v="3"/>
    <n v="77"/>
    <n v="37"/>
    <n v="48"/>
    <n v="51"/>
  </r>
  <r>
    <x v="1"/>
    <s v="yes"/>
    <x v="12"/>
    <n v="99"/>
    <n v="159380"/>
    <n v="5"/>
    <n v="2"/>
    <n v="5"/>
    <n v="37"/>
    <m/>
    <m/>
    <n v="24"/>
    <n v="9"/>
    <n v="15"/>
    <n v="2"/>
  </r>
  <r>
    <x v="1"/>
    <s v="yes"/>
    <x v="13"/>
    <n v="214"/>
    <n v="370330"/>
    <n v="37"/>
    <n v="4"/>
    <n v="15"/>
    <n v="51"/>
    <n v="3"/>
    <n v="1"/>
    <n v="51"/>
    <n v="12"/>
    <n v="37"/>
    <n v="3"/>
  </r>
  <r>
    <x v="1"/>
    <s v="yes"/>
    <x v="14"/>
    <n v="384"/>
    <n v="615070"/>
    <n v="35"/>
    <n v="24"/>
    <m/>
    <n v="5"/>
    <m/>
    <n v="1"/>
    <n v="189"/>
    <n v="57"/>
    <n v="63"/>
    <n v="10"/>
  </r>
  <r>
    <x v="1"/>
    <s v="yes"/>
    <x v="15"/>
    <n v="125"/>
    <n v="234770"/>
    <n v="9"/>
    <n v="10"/>
    <n v="13"/>
    <m/>
    <n v="2"/>
    <n v="2"/>
    <n v="42"/>
    <n v="6"/>
    <n v="39"/>
    <n v="2"/>
  </r>
  <r>
    <x v="1"/>
    <s v="yes"/>
    <x v="16"/>
    <n v="52"/>
    <n v="79160"/>
    <n v="4"/>
    <n v="3"/>
    <n v="2"/>
    <m/>
    <m/>
    <m/>
    <n v="28"/>
    <n v="6"/>
    <n v="8"/>
    <n v="1"/>
  </r>
  <r>
    <x v="1"/>
    <s v="yes"/>
    <x v="17"/>
    <n v="95"/>
    <n v="88610"/>
    <n v="11"/>
    <n v="3"/>
    <n v="8"/>
    <n v="28"/>
    <m/>
    <m/>
    <n v="20"/>
    <n v="7"/>
    <n v="11"/>
    <n v="7"/>
  </r>
  <r>
    <x v="1"/>
    <s v="yes"/>
    <x v="18"/>
    <n v="44"/>
    <n v="96070"/>
    <n v="2"/>
    <n v="1"/>
    <n v="4"/>
    <n v="1"/>
    <m/>
    <m/>
    <n v="18"/>
    <n v="3"/>
    <n v="15"/>
    <m/>
  </r>
  <r>
    <x v="1"/>
    <s v="yes"/>
    <x v="19"/>
    <n v="8"/>
    <n v="26900"/>
    <m/>
    <n v="5"/>
    <m/>
    <n v="1"/>
    <n v="1"/>
    <m/>
    <m/>
    <m/>
    <n v="1"/>
    <m/>
  </r>
  <r>
    <x v="1"/>
    <s v="yes"/>
    <x v="20"/>
    <n v="59"/>
    <n v="135890"/>
    <n v="13"/>
    <n v="8"/>
    <m/>
    <n v="5"/>
    <n v="1"/>
    <m/>
    <n v="24"/>
    <n v="2"/>
    <n v="5"/>
    <n v="1"/>
  </r>
  <r>
    <x v="1"/>
    <s v="yes"/>
    <x v="21"/>
    <n v="222"/>
    <n v="339390"/>
    <n v="18"/>
    <n v="9"/>
    <n v="5"/>
    <n v="9"/>
    <n v="2"/>
    <n v="2"/>
    <n v="87"/>
    <n v="38"/>
    <n v="46"/>
    <n v="6"/>
  </r>
  <r>
    <x v="1"/>
    <s v="yes"/>
    <x v="22"/>
    <n v="11"/>
    <n v="21850"/>
    <n v="1"/>
    <n v="2"/>
    <m/>
    <m/>
    <m/>
    <m/>
    <n v="4"/>
    <n v="1"/>
    <n v="3"/>
    <m/>
  </r>
  <r>
    <x v="1"/>
    <s v="yes"/>
    <x v="23"/>
    <n v="72"/>
    <n v="150680"/>
    <n v="7"/>
    <n v="5"/>
    <n v="6"/>
    <n v="4"/>
    <n v="1"/>
    <m/>
    <n v="27"/>
    <n v="1"/>
    <n v="20"/>
    <n v="1"/>
  </r>
  <r>
    <x v="1"/>
    <s v="yes"/>
    <x v="24"/>
    <n v="102"/>
    <n v="175930"/>
    <n v="13"/>
    <n v="1"/>
    <n v="1"/>
    <n v="12"/>
    <m/>
    <m/>
    <n v="37"/>
    <n v="15"/>
    <n v="23"/>
    <m/>
  </r>
  <r>
    <x v="1"/>
    <s v="yes"/>
    <x v="25"/>
    <n v="62"/>
    <n v="114530"/>
    <n v="10"/>
    <n v="5"/>
    <n v="4"/>
    <n v="6"/>
    <n v="1"/>
    <m/>
    <n v="16"/>
    <n v="1"/>
    <n v="17"/>
    <n v="2"/>
  </r>
  <r>
    <x v="1"/>
    <s v="yes"/>
    <x v="26"/>
    <n v="9"/>
    <n v="23200"/>
    <n v="2"/>
    <n v="4"/>
    <m/>
    <m/>
    <m/>
    <m/>
    <n v="2"/>
    <m/>
    <n v="1"/>
    <m/>
  </r>
  <r>
    <x v="1"/>
    <s v="yes"/>
    <x v="27"/>
    <n v="47"/>
    <n v="112470"/>
    <n v="5"/>
    <n v="8"/>
    <m/>
    <n v="3"/>
    <n v="1"/>
    <m/>
    <n v="12"/>
    <n v="5"/>
    <n v="13"/>
    <m/>
  </r>
  <r>
    <x v="1"/>
    <s v="yes"/>
    <x v="28"/>
    <n v="196"/>
    <n v="317100"/>
    <n v="10"/>
    <n v="5"/>
    <n v="2"/>
    <n v="11"/>
    <m/>
    <n v="2"/>
    <n v="80"/>
    <n v="25"/>
    <n v="55"/>
    <n v="6"/>
  </r>
  <r>
    <x v="1"/>
    <s v="yes"/>
    <x v="29"/>
    <n v="74"/>
    <n v="93750"/>
    <n v="8"/>
    <n v="6"/>
    <n v="7"/>
    <n v="8"/>
    <n v="1"/>
    <m/>
    <n v="19"/>
    <n v="5"/>
    <n v="17"/>
    <n v="3"/>
  </r>
  <r>
    <x v="1"/>
    <s v="yes"/>
    <x v="30"/>
    <n v="73"/>
    <n v="89860"/>
    <n v="13"/>
    <n v="3"/>
    <m/>
    <n v="5"/>
    <n v="2"/>
    <m/>
    <n v="40"/>
    <n v="5"/>
    <n v="4"/>
    <n v="1"/>
  </r>
  <r>
    <x v="1"/>
    <s v="yes"/>
    <x v="31"/>
    <n v="139"/>
    <n v="180130"/>
    <n v="25"/>
    <n v="4"/>
    <n v="2"/>
    <n v="37"/>
    <m/>
    <m/>
    <n v="41"/>
    <n v="9"/>
    <n v="18"/>
    <n v="3"/>
  </r>
  <r>
    <x v="2"/>
    <s v="yes"/>
    <x v="0"/>
    <n v="80"/>
    <n v="228800"/>
    <n v="8"/>
    <n v="5"/>
    <n v="1"/>
    <n v="2"/>
    <m/>
    <m/>
    <n v="29"/>
    <n v="11"/>
    <n v="17"/>
    <n v="7"/>
  </r>
  <r>
    <x v="2"/>
    <s v="yes"/>
    <x v="1"/>
    <n v="119"/>
    <n v="261800"/>
    <n v="11"/>
    <n v="19"/>
    <n v="9"/>
    <m/>
    <n v="2"/>
    <m/>
    <n v="37"/>
    <n v="4"/>
    <n v="37"/>
    <m/>
  </r>
  <r>
    <x v="2"/>
    <s v="yes"/>
    <x v="2"/>
    <n v="48"/>
    <n v="116280"/>
    <n v="7"/>
    <n v="3"/>
    <n v="4"/>
    <n v="4"/>
    <m/>
    <m/>
    <n v="11"/>
    <n v="3"/>
    <n v="16"/>
    <m/>
  </r>
  <r>
    <x v="2"/>
    <s v="yes"/>
    <x v="3"/>
    <n v="48"/>
    <n v="86810"/>
    <n v="4"/>
    <n v="5"/>
    <m/>
    <n v="2"/>
    <n v="4"/>
    <m/>
    <n v="20"/>
    <n v="4"/>
    <n v="9"/>
    <m/>
  </r>
  <r>
    <x v="2"/>
    <s v="yes"/>
    <x v="4"/>
    <n v="21"/>
    <n v="51450"/>
    <m/>
    <m/>
    <n v="4"/>
    <n v="7"/>
    <m/>
    <m/>
    <n v="5"/>
    <n v="2"/>
    <n v="2"/>
    <n v="1"/>
  </r>
  <r>
    <x v="2"/>
    <s v="yes"/>
    <x v="5"/>
    <n v="83"/>
    <n v="149200"/>
    <n v="12"/>
    <n v="4"/>
    <n v="2"/>
    <n v="5"/>
    <m/>
    <m/>
    <n v="29"/>
    <n v="3"/>
    <n v="27"/>
    <n v="1"/>
  </r>
  <r>
    <x v="2"/>
    <s v="yes"/>
    <x v="6"/>
    <n v="70"/>
    <n v="148710"/>
    <n v="17"/>
    <n v="2"/>
    <m/>
    <n v="5"/>
    <m/>
    <m/>
    <n v="25"/>
    <n v="7"/>
    <n v="10"/>
    <n v="4"/>
  </r>
  <r>
    <x v="2"/>
    <s v="yes"/>
    <x v="7"/>
    <n v="60"/>
    <n v="121940"/>
    <n v="4"/>
    <n v="2"/>
    <n v="1"/>
    <n v="4"/>
    <m/>
    <m/>
    <n v="33"/>
    <n v="4"/>
    <n v="11"/>
    <n v="1"/>
  </r>
  <r>
    <x v="2"/>
    <s v="yes"/>
    <x v="8"/>
    <n v="57"/>
    <n v="108130"/>
    <n v="5"/>
    <m/>
    <m/>
    <n v="5"/>
    <m/>
    <m/>
    <n v="25"/>
    <n v="13"/>
    <n v="7"/>
    <n v="2"/>
  </r>
  <r>
    <x v="2"/>
    <s v="yes"/>
    <x v="9"/>
    <n v="75"/>
    <n v="104840"/>
    <n v="15"/>
    <n v="3"/>
    <n v="7"/>
    <n v="19"/>
    <n v="1"/>
    <m/>
    <n v="12"/>
    <n v="3"/>
    <n v="12"/>
    <n v="3"/>
  </r>
  <r>
    <x v="2"/>
    <s v="yes"/>
    <x v="10"/>
    <n v="23"/>
    <n v="94760"/>
    <n v="1"/>
    <n v="2"/>
    <m/>
    <n v="1"/>
    <m/>
    <m/>
    <n v="11"/>
    <n v="4"/>
    <n v="4"/>
    <m/>
  </r>
  <r>
    <x v="2"/>
    <s v="yes"/>
    <x v="11"/>
    <n v="276"/>
    <n v="513210"/>
    <n v="49"/>
    <n v="6"/>
    <n v="6"/>
    <n v="30"/>
    <n v="2"/>
    <n v="1"/>
    <n v="76"/>
    <n v="20"/>
    <n v="36"/>
    <n v="50"/>
  </r>
  <r>
    <x v="2"/>
    <s v="yes"/>
    <x v="12"/>
    <n v="125"/>
    <n v="160130"/>
    <n v="16"/>
    <n v="2"/>
    <n v="6"/>
    <n v="48"/>
    <m/>
    <n v="1"/>
    <n v="22"/>
    <n v="5"/>
    <n v="20"/>
    <n v="5"/>
  </r>
  <r>
    <x v="2"/>
    <s v="yes"/>
    <x v="13"/>
    <n v="203"/>
    <n v="371410"/>
    <n v="24"/>
    <n v="14"/>
    <n v="11"/>
    <n v="58"/>
    <n v="3"/>
    <m/>
    <n v="54"/>
    <n v="10"/>
    <n v="25"/>
    <n v="4"/>
  </r>
  <r>
    <x v="2"/>
    <s v="yes"/>
    <x v="14"/>
    <n v="380"/>
    <n v="621020"/>
    <n v="42"/>
    <n v="22"/>
    <m/>
    <n v="11"/>
    <n v="3"/>
    <n v="2"/>
    <n v="174"/>
    <n v="47"/>
    <n v="73"/>
    <n v="6"/>
  </r>
  <r>
    <x v="2"/>
    <s v="yes"/>
    <x v="15"/>
    <n v="119"/>
    <n v="235180"/>
    <n v="7"/>
    <n v="15"/>
    <n v="16"/>
    <n v="6"/>
    <n v="3"/>
    <m/>
    <n v="30"/>
    <n v="9"/>
    <n v="31"/>
    <n v="2"/>
  </r>
  <r>
    <x v="2"/>
    <s v="yes"/>
    <x v="16"/>
    <n v="53"/>
    <n v="78760"/>
    <n v="6"/>
    <n v="3"/>
    <n v="1"/>
    <m/>
    <n v="1"/>
    <m/>
    <n v="21"/>
    <n v="8"/>
    <n v="12"/>
    <n v="1"/>
  </r>
  <r>
    <x v="2"/>
    <s v="yes"/>
    <x v="17"/>
    <n v="104"/>
    <n v="90090"/>
    <n v="13"/>
    <m/>
    <n v="7"/>
    <n v="41"/>
    <m/>
    <m/>
    <n v="20"/>
    <n v="4"/>
    <n v="15"/>
    <n v="4"/>
  </r>
  <r>
    <x v="2"/>
    <s v="yes"/>
    <x v="18"/>
    <n v="39"/>
    <n v="95780"/>
    <n v="5"/>
    <n v="4"/>
    <n v="3"/>
    <n v="1"/>
    <n v="1"/>
    <n v="1"/>
    <n v="10"/>
    <n v="4"/>
    <n v="9"/>
    <n v="1"/>
  </r>
  <r>
    <x v="2"/>
    <s v="yes"/>
    <x v="19"/>
    <n v="14"/>
    <n v="26950"/>
    <m/>
    <n v="4"/>
    <n v="1"/>
    <m/>
    <m/>
    <m/>
    <n v="5"/>
    <n v="1"/>
    <n v="3"/>
    <m/>
  </r>
  <r>
    <x v="2"/>
    <s v="yes"/>
    <x v="20"/>
    <n v="58"/>
    <n v="135790"/>
    <n v="6"/>
    <n v="3"/>
    <n v="2"/>
    <n v="5"/>
    <n v="1"/>
    <m/>
    <n v="27"/>
    <n v="3"/>
    <n v="9"/>
    <n v="2"/>
  </r>
  <r>
    <x v="2"/>
    <s v="yes"/>
    <x v="21"/>
    <n v="223"/>
    <n v="339960"/>
    <n v="12"/>
    <n v="8"/>
    <m/>
    <n v="10"/>
    <n v="2"/>
    <n v="1"/>
    <n v="100"/>
    <n v="27"/>
    <n v="53"/>
    <n v="10"/>
  </r>
  <r>
    <x v="2"/>
    <s v="yes"/>
    <x v="22"/>
    <n v="6"/>
    <n v="22000"/>
    <m/>
    <n v="1"/>
    <m/>
    <m/>
    <m/>
    <m/>
    <n v="1"/>
    <m/>
    <n v="4"/>
    <m/>
  </r>
  <r>
    <x v="2"/>
    <s v="yes"/>
    <x v="23"/>
    <n v="61"/>
    <n v="151100"/>
    <n v="4"/>
    <n v="3"/>
    <n v="2"/>
    <n v="9"/>
    <m/>
    <m/>
    <n v="20"/>
    <n v="2"/>
    <n v="21"/>
    <m/>
  </r>
  <r>
    <x v="2"/>
    <s v="yes"/>
    <x v="24"/>
    <n v="103"/>
    <n v="176830"/>
    <n v="12"/>
    <n v="6"/>
    <n v="2"/>
    <n v="12"/>
    <m/>
    <m/>
    <n v="47"/>
    <n v="11"/>
    <n v="12"/>
    <n v="1"/>
  </r>
  <r>
    <x v="2"/>
    <s v="yes"/>
    <x v="25"/>
    <n v="69"/>
    <n v="115020"/>
    <n v="3"/>
    <n v="3"/>
    <n v="2"/>
    <n v="37"/>
    <m/>
    <n v="1"/>
    <n v="13"/>
    <n v="3"/>
    <n v="6"/>
    <n v="1"/>
  </r>
  <r>
    <x v="2"/>
    <s v="yes"/>
    <x v="26"/>
    <n v="13"/>
    <n v="23080"/>
    <m/>
    <n v="7"/>
    <m/>
    <m/>
    <n v="1"/>
    <m/>
    <n v="3"/>
    <m/>
    <n v="2"/>
    <m/>
  </r>
  <r>
    <x v="2"/>
    <s v="yes"/>
    <x v="27"/>
    <n v="55"/>
    <n v="112680"/>
    <n v="4"/>
    <n v="5"/>
    <n v="2"/>
    <n v="3"/>
    <n v="1"/>
    <m/>
    <n v="22"/>
    <n v="4"/>
    <n v="14"/>
    <m/>
  </r>
  <r>
    <x v="2"/>
    <s v="yes"/>
    <x v="28"/>
    <n v="191"/>
    <n v="318170"/>
    <n v="21"/>
    <n v="4"/>
    <n v="4"/>
    <n v="10"/>
    <n v="1"/>
    <n v="1"/>
    <n v="81"/>
    <n v="22"/>
    <n v="42"/>
    <n v="5"/>
  </r>
  <r>
    <x v="2"/>
    <s v="yes"/>
    <x v="29"/>
    <n v="44"/>
    <n v="94000"/>
    <n v="5"/>
    <n v="2"/>
    <n v="2"/>
    <n v="7"/>
    <n v="1"/>
    <m/>
    <n v="18"/>
    <n v="3"/>
    <n v="5"/>
    <n v="1"/>
  </r>
  <r>
    <x v="2"/>
    <s v="yes"/>
    <x v="30"/>
    <n v="64"/>
    <n v="89610"/>
    <n v="5"/>
    <n v="2"/>
    <n v="3"/>
    <m/>
    <n v="1"/>
    <m/>
    <n v="41"/>
    <m/>
    <n v="11"/>
    <n v="1"/>
  </r>
  <r>
    <x v="2"/>
    <s v="yes"/>
    <x v="31"/>
    <n v="179"/>
    <n v="181310"/>
    <n v="15"/>
    <n v="6"/>
    <n v="2"/>
    <n v="79"/>
    <m/>
    <m/>
    <n v="45"/>
    <n v="11"/>
    <n v="16"/>
    <n v="5"/>
  </r>
</pivotCacheRecords>
</file>

<file path=xl/pivotCache/pivotCacheRecords13.xml><?xml version="1.0" encoding="utf-8"?>
<pivotCacheRecords xmlns="http://schemas.openxmlformats.org/spreadsheetml/2006/main" xmlns:r="http://schemas.openxmlformats.org/officeDocument/2006/relationships" count="96">
  <r>
    <x v="0"/>
    <x v="0"/>
    <n v="441"/>
    <n v="230350"/>
    <n v="22"/>
    <n v="75"/>
    <m/>
    <n v="9"/>
    <n v="2"/>
    <m/>
    <n v="194"/>
    <n v="20"/>
    <n v="119"/>
  </r>
  <r>
    <x v="1"/>
    <x v="0"/>
    <n v="184"/>
    <n v="261960"/>
    <n v="8"/>
    <n v="59"/>
    <n v="4"/>
    <n v="13"/>
    <n v="3"/>
    <n v="1"/>
    <n v="16"/>
    <n v="7"/>
    <n v="73"/>
  </r>
  <r>
    <x v="2"/>
    <x v="0"/>
    <n v="147"/>
    <n v="116900"/>
    <n v="5"/>
    <n v="70"/>
    <n v="2"/>
    <n v="6"/>
    <n v="1"/>
    <n v="19"/>
    <n v="27"/>
    <n v="5"/>
    <n v="12"/>
  </r>
  <r>
    <x v="3"/>
    <x v="0"/>
    <n v="68"/>
    <n v="86890"/>
    <n v="3"/>
    <n v="26"/>
    <m/>
    <n v="5"/>
    <n v="2"/>
    <n v="12"/>
    <n v="10"/>
    <n v="3"/>
    <n v="7"/>
  </r>
  <r>
    <x v="4"/>
    <x v="0"/>
    <n v="102"/>
    <n v="51360"/>
    <n v="3"/>
    <n v="31"/>
    <n v="2"/>
    <n v="2"/>
    <m/>
    <n v="12"/>
    <n v="22"/>
    <n v="6"/>
    <n v="24"/>
  </r>
  <r>
    <x v="5"/>
    <x v="0"/>
    <n v="155"/>
    <n v="149670"/>
    <n v="8"/>
    <n v="64"/>
    <m/>
    <n v="11"/>
    <n v="3"/>
    <n v="8"/>
    <n v="24"/>
    <n v="5"/>
    <n v="32"/>
  </r>
  <r>
    <x v="6"/>
    <x v="0"/>
    <n v="680"/>
    <n v="148210"/>
    <n v="28"/>
    <n v="211"/>
    <n v="5"/>
    <n v="15"/>
    <n v="3"/>
    <n v="74"/>
    <n v="212"/>
    <n v="35"/>
    <n v="97"/>
  </r>
  <r>
    <x v="7"/>
    <x v="0"/>
    <n v="616"/>
    <n v="122060"/>
    <n v="12"/>
    <n v="216"/>
    <n v="3"/>
    <n v="12"/>
    <n v="4"/>
    <n v="65"/>
    <n v="124"/>
    <n v="34"/>
    <n v="146"/>
  </r>
  <r>
    <x v="8"/>
    <x v="0"/>
    <n v="171"/>
    <n v="106960"/>
    <n v="4"/>
    <n v="56"/>
    <n v="3"/>
    <n v="5"/>
    <n v="1"/>
    <n v="31"/>
    <n v="21"/>
    <n v="7"/>
    <n v="43"/>
  </r>
  <r>
    <x v="9"/>
    <x v="0"/>
    <n v="195"/>
    <n v="103050"/>
    <n v="4"/>
    <n v="69"/>
    <n v="8"/>
    <n v="6"/>
    <n v="1"/>
    <n v="41"/>
    <n v="34"/>
    <n v="5"/>
    <n v="27"/>
  </r>
  <r>
    <x v="10"/>
    <x v="0"/>
    <n v="147"/>
    <n v="92940"/>
    <n v="6"/>
    <n v="41"/>
    <n v="1"/>
    <n v="10"/>
    <m/>
    <n v="27"/>
    <n v="26"/>
    <n v="8"/>
    <n v="28"/>
  </r>
  <r>
    <x v="11"/>
    <x v="0"/>
    <n v="1893"/>
    <n v="498810"/>
    <n v="22"/>
    <n v="419"/>
    <n v="1"/>
    <n v="34"/>
    <n v="2"/>
    <n v="310"/>
    <n v="726"/>
    <n v="143"/>
    <n v="236"/>
  </r>
  <r>
    <x v="12"/>
    <x v="0"/>
    <n v="343"/>
    <n v="158460"/>
    <n v="6"/>
    <n v="143"/>
    <n v="5"/>
    <n v="8"/>
    <n v="1"/>
    <n v="62"/>
    <n v="64"/>
    <n v="6"/>
    <n v="48"/>
  </r>
  <r>
    <x v="13"/>
    <x v="0"/>
    <n v="740"/>
    <n v="368080"/>
    <n v="17"/>
    <n v="270"/>
    <n v="2"/>
    <n v="25"/>
    <n v="6"/>
    <n v="65"/>
    <n v="119"/>
    <n v="16"/>
    <n v="220"/>
  </r>
  <r>
    <x v="14"/>
    <x v="0"/>
    <n v="2436"/>
    <n v="606340"/>
    <n v="72"/>
    <n v="499"/>
    <n v="3"/>
    <n v="45"/>
    <n v="9"/>
    <n v="301"/>
    <n v="793"/>
    <n v="76"/>
    <n v="638"/>
  </r>
  <r>
    <x v="15"/>
    <x v="0"/>
    <n v="342"/>
    <n v="234110"/>
    <n v="9"/>
    <n v="214"/>
    <n v="2"/>
    <n v="12"/>
    <n v="1"/>
    <n v="24"/>
    <n v="46"/>
    <n v="2"/>
    <n v="32"/>
  </r>
  <r>
    <x v="16"/>
    <x v="0"/>
    <n v="405"/>
    <n v="79500"/>
    <n v="16"/>
    <n v="161"/>
    <m/>
    <n v="8"/>
    <m/>
    <n v="50"/>
    <n v="66"/>
    <n v="19"/>
    <n v="85"/>
  </r>
  <r>
    <x v="17"/>
    <x v="0"/>
    <n v="301"/>
    <n v="87390"/>
    <n v="4"/>
    <n v="112"/>
    <n v="6"/>
    <n v="6"/>
    <m/>
    <n v="49"/>
    <n v="53"/>
    <n v="18"/>
    <n v="53"/>
  </r>
  <r>
    <x v="18"/>
    <x v="0"/>
    <n v="95"/>
    <n v="95510"/>
    <n v="3"/>
    <n v="46"/>
    <n v="1"/>
    <m/>
    <n v="1"/>
    <n v="2"/>
    <n v="12"/>
    <m/>
    <n v="30"/>
  </r>
  <r>
    <x v="19"/>
    <x v="0"/>
    <n v="30"/>
    <n v="27070"/>
    <m/>
    <n v="26"/>
    <m/>
    <m/>
    <m/>
    <n v="1"/>
    <m/>
    <n v="2"/>
    <n v="1"/>
  </r>
  <r>
    <x v="20"/>
    <x v="0"/>
    <n v="507"/>
    <n v="136130"/>
    <n v="11"/>
    <n v="180"/>
    <n v="1"/>
    <n v="10"/>
    <m/>
    <n v="98"/>
    <n v="106"/>
    <n v="18"/>
    <n v="83"/>
  </r>
  <r>
    <x v="21"/>
    <x v="0"/>
    <n v="1540"/>
    <n v="338260"/>
    <n v="17"/>
    <n v="514"/>
    <n v="6"/>
    <n v="28"/>
    <n v="4"/>
    <n v="211"/>
    <n v="267"/>
    <n v="49"/>
    <n v="444"/>
  </r>
  <r>
    <x v="22"/>
    <x v="0"/>
    <n v="13"/>
    <n v="21670"/>
    <n v="4"/>
    <n v="3"/>
    <m/>
    <n v="2"/>
    <m/>
    <n v="1"/>
    <n v="1"/>
    <n v="1"/>
    <n v="1"/>
  </r>
  <r>
    <x v="23"/>
    <x v="0"/>
    <n v="144"/>
    <n v="149930"/>
    <n v="5"/>
    <n v="62"/>
    <n v="4"/>
    <n v="3"/>
    <n v="2"/>
    <n v="21"/>
    <n v="24"/>
    <n v="7"/>
    <n v="16"/>
  </r>
  <r>
    <x v="24"/>
    <x v="0"/>
    <n v="566"/>
    <n v="174560"/>
    <n v="15"/>
    <n v="147"/>
    <n v="1"/>
    <n v="9"/>
    <n v="3"/>
    <n v="99"/>
    <n v="139"/>
    <n v="28"/>
    <n v="125"/>
  </r>
  <r>
    <x v="25"/>
    <x v="0"/>
    <n v="92"/>
    <n v="114030"/>
    <n v="2"/>
    <n v="36"/>
    <n v="1"/>
    <n v="5"/>
    <m/>
    <n v="11"/>
    <n v="11"/>
    <n v="4"/>
    <n v="22"/>
  </r>
  <r>
    <x v="26"/>
    <x v="0"/>
    <n v="11"/>
    <n v="23200"/>
    <n v="1"/>
    <n v="4"/>
    <m/>
    <m/>
    <m/>
    <n v="3"/>
    <n v="2"/>
    <n v="1"/>
    <m/>
  </r>
  <r>
    <x v="27"/>
    <x v="0"/>
    <n v="211"/>
    <n v="112400"/>
    <n v="5"/>
    <n v="70"/>
    <n v="2"/>
    <m/>
    <m/>
    <n v="23"/>
    <n v="57"/>
    <n v="10"/>
    <n v="44"/>
  </r>
  <r>
    <x v="28"/>
    <x v="0"/>
    <n v="906"/>
    <n v="316230"/>
    <n v="17"/>
    <n v="269"/>
    <m/>
    <n v="18"/>
    <n v="11"/>
    <n v="85"/>
    <n v="177"/>
    <n v="27"/>
    <n v="302"/>
  </r>
  <r>
    <x v="29"/>
    <x v="0"/>
    <n v="209"/>
    <n v="92830"/>
    <n v="4"/>
    <n v="92"/>
    <n v="3"/>
    <n v="7"/>
    <m/>
    <n v="26"/>
    <n v="37"/>
    <n v="5"/>
    <n v="35"/>
  </r>
  <r>
    <x v="30"/>
    <x v="0"/>
    <n v="312"/>
    <n v="89590"/>
    <n v="13"/>
    <n v="114"/>
    <n v="2"/>
    <n v="4"/>
    <n v="1"/>
    <n v="34"/>
    <n v="55"/>
    <n v="1"/>
    <n v="88"/>
  </r>
  <r>
    <x v="31"/>
    <x v="0"/>
    <n v="730"/>
    <n v="178550"/>
    <n v="22"/>
    <n v="267"/>
    <n v="3"/>
    <n v="16"/>
    <n v="4"/>
    <n v="128"/>
    <n v="206"/>
    <n v="20"/>
    <n v="64"/>
  </r>
  <r>
    <x v="0"/>
    <x v="1"/>
    <n v="315"/>
    <n v="229840"/>
    <n v="11"/>
    <n v="69"/>
    <m/>
    <n v="11"/>
    <m/>
    <n v="7"/>
    <n v="117"/>
    <n v="17"/>
    <n v="83"/>
  </r>
  <r>
    <x v="1"/>
    <x v="1"/>
    <n v="264"/>
    <n v="262190"/>
    <n v="4"/>
    <n v="106"/>
    <n v="1"/>
    <n v="9"/>
    <n v="2"/>
    <n v="17"/>
    <n v="39"/>
    <n v="13"/>
    <n v="73"/>
  </r>
  <r>
    <x v="2"/>
    <x v="1"/>
    <n v="126"/>
    <n v="116520"/>
    <n v="5"/>
    <n v="50"/>
    <n v="3"/>
    <n v="4"/>
    <n v="1"/>
    <n v="18"/>
    <n v="23"/>
    <n v="4"/>
    <n v="18"/>
  </r>
  <r>
    <x v="3"/>
    <x v="1"/>
    <n v="122"/>
    <n v="87130"/>
    <n v="5"/>
    <n v="64"/>
    <n v="2"/>
    <n v="2"/>
    <n v="3"/>
    <n v="18"/>
    <n v="20"/>
    <n v="1"/>
    <n v="7"/>
  </r>
  <r>
    <x v="4"/>
    <x v="1"/>
    <n v="84"/>
    <n v="51350"/>
    <n v="3"/>
    <n v="25"/>
    <m/>
    <n v="6"/>
    <n v="1"/>
    <n v="11"/>
    <n v="19"/>
    <m/>
    <n v="19"/>
  </r>
  <r>
    <x v="5"/>
    <x v="1"/>
    <n v="169"/>
    <n v="149520"/>
    <n v="4"/>
    <n v="58"/>
    <m/>
    <n v="6"/>
    <n v="1"/>
    <n v="19"/>
    <n v="36"/>
    <n v="9"/>
    <n v="36"/>
  </r>
  <r>
    <x v="6"/>
    <x v="1"/>
    <n v="818"/>
    <n v="148270"/>
    <n v="15"/>
    <n v="272"/>
    <n v="2"/>
    <n v="26"/>
    <m/>
    <n v="79"/>
    <n v="301"/>
    <n v="40"/>
    <n v="83"/>
  </r>
  <r>
    <x v="7"/>
    <x v="1"/>
    <n v="640"/>
    <n v="122200"/>
    <n v="10"/>
    <n v="199"/>
    <n v="6"/>
    <n v="9"/>
    <n v="1"/>
    <n v="69"/>
    <n v="165"/>
    <n v="23"/>
    <n v="158"/>
  </r>
  <r>
    <x v="8"/>
    <x v="1"/>
    <n v="180"/>
    <n v="107540"/>
    <n v="7"/>
    <n v="54"/>
    <m/>
    <n v="4"/>
    <n v="2"/>
    <n v="20"/>
    <n v="44"/>
    <n v="4"/>
    <n v="45"/>
  </r>
  <r>
    <x v="9"/>
    <x v="1"/>
    <n v="255"/>
    <n v="104090"/>
    <n v="3"/>
    <n v="79"/>
    <n v="4"/>
    <n v="8"/>
    <m/>
    <n v="54"/>
    <n v="43"/>
    <n v="14"/>
    <n v="50"/>
  </r>
  <r>
    <x v="10"/>
    <x v="1"/>
    <n v="152"/>
    <n v="93810"/>
    <n v="7"/>
    <n v="57"/>
    <n v="2"/>
    <n v="8"/>
    <m/>
    <n v="23"/>
    <n v="19"/>
    <n v="3"/>
    <n v="33"/>
  </r>
  <r>
    <x v="11"/>
    <x v="1"/>
    <n v="1874"/>
    <n v="507170"/>
    <n v="9"/>
    <n v="387"/>
    <m/>
    <n v="46"/>
    <n v="3"/>
    <n v="324"/>
    <n v="710"/>
    <n v="120"/>
    <n v="275"/>
  </r>
  <r>
    <x v="12"/>
    <x v="1"/>
    <n v="412"/>
    <n v="159380"/>
    <n v="7"/>
    <n v="179"/>
    <m/>
    <n v="6"/>
    <m/>
    <n v="58"/>
    <n v="79"/>
    <n v="20"/>
    <n v="63"/>
  </r>
  <r>
    <x v="13"/>
    <x v="1"/>
    <n v="737"/>
    <n v="370330"/>
    <n v="17"/>
    <n v="287"/>
    <n v="5"/>
    <n v="23"/>
    <n v="2"/>
    <n v="84"/>
    <n v="116"/>
    <n v="22"/>
    <n v="181"/>
  </r>
  <r>
    <x v="14"/>
    <x v="1"/>
    <n v="2559"/>
    <n v="615070"/>
    <n v="41"/>
    <n v="488"/>
    <n v="3"/>
    <n v="33"/>
    <n v="7"/>
    <n v="306"/>
    <n v="892"/>
    <n v="70"/>
    <n v="719"/>
  </r>
  <r>
    <x v="15"/>
    <x v="1"/>
    <n v="360"/>
    <n v="234770"/>
    <n v="11"/>
    <n v="242"/>
    <n v="4"/>
    <n v="2"/>
    <n v="2"/>
    <n v="27"/>
    <n v="40"/>
    <n v="8"/>
    <n v="24"/>
  </r>
  <r>
    <x v="16"/>
    <x v="1"/>
    <n v="569"/>
    <n v="79160"/>
    <n v="13"/>
    <n v="281"/>
    <m/>
    <n v="7"/>
    <n v="3"/>
    <n v="57"/>
    <n v="101"/>
    <n v="11"/>
    <n v="96"/>
  </r>
  <r>
    <x v="17"/>
    <x v="1"/>
    <n v="371"/>
    <n v="88610"/>
    <n v="5"/>
    <n v="106"/>
    <n v="8"/>
    <n v="19"/>
    <n v="1"/>
    <n v="69"/>
    <n v="62"/>
    <n v="22"/>
    <n v="79"/>
  </r>
  <r>
    <x v="18"/>
    <x v="1"/>
    <n v="127"/>
    <n v="96070"/>
    <n v="5"/>
    <n v="66"/>
    <n v="1"/>
    <n v="6"/>
    <n v="3"/>
    <n v="6"/>
    <n v="12"/>
    <n v="3"/>
    <n v="25"/>
  </r>
  <r>
    <x v="19"/>
    <x v="1"/>
    <n v="52"/>
    <n v="26900"/>
    <n v="1"/>
    <n v="44"/>
    <n v="1"/>
    <m/>
    <m/>
    <m/>
    <n v="1"/>
    <m/>
    <n v="5"/>
  </r>
  <r>
    <x v="20"/>
    <x v="1"/>
    <n v="621"/>
    <n v="135890"/>
    <n v="16"/>
    <n v="203"/>
    <n v="3"/>
    <n v="14"/>
    <n v="2"/>
    <n v="108"/>
    <n v="103"/>
    <n v="19"/>
    <n v="153"/>
  </r>
  <r>
    <x v="21"/>
    <x v="1"/>
    <n v="1484"/>
    <n v="339390"/>
    <n v="14"/>
    <n v="479"/>
    <n v="2"/>
    <n v="20"/>
    <n v="3"/>
    <n v="216"/>
    <n v="208"/>
    <n v="47"/>
    <n v="495"/>
  </r>
  <r>
    <x v="22"/>
    <x v="1"/>
    <n v="10"/>
    <n v="21850"/>
    <m/>
    <n v="5"/>
    <m/>
    <n v="1"/>
    <m/>
    <n v="1"/>
    <n v="2"/>
    <m/>
    <n v="1"/>
  </r>
  <r>
    <x v="23"/>
    <x v="1"/>
    <n v="143"/>
    <n v="150680"/>
    <n v="3"/>
    <n v="70"/>
    <m/>
    <n v="9"/>
    <n v="3"/>
    <n v="14"/>
    <n v="23"/>
    <n v="4"/>
    <n v="17"/>
  </r>
  <r>
    <x v="24"/>
    <x v="1"/>
    <n v="693"/>
    <n v="175930"/>
    <n v="30"/>
    <n v="205"/>
    <n v="3"/>
    <n v="13"/>
    <n v="7"/>
    <n v="110"/>
    <n v="142"/>
    <n v="12"/>
    <n v="171"/>
  </r>
  <r>
    <x v="25"/>
    <x v="1"/>
    <n v="102"/>
    <n v="114530"/>
    <n v="3"/>
    <n v="43"/>
    <n v="2"/>
    <n v="8"/>
    <m/>
    <n v="14"/>
    <n v="6"/>
    <n v="8"/>
    <n v="18"/>
  </r>
  <r>
    <x v="26"/>
    <x v="1"/>
    <n v="5"/>
    <n v="23200"/>
    <m/>
    <n v="3"/>
    <m/>
    <n v="1"/>
    <m/>
    <m/>
    <m/>
    <n v="1"/>
    <m/>
  </r>
  <r>
    <x v="27"/>
    <x v="1"/>
    <n v="231"/>
    <n v="112470"/>
    <n v="1"/>
    <n v="58"/>
    <n v="2"/>
    <n v="5"/>
    <n v="3"/>
    <n v="38"/>
    <n v="71"/>
    <n v="8"/>
    <n v="45"/>
  </r>
  <r>
    <x v="28"/>
    <x v="1"/>
    <n v="891"/>
    <n v="317100"/>
    <n v="16"/>
    <n v="241"/>
    <n v="3"/>
    <n v="20"/>
    <n v="6"/>
    <n v="82"/>
    <n v="213"/>
    <n v="22"/>
    <n v="288"/>
  </r>
  <r>
    <x v="29"/>
    <x v="1"/>
    <n v="185"/>
    <n v="93750"/>
    <n v="3"/>
    <n v="94"/>
    <m/>
    <n v="4"/>
    <n v="1"/>
    <n v="24"/>
    <n v="25"/>
    <n v="8"/>
    <n v="26"/>
  </r>
  <r>
    <x v="30"/>
    <x v="1"/>
    <n v="425"/>
    <n v="89860"/>
    <n v="18"/>
    <n v="138"/>
    <n v="2"/>
    <n v="8"/>
    <n v="1"/>
    <n v="47"/>
    <n v="95"/>
    <n v="4"/>
    <n v="112"/>
  </r>
  <r>
    <x v="31"/>
    <x v="1"/>
    <n v="681"/>
    <n v="180130"/>
    <n v="17"/>
    <n v="271"/>
    <n v="1"/>
    <n v="15"/>
    <n v="4"/>
    <n v="101"/>
    <n v="176"/>
    <n v="19"/>
    <n v="77"/>
  </r>
  <r>
    <x v="0"/>
    <x v="2"/>
    <n v="342"/>
    <n v="228800"/>
    <n v="4"/>
    <n v="107"/>
    <m/>
    <n v="13"/>
    <n v="1"/>
    <n v="11"/>
    <n v="126"/>
    <n v="14"/>
    <n v="66"/>
  </r>
  <r>
    <x v="1"/>
    <x v="2"/>
    <n v="214"/>
    <n v="261800"/>
    <n v="8"/>
    <n v="106"/>
    <n v="1"/>
    <n v="5"/>
    <n v="1"/>
    <n v="17"/>
    <n v="26"/>
    <n v="6"/>
    <n v="44"/>
  </r>
  <r>
    <x v="2"/>
    <x v="2"/>
    <n v="181"/>
    <n v="116280"/>
    <n v="8"/>
    <n v="74"/>
    <n v="3"/>
    <n v="5"/>
    <m/>
    <n v="27"/>
    <n v="34"/>
    <n v="5"/>
    <n v="25"/>
  </r>
  <r>
    <x v="3"/>
    <x v="2"/>
    <n v="81"/>
    <n v="86810"/>
    <n v="6"/>
    <n v="42"/>
    <n v="1"/>
    <n v="5"/>
    <n v="3"/>
    <n v="4"/>
    <n v="14"/>
    <n v="2"/>
    <n v="4"/>
  </r>
  <r>
    <x v="4"/>
    <x v="2"/>
    <n v="109"/>
    <n v="51450"/>
    <n v="5"/>
    <n v="56"/>
    <n v="2"/>
    <n v="3"/>
    <m/>
    <n v="14"/>
    <n v="9"/>
    <n v="1"/>
    <n v="19"/>
  </r>
  <r>
    <x v="5"/>
    <x v="2"/>
    <n v="178"/>
    <n v="149200"/>
    <n v="4"/>
    <n v="74"/>
    <n v="2"/>
    <n v="5"/>
    <n v="1"/>
    <n v="24"/>
    <n v="27"/>
    <n v="3"/>
    <n v="38"/>
  </r>
  <r>
    <x v="6"/>
    <x v="2"/>
    <n v="773"/>
    <n v="148710"/>
    <n v="13"/>
    <n v="270"/>
    <n v="1"/>
    <n v="19"/>
    <n v="3"/>
    <n v="78"/>
    <n v="262"/>
    <n v="53"/>
    <n v="74"/>
  </r>
  <r>
    <x v="7"/>
    <x v="2"/>
    <n v="592"/>
    <n v="121940"/>
    <n v="10"/>
    <n v="224"/>
    <n v="1"/>
    <n v="17"/>
    <n v="3"/>
    <n v="65"/>
    <n v="132"/>
    <n v="15"/>
    <n v="125"/>
  </r>
  <r>
    <x v="8"/>
    <x v="2"/>
    <n v="175"/>
    <n v="108130"/>
    <n v="4"/>
    <n v="58"/>
    <n v="2"/>
    <n v="5"/>
    <m/>
    <n v="16"/>
    <n v="39"/>
    <n v="11"/>
    <n v="40"/>
  </r>
  <r>
    <x v="9"/>
    <x v="2"/>
    <n v="243"/>
    <n v="104840"/>
    <n v="2"/>
    <n v="118"/>
    <n v="2"/>
    <n v="5"/>
    <n v="1"/>
    <n v="53"/>
    <n v="25"/>
    <n v="13"/>
    <n v="24"/>
  </r>
  <r>
    <x v="10"/>
    <x v="2"/>
    <n v="165"/>
    <n v="94760"/>
    <n v="6"/>
    <n v="37"/>
    <n v="1"/>
    <n v="8"/>
    <m/>
    <n v="24"/>
    <n v="40"/>
    <n v="6"/>
    <n v="43"/>
  </r>
  <r>
    <x v="11"/>
    <x v="2"/>
    <n v="1786"/>
    <n v="513210"/>
    <n v="17"/>
    <n v="452"/>
    <m/>
    <n v="41"/>
    <n v="3"/>
    <n v="303"/>
    <n v="610"/>
    <n v="122"/>
    <n v="238"/>
  </r>
  <r>
    <x v="12"/>
    <x v="2"/>
    <n v="428"/>
    <n v="160130"/>
    <n v="18"/>
    <n v="221"/>
    <n v="3"/>
    <n v="11"/>
    <n v="2"/>
    <n v="47"/>
    <n v="57"/>
    <n v="14"/>
    <n v="55"/>
  </r>
  <r>
    <x v="13"/>
    <x v="2"/>
    <n v="944"/>
    <n v="371410"/>
    <n v="31"/>
    <n v="345"/>
    <n v="11"/>
    <n v="38"/>
    <n v="7"/>
    <n v="132"/>
    <n v="133"/>
    <n v="24"/>
    <n v="223"/>
  </r>
  <r>
    <x v="14"/>
    <x v="2"/>
    <n v="2350"/>
    <n v="621020"/>
    <n v="49"/>
    <n v="419"/>
    <n v="7"/>
    <n v="55"/>
    <n v="4"/>
    <n v="287"/>
    <n v="829"/>
    <n v="71"/>
    <n v="629"/>
  </r>
  <r>
    <x v="15"/>
    <x v="2"/>
    <n v="471"/>
    <n v="235180"/>
    <n v="11"/>
    <n v="321"/>
    <n v="2"/>
    <n v="10"/>
    <n v="6"/>
    <n v="36"/>
    <n v="48"/>
    <n v="8"/>
    <n v="29"/>
  </r>
  <r>
    <x v="16"/>
    <x v="2"/>
    <n v="348"/>
    <n v="78760"/>
    <n v="5"/>
    <n v="197"/>
    <n v="1"/>
    <n v="3"/>
    <n v="1"/>
    <n v="29"/>
    <n v="42"/>
    <n v="2"/>
    <n v="68"/>
  </r>
  <r>
    <x v="17"/>
    <x v="2"/>
    <n v="390"/>
    <n v="90090"/>
    <n v="6"/>
    <n v="171"/>
    <n v="5"/>
    <n v="11"/>
    <n v="1"/>
    <n v="84"/>
    <n v="46"/>
    <n v="13"/>
    <n v="53"/>
  </r>
  <r>
    <x v="18"/>
    <x v="2"/>
    <n v="83"/>
    <n v="95780"/>
    <n v="5"/>
    <n v="48"/>
    <n v="1"/>
    <n v="4"/>
    <m/>
    <n v="9"/>
    <n v="9"/>
    <m/>
    <n v="7"/>
  </r>
  <r>
    <x v="19"/>
    <x v="2"/>
    <n v="65"/>
    <n v="26950"/>
    <m/>
    <n v="61"/>
    <m/>
    <n v="1"/>
    <m/>
    <n v="1"/>
    <n v="1"/>
    <m/>
    <n v="1"/>
  </r>
  <r>
    <x v="20"/>
    <x v="2"/>
    <n v="569"/>
    <n v="135790"/>
    <n v="16"/>
    <n v="218"/>
    <n v="3"/>
    <n v="7"/>
    <n v="1"/>
    <n v="124"/>
    <n v="89"/>
    <n v="11"/>
    <n v="100"/>
  </r>
  <r>
    <x v="21"/>
    <x v="2"/>
    <n v="1206"/>
    <n v="339960"/>
    <n v="22"/>
    <n v="364"/>
    <n v="4"/>
    <n v="43"/>
    <n v="7"/>
    <n v="168"/>
    <n v="188"/>
    <n v="27"/>
    <n v="383"/>
  </r>
  <r>
    <x v="22"/>
    <x v="2"/>
    <n v="9"/>
    <n v="22000"/>
    <m/>
    <n v="4"/>
    <m/>
    <m/>
    <n v="1"/>
    <n v="2"/>
    <n v="2"/>
    <m/>
    <m/>
  </r>
  <r>
    <x v="23"/>
    <x v="2"/>
    <n v="177"/>
    <n v="151100"/>
    <n v="5"/>
    <n v="75"/>
    <m/>
    <n v="10"/>
    <n v="1"/>
    <n v="18"/>
    <n v="27"/>
    <n v="4"/>
    <n v="37"/>
  </r>
  <r>
    <x v="24"/>
    <x v="2"/>
    <n v="503"/>
    <n v="176830"/>
    <n v="12"/>
    <n v="135"/>
    <n v="2"/>
    <n v="22"/>
    <n v="1"/>
    <n v="73"/>
    <n v="114"/>
    <n v="13"/>
    <n v="131"/>
  </r>
  <r>
    <x v="25"/>
    <x v="2"/>
    <n v="133"/>
    <n v="115020"/>
    <n v="3"/>
    <n v="57"/>
    <n v="3"/>
    <n v="6"/>
    <m/>
    <n v="30"/>
    <n v="18"/>
    <n v="3"/>
    <n v="13"/>
  </r>
  <r>
    <x v="26"/>
    <x v="2"/>
    <n v="11"/>
    <n v="23080"/>
    <n v="1"/>
    <n v="7"/>
    <m/>
    <n v="1"/>
    <m/>
    <m/>
    <m/>
    <n v="1"/>
    <n v="1"/>
  </r>
  <r>
    <x v="27"/>
    <x v="2"/>
    <n v="250"/>
    <n v="112680"/>
    <n v="4"/>
    <n v="107"/>
    <n v="1"/>
    <n v="5"/>
    <n v="2"/>
    <n v="46"/>
    <n v="54"/>
    <n v="2"/>
    <n v="29"/>
  </r>
  <r>
    <x v="28"/>
    <x v="2"/>
    <n v="796"/>
    <n v="318170"/>
    <n v="20"/>
    <n v="209"/>
    <n v="6"/>
    <n v="13"/>
    <n v="4"/>
    <n v="73"/>
    <n v="187"/>
    <n v="28"/>
    <n v="256"/>
  </r>
  <r>
    <x v="29"/>
    <x v="2"/>
    <n v="167"/>
    <n v="94000"/>
    <n v="2"/>
    <n v="79"/>
    <n v="1"/>
    <n v="7"/>
    <m/>
    <n v="17"/>
    <n v="34"/>
    <n v="4"/>
    <n v="23"/>
  </r>
  <r>
    <x v="30"/>
    <x v="2"/>
    <n v="241"/>
    <n v="89610"/>
    <n v="3"/>
    <n v="69"/>
    <n v="2"/>
    <n v="2"/>
    <n v="1"/>
    <n v="35"/>
    <n v="57"/>
    <n v="6"/>
    <n v="66"/>
  </r>
  <r>
    <x v="31"/>
    <x v="2"/>
    <n v="718"/>
    <n v="181310"/>
    <n v="4"/>
    <n v="338"/>
    <n v="1"/>
    <n v="13"/>
    <n v="5"/>
    <n v="74"/>
    <n v="161"/>
    <n v="22"/>
    <n v="100"/>
  </r>
</pivotCacheRecords>
</file>

<file path=xl/pivotCache/pivotCacheRecords14.xml><?xml version="1.0" encoding="utf-8"?>
<pivotCacheRecords xmlns="http://schemas.openxmlformats.org/spreadsheetml/2006/main" xmlns:r="http://schemas.openxmlformats.org/officeDocument/2006/relationships" count="96">
  <r>
    <x v="0"/>
    <x v="0"/>
    <n v="230350"/>
    <n v="435"/>
    <n v="118"/>
  </r>
  <r>
    <x v="0"/>
    <x v="1"/>
    <n v="261960"/>
    <n v="348"/>
    <n v="56"/>
  </r>
  <r>
    <x v="0"/>
    <x v="2"/>
    <n v="116900"/>
    <n v="156"/>
    <n v="25"/>
  </r>
  <r>
    <x v="0"/>
    <x v="3"/>
    <n v="86890"/>
    <n v="128"/>
    <n v="9"/>
  </r>
  <r>
    <x v="0"/>
    <x v="4"/>
    <n v="51360"/>
    <n v="92"/>
    <n v="20"/>
  </r>
  <r>
    <x v="0"/>
    <x v="5"/>
    <n v="149670"/>
    <n v="195"/>
    <n v="34"/>
  </r>
  <r>
    <x v="0"/>
    <x v="6"/>
    <n v="148210"/>
    <n v="308"/>
    <n v="75"/>
  </r>
  <r>
    <x v="0"/>
    <x v="7"/>
    <n v="122060"/>
    <n v="157"/>
    <n v="62"/>
  </r>
  <r>
    <x v="0"/>
    <x v="8"/>
    <n v="106960"/>
    <n v="102"/>
    <n v="45"/>
  </r>
  <r>
    <x v="0"/>
    <x v="9"/>
    <n v="103050"/>
    <n v="134"/>
    <n v="63"/>
  </r>
  <r>
    <x v="0"/>
    <x v="10"/>
    <n v="92940"/>
    <n v="97"/>
    <n v="34"/>
  </r>
  <r>
    <x v="0"/>
    <x v="11"/>
    <n v="498810"/>
    <n v="887"/>
    <n v="337"/>
  </r>
  <r>
    <x v="0"/>
    <x v="12"/>
    <n v="158460"/>
    <n v="225"/>
    <n v="82"/>
  </r>
  <r>
    <x v="0"/>
    <x v="13"/>
    <n v="368080"/>
    <n v="453"/>
    <n v="125"/>
  </r>
  <r>
    <x v="0"/>
    <x v="14"/>
    <n v="606340"/>
    <n v="1298"/>
    <n v="440"/>
  </r>
  <r>
    <x v="0"/>
    <x v="15"/>
    <n v="234110"/>
    <n v="329"/>
    <n v="48"/>
  </r>
  <r>
    <x v="0"/>
    <x v="16"/>
    <n v="79500"/>
    <n v="153"/>
    <n v="62"/>
  </r>
  <r>
    <x v="0"/>
    <x v="17"/>
    <n v="87390"/>
    <n v="105"/>
    <n v="65"/>
  </r>
  <r>
    <x v="0"/>
    <x v="18"/>
    <n v="95510"/>
    <n v="109"/>
    <n v="16"/>
  </r>
  <r>
    <x v="0"/>
    <x v="19"/>
    <n v="27070"/>
    <n v="38"/>
    <n v="3"/>
  </r>
  <r>
    <x v="0"/>
    <x v="20"/>
    <n v="136130"/>
    <n v="232"/>
    <n v="52"/>
  </r>
  <r>
    <x v="0"/>
    <x v="21"/>
    <n v="338260"/>
    <n v="439"/>
    <n v="216"/>
  </r>
  <r>
    <x v="0"/>
    <x v="22"/>
    <n v="21670"/>
    <n v="37"/>
    <m/>
  </r>
  <r>
    <x v="0"/>
    <x v="23"/>
    <n v="149930"/>
    <n v="238"/>
    <n v="32"/>
  </r>
  <r>
    <x v="0"/>
    <x v="24"/>
    <n v="174560"/>
    <n v="305"/>
    <n v="101"/>
  </r>
  <r>
    <x v="0"/>
    <x v="25"/>
    <n v="114030"/>
    <n v="184"/>
    <n v="42"/>
  </r>
  <r>
    <x v="0"/>
    <x v="26"/>
    <n v="23200"/>
    <n v="34"/>
    <n v="3"/>
  </r>
  <r>
    <x v="0"/>
    <x v="27"/>
    <n v="112400"/>
    <n v="153"/>
    <n v="36"/>
  </r>
  <r>
    <x v="0"/>
    <x v="28"/>
    <n v="316230"/>
    <n v="416"/>
    <n v="123"/>
  </r>
  <r>
    <x v="0"/>
    <x v="29"/>
    <n v="92830"/>
    <n v="183"/>
    <n v="49"/>
  </r>
  <r>
    <x v="0"/>
    <x v="30"/>
    <n v="89590"/>
    <n v="208"/>
    <n v="62"/>
  </r>
  <r>
    <x v="0"/>
    <x v="31"/>
    <n v="178550"/>
    <n v="247"/>
    <n v="153"/>
  </r>
  <r>
    <x v="1"/>
    <x v="0"/>
    <n v="229840"/>
    <n v="439"/>
    <n v="125"/>
  </r>
  <r>
    <x v="1"/>
    <x v="1"/>
    <n v="262190"/>
    <n v="344"/>
    <n v="55"/>
  </r>
  <r>
    <x v="1"/>
    <x v="2"/>
    <n v="116520"/>
    <n v="163"/>
    <n v="23"/>
  </r>
  <r>
    <x v="1"/>
    <x v="3"/>
    <n v="87130"/>
    <n v="141"/>
    <n v="9"/>
  </r>
  <r>
    <x v="1"/>
    <x v="4"/>
    <n v="51350"/>
    <n v="96"/>
    <n v="13"/>
  </r>
  <r>
    <x v="1"/>
    <x v="5"/>
    <n v="149520"/>
    <n v="203"/>
    <n v="44"/>
  </r>
  <r>
    <x v="1"/>
    <x v="6"/>
    <n v="148270"/>
    <n v="311"/>
    <n v="71"/>
  </r>
  <r>
    <x v="1"/>
    <x v="7"/>
    <n v="122200"/>
    <n v="202"/>
    <n v="53"/>
  </r>
  <r>
    <x v="1"/>
    <x v="8"/>
    <n v="107540"/>
    <n v="117"/>
    <n v="49"/>
  </r>
  <r>
    <x v="1"/>
    <x v="9"/>
    <n v="104090"/>
    <n v="116"/>
    <n v="39"/>
  </r>
  <r>
    <x v="1"/>
    <x v="10"/>
    <n v="93810"/>
    <n v="80"/>
    <n v="26"/>
  </r>
  <r>
    <x v="1"/>
    <x v="11"/>
    <n v="507170"/>
    <n v="793"/>
    <n v="378"/>
  </r>
  <r>
    <x v="1"/>
    <x v="12"/>
    <n v="159380"/>
    <n v="202"/>
    <n v="79"/>
  </r>
  <r>
    <x v="1"/>
    <x v="13"/>
    <n v="370330"/>
    <n v="451"/>
    <n v="180"/>
  </r>
  <r>
    <x v="1"/>
    <x v="14"/>
    <n v="615070"/>
    <n v="1256"/>
    <n v="452"/>
  </r>
  <r>
    <x v="1"/>
    <x v="15"/>
    <n v="234770"/>
    <n v="345"/>
    <n v="32"/>
  </r>
  <r>
    <x v="1"/>
    <x v="16"/>
    <n v="79160"/>
    <n v="162"/>
    <n v="53"/>
  </r>
  <r>
    <x v="1"/>
    <x v="17"/>
    <n v="88610"/>
    <n v="127"/>
    <n v="78"/>
  </r>
  <r>
    <x v="1"/>
    <x v="18"/>
    <n v="96070"/>
    <n v="110"/>
    <n v="18"/>
  </r>
  <r>
    <x v="1"/>
    <x v="19"/>
    <n v="26900"/>
    <n v="35"/>
    <n v="1"/>
  </r>
  <r>
    <x v="1"/>
    <x v="20"/>
    <n v="135890"/>
    <n v="220"/>
    <n v="49"/>
  </r>
  <r>
    <x v="1"/>
    <x v="21"/>
    <n v="339390"/>
    <n v="463"/>
    <n v="224"/>
  </r>
  <r>
    <x v="1"/>
    <x v="22"/>
    <n v="21850"/>
    <n v="21"/>
    <n v="2"/>
  </r>
  <r>
    <x v="1"/>
    <x v="23"/>
    <n v="150680"/>
    <n v="255"/>
    <n v="33"/>
  </r>
  <r>
    <x v="1"/>
    <x v="24"/>
    <n v="175930"/>
    <n v="276"/>
    <n v="109"/>
  </r>
  <r>
    <x v="1"/>
    <x v="25"/>
    <n v="114530"/>
    <n v="162"/>
    <n v="33"/>
  </r>
  <r>
    <x v="1"/>
    <x v="26"/>
    <n v="23200"/>
    <n v="24"/>
    <n v="2"/>
  </r>
  <r>
    <x v="1"/>
    <x v="27"/>
    <n v="112470"/>
    <n v="152"/>
    <n v="36"/>
  </r>
  <r>
    <x v="1"/>
    <x v="28"/>
    <n v="317100"/>
    <n v="388"/>
    <n v="169"/>
  </r>
  <r>
    <x v="1"/>
    <x v="29"/>
    <n v="93750"/>
    <n v="150"/>
    <n v="53"/>
  </r>
  <r>
    <x v="1"/>
    <x v="30"/>
    <n v="89860"/>
    <n v="179"/>
    <n v="81"/>
  </r>
  <r>
    <x v="1"/>
    <x v="31"/>
    <n v="180130"/>
    <n v="226"/>
    <n v="126"/>
  </r>
  <r>
    <x v="2"/>
    <x v="0"/>
    <n v="228800"/>
    <n v="355"/>
    <n v="100"/>
  </r>
  <r>
    <x v="2"/>
    <x v="1"/>
    <n v="261800"/>
    <n v="344"/>
    <n v="50"/>
  </r>
  <r>
    <x v="2"/>
    <x v="2"/>
    <n v="116280"/>
    <n v="133"/>
    <n v="30"/>
  </r>
  <r>
    <x v="2"/>
    <x v="3"/>
    <n v="86810"/>
    <n v="159"/>
    <n v="25"/>
  </r>
  <r>
    <x v="2"/>
    <x v="4"/>
    <n v="51450"/>
    <n v="69"/>
    <n v="24"/>
  </r>
  <r>
    <x v="2"/>
    <x v="5"/>
    <n v="149200"/>
    <n v="199"/>
    <n v="37"/>
  </r>
  <r>
    <x v="2"/>
    <x v="6"/>
    <n v="148710"/>
    <n v="271"/>
    <n v="73"/>
  </r>
  <r>
    <x v="2"/>
    <x v="7"/>
    <n v="121940"/>
    <n v="133"/>
    <n v="47"/>
  </r>
  <r>
    <x v="2"/>
    <x v="8"/>
    <n v="108130"/>
    <n v="101"/>
    <n v="57"/>
  </r>
  <r>
    <x v="2"/>
    <x v="9"/>
    <n v="104840"/>
    <n v="130"/>
    <n v="59"/>
  </r>
  <r>
    <x v="2"/>
    <x v="10"/>
    <n v="94760"/>
    <n v="111"/>
    <n v="19"/>
  </r>
  <r>
    <x v="2"/>
    <x v="11"/>
    <n v="513210"/>
    <n v="742"/>
    <n v="296"/>
  </r>
  <r>
    <x v="2"/>
    <x v="12"/>
    <n v="160130"/>
    <n v="199"/>
    <n v="144"/>
  </r>
  <r>
    <x v="2"/>
    <x v="13"/>
    <n v="371410"/>
    <n v="508"/>
    <n v="153"/>
  </r>
  <r>
    <x v="2"/>
    <x v="14"/>
    <n v="621020"/>
    <n v="1261"/>
    <n v="448"/>
  </r>
  <r>
    <x v="2"/>
    <x v="15"/>
    <n v="235180"/>
    <n v="337"/>
    <n v="23"/>
  </r>
  <r>
    <x v="2"/>
    <x v="16"/>
    <n v="78760"/>
    <n v="123"/>
    <n v="66"/>
  </r>
  <r>
    <x v="2"/>
    <x v="17"/>
    <n v="90090"/>
    <n v="116"/>
    <n v="95"/>
  </r>
  <r>
    <x v="2"/>
    <x v="18"/>
    <n v="95780"/>
    <n v="89"/>
    <n v="25"/>
  </r>
  <r>
    <x v="2"/>
    <x v="19"/>
    <n v="26950"/>
    <n v="36"/>
    <n v="3"/>
  </r>
  <r>
    <x v="2"/>
    <x v="20"/>
    <n v="135790"/>
    <n v="222"/>
    <n v="50"/>
  </r>
  <r>
    <x v="2"/>
    <x v="21"/>
    <n v="339960"/>
    <n v="448"/>
    <n v="209"/>
  </r>
  <r>
    <x v="2"/>
    <x v="22"/>
    <n v="22000"/>
    <n v="15"/>
    <m/>
  </r>
  <r>
    <x v="2"/>
    <x v="23"/>
    <n v="151100"/>
    <n v="207"/>
    <n v="27"/>
  </r>
  <r>
    <x v="2"/>
    <x v="24"/>
    <n v="176830"/>
    <n v="283"/>
    <n v="113"/>
  </r>
  <r>
    <x v="2"/>
    <x v="25"/>
    <n v="115020"/>
    <n v="148"/>
    <n v="56"/>
  </r>
  <r>
    <x v="2"/>
    <x v="26"/>
    <n v="23080"/>
    <n v="32"/>
    <n v="1"/>
  </r>
  <r>
    <x v="2"/>
    <x v="27"/>
    <n v="112680"/>
    <n v="164"/>
    <n v="40"/>
  </r>
  <r>
    <x v="2"/>
    <x v="28"/>
    <n v="318170"/>
    <n v="401"/>
    <n v="182"/>
  </r>
  <r>
    <x v="2"/>
    <x v="29"/>
    <n v="94000"/>
    <n v="136"/>
    <n v="39"/>
  </r>
  <r>
    <x v="2"/>
    <x v="30"/>
    <n v="89610"/>
    <n v="199"/>
    <n v="70"/>
  </r>
  <r>
    <x v="2"/>
    <x v="31"/>
    <n v="181310"/>
    <n v="258"/>
    <n v="164"/>
  </r>
</pivotCacheRecords>
</file>

<file path=xl/pivotCache/pivotCacheRecords15.xml><?xml version="1.0" encoding="utf-8"?>
<pivotCacheRecords xmlns="http://schemas.openxmlformats.org/spreadsheetml/2006/main" xmlns:r="http://schemas.openxmlformats.org/officeDocument/2006/relationships" count="190">
  <r>
    <x v="0"/>
    <x v="0"/>
    <x v="0"/>
    <n v="435"/>
    <n v="1"/>
    <n v="59"/>
  </r>
  <r>
    <x v="0"/>
    <x v="0"/>
    <x v="1"/>
    <n v="348"/>
    <m/>
    <n v="37"/>
  </r>
  <r>
    <x v="0"/>
    <x v="0"/>
    <x v="2"/>
    <n v="156"/>
    <n v="1"/>
    <n v="29"/>
  </r>
  <r>
    <x v="0"/>
    <x v="0"/>
    <x v="3"/>
    <n v="128"/>
    <n v="1"/>
    <n v="16"/>
  </r>
  <r>
    <x v="0"/>
    <x v="0"/>
    <x v="4"/>
    <n v="92"/>
    <m/>
    <n v="10"/>
  </r>
  <r>
    <x v="0"/>
    <x v="0"/>
    <x v="5"/>
    <n v="195"/>
    <n v="1"/>
    <n v="13"/>
  </r>
  <r>
    <x v="0"/>
    <x v="0"/>
    <x v="6"/>
    <n v="308"/>
    <n v="2"/>
    <n v="76"/>
  </r>
  <r>
    <x v="0"/>
    <x v="0"/>
    <x v="7"/>
    <n v="157"/>
    <m/>
    <n v="38"/>
  </r>
  <r>
    <x v="0"/>
    <x v="0"/>
    <x v="8"/>
    <n v="102"/>
    <m/>
    <n v="12"/>
  </r>
  <r>
    <x v="0"/>
    <x v="0"/>
    <x v="9"/>
    <n v="134"/>
    <n v="1"/>
    <n v="8"/>
  </r>
  <r>
    <x v="0"/>
    <x v="0"/>
    <x v="10"/>
    <n v="97"/>
    <n v="1"/>
    <n v="12"/>
  </r>
  <r>
    <x v="0"/>
    <x v="0"/>
    <x v="11"/>
    <n v="887"/>
    <n v="4"/>
    <n v="91"/>
  </r>
  <r>
    <x v="0"/>
    <x v="0"/>
    <x v="12"/>
    <n v="225"/>
    <n v="2"/>
    <n v="29"/>
  </r>
  <r>
    <x v="0"/>
    <x v="0"/>
    <x v="13"/>
    <n v="453"/>
    <n v="1"/>
    <n v="30"/>
  </r>
  <r>
    <x v="0"/>
    <x v="0"/>
    <x v="14"/>
    <n v="1298"/>
    <n v="3"/>
    <n v="166"/>
  </r>
  <r>
    <x v="0"/>
    <x v="0"/>
    <x v="15"/>
    <n v="329"/>
    <n v="6"/>
    <n v="53"/>
  </r>
  <r>
    <x v="0"/>
    <x v="0"/>
    <x v="16"/>
    <n v="153"/>
    <n v="1"/>
    <n v="39"/>
  </r>
  <r>
    <x v="0"/>
    <x v="0"/>
    <x v="17"/>
    <n v="105"/>
    <m/>
    <n v="10"/>
  </r>
  <r>
    <x v="0"/>
    <x v="0"/>
    <x v="18"/>
    <n v="109"/>
    <m/>
    <n v="16"/>
  </r>
  <r>
    <x v="0"/>
    <x v="0"/>
    <x v="19"/>
    <n v="38"/>
    <m/>
    <n v="8"/>
  </r>
  <r>
    <x v="0"/>
    <x v="0"/>
    <x v="20"/>
    <n v="232"/>
    <n v="1"/>
    <n v="42"/>
  </r>
  <r>
    <x v="0"/>
    <x v="0"/>
    <x v="21"/>
    <n v="439"/>
    <n v="4"/>
    <n v="65"/>
  </r>
  <r>
    <x v="0"/>
    <x v="0"/>
    <x v="22"/>
    <n v="37"/>
    <m/>
    <n v="2"/>
  </r>
  <r>
    <x v="0"/>
    <x v="0"/>
    <x v="23"/>
    <n v="238"/>
    <m/>
    <n v="31"/>
  </r>
  <r>
    <x v="0"/>
    <x v="0"/>
    <x v="24"/>
    <n v="305"/>
    <m/>
    <n v="31"/>
  </r>
  <r>
    <x v="0"/>
    <x v="0"/>
    <x v="25"/>
    <n v="184"/>
    <n v="1"/>
    <n v="16"/>
  </r>
  <r>
    <x v="0"/>
    <x v="0"/>
    <x v="26"/>
    <n v="34"/>
    <m/>
    <n v="2"/>
  </r>
  <r>
    <x v="0"/>
    <x v="0"/>
    <x v="27"/>
    <n v="153"/>
    <m/>
    <n v="24"/>
  </r>
  <r>
    <x v="0"/>
    <x v="0"/>
    <x v="28"/>
    <n v="416"/>
    <n v="4"/>
    <n v="61"/>
  </r>
  <r>
    <x v="0"/>
    <x v="0"/>
    <x v="29"/>
    <n v="183"/>
    <n v="1"/>
    <n v="10"/>
  </r>
  <r>
    <x v="0"/>
    <x v="0"/>
    <x v="30"/>
    <n v="208"/>
    <m/>
    <n v="25"/>
  </r>
  <r>
    <x v="0"/>
    <x v="0"/>
    <x v="31"/>
    <n v="247"/>
    <m/>
    <n v="32"/>
  </r>
  <r>
    <x v="0"/>
    <x v="1"/>
    <x v="0"/>
    <n v="439"/>
    <n v="2"/>
    <n v="34"/>
  </r>
  <r>
    <x v="0"/>
    <x v="1"/>
    <x v="1"/>
    <n v="344"/>
    <n v="2"/>
    <n v="24"/>
  </r>
  <r>
    <x v="0"/>
    <x v="1"/>
    <x v="2"/>
    <n v="163"/>
    <m/>
    <n v="21"/>
  </r>
  <r>
    <x v="0"/>
    <x v="1"/>
    <x v="3"/>
    <n v="141"/>
    <m/>
    <n v="9"/>
  </r>
  <r>
    <x v="0"/>
    <x v="1"/>
    <x v="4"/>
    <n v="96"/>
    <m/>
    <n v="22"/>
  </r>
  <r>
    <x v="0"/>
    <x v="1"/>
    <x v="5"/>
    <n v="203"/>
    <m/>
    <n v="8"/>
  </r>
  <r>
    <x v="0"/>
    <x v="1"/>
    <x v="6"/>
    <n v="311"/>
    <m/>
    <n v="50"/>
  </r>
  <r>
    <x v="0"/>
    <x v="1"/>
    <x v="7"/>
    <n v="202"/>
    <n v="2"/>
    <n v="29"/>
  </r>
  <r>
    <x v="0"/>
    <x v="1"/>
    <x v="8"/>
    <n v="117"/>
    <n v="1"/>
    <n v="21"/>
  </r>
  <r>
    <x v="0"/>
    <x v="1"/>
    <x v="9"/>
    <n v="116"/>
    <m/>
    <n v="6"/>
  </r>
  <r>
    <x v="0"/>
    <x v="1"/>
    <x v="10"/>
    <n v="80"/>
    <m/>
    <n v="6"/>
  </r>
  <r>
    <x v="0"/>
    <x v="1"/>
    <x v="11"/>
    <n v="793"/>
    <n v="3"/>
    <n v="111"/>
  </r>
  <r>
    <x v="0"/>
    <x v="1"/>
    <x v="12"/>
    <n v="202"/>
    <n v="1"/>
    <n v="32"/>
  </r>
  <r>
    <x v="0"/>
    <x v="1"/>
    <x v="13"/>
    <n v="451"/>
    <n v="4"/>
    <n v="64"/>
  </r>
  <r>
    <x v="0"/>
    <x v="1"/>
    <x v="14"/>
    <n v="1256"/>
    <n v="7"/>
    <n v="176"/>
  </r>
  <r>
    <x v="0"/>
    <x v="1"/>
    <x v="15"/>
    <n v="345"/>
    <n v="2"/>
    <n v="59"/>
  </r>
  <r>
    <x v="0"/>
    <x v="1"/>
    <x v="16"/>
    <n v="162"/>
    <n v="1"/>
    <n v="38"/>
  </r>
  <r>
    <x v="0"/>
    <x v="1"/>
    <x v="17"/>
    <n v="127"/>
    <n v="1"/>
    <n v="16"/>
  </r>
  <r>
    <x v="0"/>
    <x v="1"/>
    <x v="18"/>
    <n v="110"/>
    <n v="1"/>
    <n v="16"/>
  </r>
  <r>
    <x v="0"/>
    <x v="1"/>
    <x v="19"/>
    <n v="35"/>
    <n v="3"/>
    <n v="8"/>
  </r>
  <r>
    <x v="0"/>
    <x v="1"/>
    <x v="20"/>
    <n v="220"/>
    <m/>
    <n v="25"/>
  </r>
  <r>
    <x v="0"/>
    <x v="1"/>
    <x v="21"/>
    <n v="463"/>
    <n v="1"/>
    <n v="65"/>
  </r>
  <r>
    <x v="0"/>
    <x v="1"/>
    <x v="22"/>
    <n v="21"/>
    <m/>
    <n v="5"/>
  </r>
  <r>
    <x v="0"/>
    <x v="1"/>
    <x v="23"/>
    <n v="255"/>
    <n v="1"/>
    <n v="23"/>
  </r>
  <r>
    <x v="0"/>
    <x v="1"/>
    <x v="24"/>
    <n v="276"/>
    <n v="1"/>
    <n v="27"/>
  </r>
  <r>
    <x v="0"/>
    <x v="1"/>
    <x v="25"/>
    <n v="162"/>
    <n v="1"/>
    <n v="26"/>
  </r>
  <r>
    <x v="0"/>
    <x v="1"/>
    <x v="26"/>
    <n v="24"/>
    <m/>
    <n v="4"/>
  </r>
  <r>
    <x v="0"/>
    <x v="1"/>
    <x v="27"/>
    <n v="152"/>
    <m/>
    <n v="23"/>
  </r>
  <r>
    <x v="0"/>
    <x v="1"/>
    <x v="28"/>
    <n v="388"/>
    <m/>
    <n v="44"/>
  </r>
  <r>
    <x v="0"/>
    <x v="1"/>
    <x v="29"/>
    <n v="150"/>
    <n v="1"/>
    <n v="13"/>
  </r>
  <r>
    <x v="0"/>
    <x v="1"/>
    <x v="30"/>
    <n v="179"/>
    <m/>
    <n v="20"/>
  </r>
  <r>
    <x v="0"/>
    <x v="1"/>
    <x v="31"/>
    <n v="226"/>
    <m/>
    <n v="28"/>
  </r>
  <r>
    <x v="0"/>
    <x v="2"/>
    <x v="0"/>
    <n v="355"/>
    <n v="3"/>
    <n v="23"/>
  </r>
  <r>
    <x v="0"/>
    <x v="2"/>
    <x v="1"/>
    <n v="344"/>
    <n v="1"/>
    <n v="44"/>
  </r>
  <r>
    <x v="0"/>
    <x v="2"/>
    <x v="2"/>
    <n v="133"/>
    <m/>
    <n v="20"/>
  </r>
  <r>
    <x v="0"/>
    <x v="2"/>
    <x v="3"/>
    <n v="159"/>
    <n v="1"/>
    <n v="18"/>
  </r>
  <r>
    <x v="0"/>
    <x v="2"/>
    <x v="4"/>
    <n v="69"/>
    <m/>
    <n v="8"/>
  </r>
  <r>
    <x v="0"/>
    <x v="2"/>
    <x v="5"/>
    <n v="199"/>
    <n v="5"/>
    <n v="5"/>
  </r>
  <r>
    <x v="0"/>
    <x v="2"/>
    <x v="6"/>
    <n v="271"/>
    <m/>
    <n v="34"/>
  </r>
  <r>
    <x v="0"/>
    <x v="2"/>
    <x v="7"/>
    <n v="133"/>
    <n v="1"/>
    <n v="24"/>
  </r>
  <r>
    <x v="0"/>
    <x v="2"/>
    <x v="8"/>
    <n v="101"/>
    <m/>
    <n v="16"/>
  </r>
  <r>
    <x v="0"/>
    <x v="2"/>
    <x v="9"/>
    <n v="130"/>
    <n v="2"/>
    <n v="12"/>
  </r>
  <r>
    <x v="0"/>
    <x v="2"/>
    <x v="10"/>
    <n v="111"/>
    <m/>
    <n v="7"/>
  </r>
  <r>
    <x v="0"/>
    <x v="2"/>
    <x v="11"/>
    <n v="742"/>
    <n v="1"/>
    <n v="78"/>
  </r>
  <r>
    <x v="0"/>
    <x v="2"/>
    <x v="12"/>
    <n v="199"/>
    <n v="2"/>
    <n v="21"/>
  </r>
  <r>
    <x v="0"/>
    <x v="2"/>
    <x v="13"/>
    <n v="508"/>
    <n v="2"/>
    <n v="37"/>
  </r>
  <r>
    <x v="0"/>
    <x v="2"/>
    <x v="14"/>
    <n v="1261"/>
    <n v="4"/>
    <n v="172"/>
  </r>
  <r>
    <x v="0"/>
    <x v="2"/>
    <x v="15"/>
    <n v="337"/>
    <n v="2"/>
    <n v="40"/>
  </r>
  <r>
    <x v="0"/>
    <x v="2"/>
    <x v="16"/>
    <n v="123"/>
    <m/>
    <n v="14"/>
  </r>
  <r>
    <x v="0"/>
    <x v="2"/>
    <x v="17"/>
    <n v="116"/>
    <m/>
    <n v="14"/>
  </r>
  <r>
    <x v="0"/>
    <x v="2"/>
    <x v="18"/>
    <n v="89"/>
    <n v="1"/>
    <n v="17"/>
  </r>
  <r>
    <x v="0"/>
    <x v="2"/>
    <x v="19"/>
    <n v="36"/>
    <m/>
    <n v="2"/>
  </r>
  <r>
    <x v="0"/>
    <x v="2"/>
    <x v="20"/>
    <n v="222"/>
    <m/>
    <n v="20"/>
  </r>
  <r>
    <x v="0"/>
    <x v="2"/>
    <x v="21"/>
    <n v="448"/>
    <n v="2"/>
    <n v="87"/>
  </r>
  <r>
    <x v="0"/>
    <x v="2"/>
    <x v="22"/>
    <n v="15"/>
    <m/>
    <n v="4"/>
  </r>
  <r>
    <x v="0"/>
    <x v="2"/>
    <x v="23"/>
    <n v="207"/>
    <m/>
    <n v="22"/>
  </r>
  <r>
    <x v="0"/>
    <x v="2"/>
    <x v="24"/>
    <n v="283"/>
    <n v="1"/>
    <n v="31"/>
  </r>
  <r>
    <x v="0"/>
    <x v="2"/>
    <x v="25"/>
    <n v="148"/>
    <n v="1"/>
    <n v="15"/>
  </r>
  <r>
    <x v="0"/>
    <x v="2"/>
    <x v="26"/>
    <n v="32"/>
    <m/>
    <n v="6"/>
  </r>
  <r>
    <x v="0"/>
    <x v="2"/>
    <x v="27"/>
    <n v="164"/>
    <n v="4"/>
    <n v="24"/>
  </r>
  <r>
    <x v="0"/>
    <x v="2"/>
    <x v="28"/>
    <n v="401"/>
    <n v="4"/>
    <n v="51"/>
  </r>
  <r>
    <x v="0"/>
    <x v="2"/>
    <x v="29"/>
    <n v="136"/>
    <n v="2"/>
    <n v="20"/>
  </r>
  <r>
    <x v="0"/>
    <x v="2"/>
    <x v="30"/>
    <n v="199"/>
    <n v="3"/>
    <n v="18"/>
  </r>
  <r>
    <x v="0"/>
    <x v="2"/>
    <x v="31"/>
    <n v="258"/>
    <m/>
    <n v="29"/>
  </r>
  <r>
    <x v="1"/>
    <x v="0"/>
    <x v="0"/>
    <n v="118"/>
    <m/>
    <n v="12"/>
  </r>
  <r>
    <x v="1"/>
    <x v="0"/>
    <x v="1"/>
    <n v="56"/>
    <n v="2"/>
    <n v="3"/>
  </r>
  <r>
    <x v="1"/>
    <x v="0"/>
    <x v="2"/>
    <n v="25"/>
    <m/>
    <n v="9"/>
  </r>
  <r>
    <x v="1"/>
    <x v="0"/>
    <x v="3"/>
    <n v="9"/>
    <m/>
    <m/>
  </r>
  <r>
    <x v="1"/>
    <x v="0"/>
    <x v="4"/>
    <n v="20"/>
    <m/>
    <n v="3"/>
  </r>
  <r>
    <x v="1"/>
    <x v="0"/>
    <x v="5"/>
    <n v="34"/>
    <n v="2"/>
    <m/>
  </r>
  <r>
    <x v="1"/>
    <x v="0"/>
    <x v="6"/>
    <n v="75"/>
    <m/>
    <n v="1"/>
  </r>
  <r>
    <x v="1"/>
    <x v="0"/>
    <x v="7"/>
    <n v="62"/>
    <m/>
    <n v="3"/>
  </r>
  <r>
    <x v="1"/>
    <x v="0"/>
    <x v="8"/>
    <n v="45"/>
    <m/>
    <n v="2"/>
  </r>
  <r>
    <x v="1"/>
    <x v="0"/>
    <x v="9"/>
    <n v="63"/>
    <m/>
    <n v="1"/>
  </r>
  <r>
    <x v="1"/>
    <x v="0"/>
    <x v="10"/>
    <n v="34"/>
    <n v="1"/>
    <n v="1"/>
  </r>
  <r>
    <x v="1"/>
    <x v="0"/>
    <x v="11"/>
    <n v="337"/>
    <m/>
    <n v="25"/>
  </r>
  <r>
    <x v="1"/>
    <x v="0"/>
    <x v="12"/>
    <n v="82"/>
    <m/>
    <n v="5"/>
  </r>
  <r>
    <x v="1"/>
    <x v="0"/>
    <x v="13"/>
    <n v="125"/>
    <m/>
    <n v="4"/>
  </r>
  <r>
    <x v="1"/>
    <x v="0"/>
    <x v="14"/>
    <n v="440"/>
    <n v="1"/>
    <n v="35"/>
  </r>
  <r>
    <x v="1"/>
    <x v="0"/>
    <x v="15"/>
    <n v="48"/>
    <m/>
    <n v="2"/>
  </r>
  <r>
    <x v="1"/>
    <x v="0"/>
    <x v="16"/>
    <n v="62"/>
    <m/>
    <n v="6"/>
  </r>
  <r>
    <x v="1"/>
    <x v="0"/>
    <x v="17"/>
    <n v="65"/>
    <m/>
    <m/>
  </r>
  <r>
    <x v="1"/>
    <x v="0"/>
    <x v="18"/>
    <n v="16"/>
    <m/>
    <m/>
  </r>
  <r>
    <x v="1"/>
    <x v="0"/>
    <x v="19"/>
    <n v="3"/>
    <m/>
    <m/>
  </r>
  <r>
    <x v="1"/>
    <x v="0"/>
    <x v="20"/>
    <n v="52"/>
    <m/>
    <n v="6"/>
  </r>
  <r>
    <x v="1"/>
    <x v="0"/>
    <x v="21"/>
    <n v="216"/>
    <m/>
    <n v="20"/>
  </r>
  <r>
    <x v="1"/>
    <x v="0"/>
    <x v="23"/>
    <n v="32"/>
    <m/>
    <n v="2"/>
  </r>
  <r>
    <x v="1"/>
    <x v="0"/>
    <x v="24"/>
    <n v="101"/>
    <m/>
    <n v="8"/>
  </r>
  <r>
    <x v="1"/>
    <x v="0"/>
    <x v="25"/>
    <n v="42"/>
    <m/>
    <n v="1"/>
  </r>
  <r>
    <x v="1"/>
    <x v="0"/>
    <x v="26"/>
    <n v="3"/>
    <n v="1"/>
    <m/>
  </r>
  <r>
    <x v="1"/>
    <x v="0"/>
    <x v="27"/>
    <n v="36"/>
    <n v="1"/>
    <m/>
  </r>
  <r>
    <x v="1"/>
    <x v="0"/>
    <x v="28"/>
    <n v="123"/>
    <m/>
    <n v="12"/>
  </r>
  <r>
    <x v="1"/>
    <x v="0"/>
    <x v="29"/>
    <n v="49"/>
    <m/>
    <n v="7"/>
  </r>
  <r>
    <x v="1"/>
    <x v="0"/>
    <x v="30"/>
    <n v="62"/>
    <m/>
    <n v="10"/>
  </r>
  <r>
    <x v="1"/>
    <x v="0"/>
    <x v="31"/>
    <n v="153"/>
    <n v="1"/>
    <n v="5"/>
  </r>
  <r>
    <x v="1"/>
    <x v="1"/>
    <x v="0"/>
    <n v="125"/>
    <m/>
    <n v="4"/>
  </r>
  <r>
    <x v="1"/>
    <x v="1"/>
    <x v="1"/>
    <n v="55"/>
    <m/>
    <n v="3"/>
  </r>
  <r>
    <x v="1"/>
    <x v="1"/>
    <x v="2"/>
    <n v="23"/>
    <m/>
    <m/>
  </r>
  <r>
    <x v="1"/>
    <x v="1"/>
    <x v="3"/>
    <n v="9"/>
    <m/>
    <n v="5"/>
  </r>
  <r>
    <x v="1"/>
    <x v="1"/>
    <x v="4"/>
    <n v="13"/>
    <m/>
    <m/>
  </r>
  <r>
    <x v="1"/>
    <x v="1"/>
    <x v="5"/>
    <n v="44"/>
    <n v="1"/>
    <m/>
  </r>
  <r>
    <x v="1"/>
    <x v="1"/>
    <x v="6"/>
    <n v="71"/>
    <n v="1"/>
    <n v="9"/>
  </r>
  <r>
    <x v="1"/>
    <x v="1"/>
    <x v="7"/>
    <n v="53"/>
    <n v="1"/>
    <n v="4"/>
  </r>
  <r>
    <x v="1"/>
    <x v="1"/>
    <x v="8"/>
    <n v="49"/>
    <n v="1"/>
    <n v="4"/>
  </r>
  <r>
    <x v="1"/>
    <x v="1"/>
    <x v="9"/>
    <n v="39"/>
    <m/>
    <n v="2"/>
  </r>
  <r>
    <x v="1"/>
    <x v="1"/>
    <x v="10"/>
    <n v="26"/>
    <m/>
    <n v="1"/>
  </r>
  <r>
    <x v="1"/>
    <x v="1"/>
    <x v="11"/>
    <n v="378"/>
    <m/>
    <n v="32"/>
  </r>
  <r>
    <x v="1"/>
    <x v="1"/>
    <x v="12"/>
    <n v="79"/>
    <n v="1"/>
    <m/>
  </r>
  <r>
    <x v="1"/>
    <x v="1"/>
    <x v="13"/>
    <n v="180"/>
    <m/>
    <n v="9"/>
  </r>
  <r>
    <x v="1"/>
    <x v="1"/>
    <x v="14"/>
    <n v="452"/>
    <n v="1"/>
    <n v="43"/>
  </r>
  <r>
    <x v="1"/>
    <x v="1"/>
    <x v="15"/>
    <n v="32"/>
    <n v="1"/>
    <n v="5"/>
  </r>
  <r>
    <x v="1"/>
    <x v="1"/>
    <x v="16"/>
    <n v="53"/>
    <m/>
    <n v="4"/>
  </r>
  <r>
    <x v="1"/>
    <x v="1"/>
    <x v="17"/>
    <n v="78"/>
    <m/>
    <m/>
  </r>
  <r>
    <x v="1"/>
    <x v="1"/>
    <x v="18"/>
    <n v="18"/>
    <m/>
    <n v="2"/>
  </r>
  <r>
    <x v="1"/>
    <x v="1"/>
    <x v="19"/>
    <n v="1"/>
    <m/>
    <m/>
  </r>
  <r>
    <x v="1"/>
    <x v="1"/>
    <x v="20"/>
    <n v="49"/>
    <n v="1"/>
    <n v="1"/>
  </r>
  <r>
    <x v="1"/>
    <x v="1"/>
    <x v="21"/>
    <n v="224"/>
    <m/>
    <n v="31"/>
  </r>
  <r>
    <x v="1"/>
    <x v="1"/>
    <x v="22"/>
    <n v="2"/>
    <m/>
    <m/>
  </r>
  <r>
    <x v="1"/>
    <x v="1"/>
    <x v="23"/>
    <n v="33"/>
    <m/>
    <n v="9"/>
  </r>
  <r>
    <x v="1"/>
    <x v="1"/>
    <x v="24"/>
    <n v="109"/>
    <m/>
    <n v="10"/>
  </r>
  <r>
    <x v="1"/>
    <x v="1"/>
    <x v="25"/>
    <n v="33"/>
    <m/>
    <m/>
  </r>
  <r>
    <x v="1"/>
    <x v="1"/>
    <x v="26"/>
    <n v="2"/>
    <m/>
    <m/>
  </r>
  <r>
    <x v="1"/>
    <x v="1"/>
    <x v="27"/>
    <n v="36"/>
    <m/>
    <n v="6"/>
  </r>
  <r>
    <x v="1"/>
    <x v="1"/>
    <x v="28"/>
    <n v="169"/>
    <n v="1"/>
    <n v="14"/>
  </r>
  <r>
    <x v="1"/>
    <x v="1"/>
    <x v="29"/>
    <n v="53"/>
    <m/>
    <n v="5"/>
  </r>
  <r>
    <x v="1"/>
    <x v="1"/>
    <x v="30"/>
    <n v="81"/>
    <m/>
    <n v="1"/>
  </r>
  <r>
    <x v="1"/>
    <x v="1"/>
    <x v="31"/>
    <n v="126"/>
    <m/>
    <n v="9"/>
  </r>
  <r>
    <x v="1"/>
    <x v="2"/>
    <x v="0"/>
    <n v="100"/>
    <m/>
    <n v="9"/>
  </r>
  <r>
    <x v="1"/>
    <x v="2"/>
    <x v="1"/>
    <n v="50"/>
    <m/>
    <n v="2"/>
  </r>
  <r>
    <x v="1"/>
    <x v="2"/>
    <x v="2"/>
    <n v="30"/>
    <m/>
    <n v="1"/>
  </r>
  <r>
    <x v="1"/>
    <x v="2"/>
    <x v="3"/>
    <n v="25"/>
    <m/>
    <n v="2"/>
  </r>
  <r>
    <x v="1"/>
    <x v="2"/>
    <x v="4"/>
    <n v="24"/>
    <m/>
    <n v="1"/>
  </r>
  <r>
    <x v="1"/>
    <x v="2"/>
    <x v="5"/>
    <n v="37"/>
    <m/>
    <n v="1"/>
  </r>
  <r>
    <x v="1"/>
    <x v="2"/>
    <x v="6"/>
    <n v="73"/>
    <m/>
    <n v="4"/>
  </r>
  <r>
    <x v="1"/>
    <x v="2"/>
    <x v="7"/>
    <n v="47"/>
    <m/>
    <n v="7"/>
  </r>
  <r>
    <x v="1"/>
    <x v="2"/>
    <x v="8"/>
    <n v="57"/>
    <m/>
    <n v="1"/>
  </r>
  <r>
    <x v="1"/>
    <x v="2"/>
    <x v="9"/>
    <n v="59"/>
    <m/>
    <m/>
  </r>
  <r>
    <x v="1"/>
    <x v="2"/>
    <x v="10"/>
    <n v="19"/>
    <m/>
    <n v="2"/>
  </r>
  <r>
    <x v="1"/>
    <x v="2"/>
    <x v="11"/>
    <n v="296"/>
    <m/>
    <n v="13"/>
  </r>
  <r>
    <x v="1"/>
    <x v="2"/>
    <x v="12"/>
    <n v="144"/>
    <m/>
    <n v="8"/>
  </r>
  <r>
    <x v="1"/>
    <x v="2"/>
    <x v="13"/>
    <n v="153"/>
    <m/>
    <n v="3"/>
  </r>
  <r>
    <x v="1"/>
    <x v="2"/>
    <x v="14"/>
    <n v="448"/>
    <n v="1"/>
    <n v="41"/>
  </r>
  <r>
    <x v="1"/>
    <x v="2"/>
    <x v="15"/>
    <n v="23"/>
    <m/>
    <n v="1"/>
  </r>
  <r>
    <x v="1"/>
    <x v="2"/>
    <x v="16"/>
    <n v="66"/>
    <m/>
    <n v="9"/>
  </r>
  <r>
    <x v="1"/>
    <x v="2"/>
    <x v="17"/>
    <n v="95"/>
    <m/>
    <n v="1"/>
  </r>
  <r>
    <x v="1"/>
    <x v="2"/>
    <x v="18"/>
    <n v="25"/>
    <m/>
    <n v="4"/>
  </r>
  <r>
    <x v="1"/>
    <x v="2"/>
    <x v="19"/>
    <n v="3"/>
    <n v="1"/>
    <m/>
  </r>
  <r>
    <x v="1"/>
    <x v="2"/>
    <x v="20"/>
    <n v="50"/>
    <m/>
    <m/>
  </r>
  <r>
    <x v="1"/>
    <x v="2"/>
    <x v="21"/>
    <n v="209"/>
    <m/>
    <n v="11"/>
  </r>
  <r>
    <x v="1"/>
    <x v="2"/>
    <x v="23"/>
    <n v="27"/>
    <m/>
    <m/>
  </r>
  <r>
    <x v="1"/>
    <x v="2"/>
    <x v="24"/>
    <n v="113"/>
    <m/>
    <n v="11"/>
  </r>
  <r>
    <x v="1"/>
    <x v="2"/>
    <x v="25"/>
    <n v="56"/>
    <m/>
    <n v="2"/>
  </r>
  <r>
    <x v="1"/>
    <x v="2"/>
    <x v="26"/>
    <n v="1"/>
    <m/>
    <m/>
  </r>
  <r>
    <x v="1"/>
    <x v="2"/>
    <x v="27"/>
    <n v="40"/>
    <m/>
    <n v="5"/>
  </r>
  <r>
    <x v="1"/>
    <x v="2"/>
    <x v="28"/>
    <n v="182"/>
    <m/>
    <n v="18"/>
  </r>
  <r>
    <x v="1"/>
    <x v="2"/>
    <x v="29"/>
    <n v="39"/>
    <m/>
    <n v="4"/>
  </r>
  <r>
    <x v="1"/>
    <x v="2"/>
    <x v="30"/>
    <n v="70"/>
    <m/>
    <n v="7"/>
  </r>
  <r>
    <x v="1"/>
    <x v="2"/>
    <x v="31"/>
    <n v="164"/>
    <m/>
    <n v="12"/>
  </r>
</pivotCacheRecords>
</file>

<file path=xl/pivotCache/pivotCacheRecords16.xml><?xml version="1.0" encoding="utf-8"?>
<pivotCacheRecords xmlns="http://schemas.openxmlformats.org/spreadsheetml/2006/main" xmlns:r="http://schemas.openxmlformats.org/officeDocument/2006/relationships" count="191">
  <r>
    <x v="0"/>
    <x v="0"/>
    <x v="0"/>
    <n v="122"/>
    <n v="230350"/>
    <n v="2"/>
    <n v="20"/>
    <m/>
    <n v="5"/>
    <n v="1"/>
    <m/>
    <n v="53"/>
    <n v="10"/>
    <n v="31"/>
  </r>
  <r>
    <x v="0"/>
    <x v="0"/>
    <x v="1"/>
    <n v="92"/>
    <n v="261960"/>
    <n v="2"/>
    <n v="33"/>
    <n v="4"/>
    <n v="9"/>
    <n v="1"/>
    <m/>
    <n v="9"/>
    <n v="2"/>
    <n v="32"/>
  </r>
  <r>
    <x v="0"/>
    <x v="0"/>
    <x v="2"/>
    <n v="55"/>
    <n v="116900"/>
    <n v="2"/>
    <n v="25"/>
    <n v="2"/>
    <n v="4"/>
    <m/>
    <n v="4"/>
    <n v="14"/>
    <n v="2"/>
    <n v="2"/>
  </r>
  <r>
    <x v="0"/>
    <x v="0"/>
    <x v="3"/>
    <n v="29"/>
    <n v="86890"/>
    <n v="1"/>
    <n v="10"/>
    <m/>
    <n v="5"/>
    <n v="2"/>
    <n v="2"/>
    <n v="4"/>
    <n v="2"/>
    <n v="3"/>
  </r>
  <r>
    <x v="0"/>
    <x v="0"/>
    <x v="4"/>
    <n v="19"/>
    <n v="51360"/>
    <n v="1"/>
    <n v="4"/>
    <m/>
    <n v="1"/>
    <m/>
    <n v="3"/>
    <n v="3"/>
    <m/>
    <n v="7"/>
  </r>
  <r>
    <x v="0"/>
    <x v="0"/>
    <x v="5"/>
    <n v="61"/>
    <n v="149670"/>
    <n v="2"/>
    <n v="31"/>
    <m/>
    <n v="8"/>
    <n v="1"/>
    <n v="3"/>
    <n v="10"/>
    <n v="1"/>
    <n v="5"/>
  </r>
  <r>
    <x v="0"/>
    <x v="0"/>
    <x v="6"/>
    <n v="140"/>
    <n v="148210"/>
    <n v="3"/>
    <n v="51"/>
    <n v="1"/>
    <n v="6"/>
    <n v="1"/>
    <n v="4"/>
    <n v="45"/>
    <n v="10"/>
    <n v="19"/>
  </r>
  <r>
    <x v="0"/>
    <x v="0"/>
    <x v="7"/>
    <n v="23"/>
    <n v="122060"/>
    <n v="3"/>
    <n v="3"/>
    <m/>
    <n v="8"/>
    <m/>
    <m/>
    <n v="5"/>
    <n v="1"/>
    <n v="3"/>
  </r>
  <r>
    <x v="0"/>
    <x v="0"/>
    <x v="8"/>
    <n v="11"/>
    <n v="106960"/>
    <n v="1"/>
    <n v="4"/>
    <n v="1"/>
    <n v="1"/>
    <m/>
    <n v="1"/>
    <n v="1"/>
    <n v="1"/>
    <n v="1"/>
  </r>
  <r>
    <x v="0"/>
    <x v="0"/>
    <x v="9"/>
    <n v="58"/>
    <n v="103050"/>
    <m/>
    <n v="27"/>
    <n v="2"/>
    <n v="2"/>
    <m/>
    <n v="12"/>
    <n v="12"/>
    <m/>
    <n v="3"/>
  </r>
  <r>
    <x v="0"/>
    <x v="0"/>
    <x v="10"/>
    <n v="10"/>
    <n v="92940"/>
    <m/>
    <n v="1"/>
    <m/>
    <n v="2"/>
    <m/>
    <m/>
    <n v="6"/>
    <m/>
    <n v="1"/>
  </r>
  <r>
    <x v="0"/>
    <x v="0"/>
    <x v="11"/>
    <n v="584"/>
    <n v="498810"/>
    <n v="5"/>
    <n v="90"/>
    <m/>
    <n v="15"/>
    <m/>
    <n v="37"/>
    <n v="361"/>
    <n v="57"/>
    <n v="19"/>
  </r>
  <r>
    <x v="0"/>
    <x v="0"/>
    <x v="12"/>
    <n v="56"/>
    <n v="158460"/>
    <n v="2"/>
    <n v="30"/>
    <n v="2"/>
    <n v="1"/>
    <m/>
    <n v="8"/>
    <n v="11"/>
    <m/>
    <n v="2"/>
  </r>
  <r>
    <x v="0"/>
    <x v="0"/>
    <x v="13"/>
    <n v="158"/>
    <n v="368080"/>
    <n v="2"/>
    <n v="68"/>
    <n v="1"/>
    <n v="12"/>
    <n v="3"/>
    <n v="10"/>
    <n v="30"/>
    <n v="6"/>
    <n v="26"/>
  </r>
  <r>
    <x v="0"/>
    <x v="0"/>
    <x v="14"/>
    <n v="139"/>
    <n v="606340"/>
    <n v="1"/>
    <n v="17"/>
    <m/>
    <n v="17"/>
    <m/>
    <n v="3"/>
    <n v="86"/>
    <n v="4"/>
    <n v="11"/>
  </r>
  <r>
    <x v="0"/>
    <x v="0"/>
    <x v="15"/>
    <n v="267"/>
    <n v="234110"/>
    <n v="6"/>
    <n v="177"/>
    <n v="1"/>
    <n v="8"/>
    <m/>
    <n v="13"/>
    <n v="37"/>
    <n v="1"/>
    <n v="24"/>
  </r>
  <r>
    <x v="0"/>
    <x v="0"/>
    <x v="16"/>
    <n v="12"/>
    <n v="79500"/>
    <m/>
    <n v="4"/>
    <m/>
    <m/>
    <m/>
    <m/>
    <n v="7"/>
    <n v="1"/>
    <m/>
  </r>
  <r>
    <x v="0"/>
    <x v="0"/>
    <x v="17"/>
    <n v="79"/>
    <n v="87390"/>
    <m/>
    <n v="31"/>
    <n v="1"/>
    <n v="1"/>
    <m/>
    <n v="14"/>
    <n v="15"/>
    <n v="8"/>
    <n v="9"/>
  </r>
  <r>
    <x v="0"/>
    <x v="0"/>
    <x v="18"/>
    <n v="43"/>
    <n v="95510"/>
    <n v="1"/>
    <n v="23"/>
    <n v="1"/>
    <m/>
    <m/>
    <n v="1"/>
    <n v="6"/>
    <m/>
    <n v="11"/>
  </r>
  <r>
    <x v="0"/>
    <x v="0"/>
    <x v="19"/>
    <n v="25"/>
    <n v="27070"/>
    <m/>
    <n v="22"/>
    <m/>
    <m/>
    <m/>
    <n v="1"/>
    <m/>
    <n v="1"/>
    <n v="1"/>
  </r>
  <r>
    <x v="0"/>
    <x v="0"/>
    <x v="20"/>
    <n v="22"/>
    <n v="136130"/>
    <n v="1"/>
    <n v="9"/>
    <m/>
    <n v="1"/>
    <m/>
    <n v="5"/>
    <n v="3"/>
    <n v="1"/>
    <n v="2"/>
  </r>
  <r>
    <x v="0"/>
    <x v="0"/>
    <x v="21"/>
    <n v="35"/>
    <n v="338260"/>
    <n v="1"/>
    <n v="9"/>
    <m/>
    <n v="7"/>
    <n v="1"/>
    <n v="3"/>
    <n v="5"/>
    <m/>
    <n v="9"/>
  </r>
  <r>
    <x v="0"/>
    <x v="0"/>
    <x v="22"/>
    <n v="12"/>
    <n v="21670"/>
    <n v="4"/>
    <n v="3"/>
    <m/>
    <n v="2"/>
    <m/>
    <n v="1"/>
    <n v="1"/>
    <n v="1"/>
    <m/>
  </r>
  <r>
    <x v="0"/>
    <x v="0"/>
    <x v="23"/>
    <n v="56"/>
    <n v="149930"/>
    <n v="1"/>
    <n v="25"/>
    <n v="3"/>
    <n v="2"/>
    <n v="1"/>
    <n v="5"/>
    <n v="12"/>
    <n v="3"/>
    <n v="4"/>
  </r>
  <r>
    <x v="0"/>
    <x v="0"/>
    <x v="24"/>
    <n v="41"/>
    <n v="174560"/>
    <m/>
    <n v="8"/>
    <m/>
    <n v="5"/>
    <m/>
    <n v="4"/>
    <n v="11"/>
    <n v="6"/>
    <n v="7"/>
  </r>
  <r>
    <x v="0"/>
    <x v="0"/>
    <x v="25"/>
    <n v="28"/>
    <n v="114030"/>
    <m/>
    <n v="11"/>
    <m/>
    <n v="5"/>
    <m/>
    <n v="5"/>
    <n v="4"/>
    <m/>
    <n v="3"/>
  </r>
  <r>
    <x v="0"/>
    <x v="0"/>
    <x v="26"/>
    <n v="11"/>
    <n v="23200"/>
    <n v="1"/>
    <n v="4"/>
    <m/>
    <m/>
    <m/>
    <n v="3"/>
    <n v="2"/>
    <n v="1"/>
    <m/>
  </r>
  <r>
    <x v="0"/>
    <x v="0"/>
    <x v="27"/>
    <n v="29"/>
    <n v="112400"/>
    <m/>
    <n v="7"/>
    <m/>
    <m/>
    <m/>
    <n v="2"/>
    <n v="9"/>
    <n v="5"/>
    <n v="6"/>
  </r>
  <r>
    <x v="0"/>
    <x v="0"/>
    <x v="28"/>
    <n v="46"/>
    <n v="316230"/>
    <m/>
    <n v="20"/>
    <m/>
    <n v="6"/>
    <n v="1"/>
    <n v="5"/>
    <n v="8"/>
    <n v="2"/>
    <n v="4"/>
  </r>
  <r>
    <x v="0"/>
    <x v="0"/>
    <x v="29"/>
    <n v="59"/>
    <n v="92830"/>
    <m/>
    <n v="25"/>
    <n v="1"/>
    <n v="5"/>
    <m/>
    <n v="4"/>
    <n v="15"/>
    <n v="2"/>
    <n v="7"/>
  </r>
  <r>
    <x v="0"/>
    <x v="0"/>
    <x v="30"/>
    <n v="12"/>
    <n v="89590"/>
    <m/>
    <n v="4"/>
    <n v="1"/>
    <n v="3"/>
    <m/>
    <n v="2"/>
    <n v="2"/>
    <m/>
    <m/>
  </r>
  <r>
    <x v="0"/>
    <x v="0"/>
    <x v="31"/>
    <n v="120"/>
    <n v="178550"/>
    <m/>
    <n v="68"/>
    <m/>
    <n v="3"/>
    <n v="2"/>
    <n v="14"/>
    <n v="19"/>
    <n v="7"/>
    <n v="7"/>
  </r>
  <r>
    <x v="1"/>
    <x v="0"/>
    <x v="0"/>
    <n v="94"/>
    <n v="229840"/>
    <n v="3"/>
    <n v="24"/>
    <m/>
    <n v="3"/>
    <m/>
    <n v="1"/>
    <n v="37"/>
    <n v="5"/>
    <n v="21"/>
  </r>
  <r>
    <x v="1"/>
    <x v="0"/>
    <x v="1"/>
    <n v="135"/>
    <n v="262190"/>
    <n v="2"/>
    <n v="59"/>
    <n v="1"/>
    <n v="7"/>
    <n v="1"/>
    <n v="6"/>
    <n v="21"/>
    <n v="5"/>
    <n v="33"/>
  </r>
  <r>
    <x v="1"/>
    <x v="0"/>
    <x v="2"/>
    <n v="46"/>
    <n v="116520"/>
    <n v="2"/>
    <n v="18"/>
    <n v="2"/>
    <n v="3"/>
    <m/>
    <n v="5"/>
    <n v="11"/>
    <n v="1"/>
    <n v="4"/>
  </r>
  <r>
    <x v="1"/>
    <x v="0"/>
    <x v="3"/>
    <n v="59"/>
    <n v="87130"/>
    <n v="3"/>
    <n v="27"/>
    <m/>
    <n v="2"/>
    <n v="2"/>
    <n v="12"/>
    <n v="11"/>
    <m/>
    <n v="2"/>
  </r>
  <r>
    <x v="1"/>
    <x v="0"/>
    <x v="4"/>
    <n v="21"/>
    <n v="51350"/>
    <n v="1"/>
    <n v="10"/>
    <m/>
    <n v="4"/>
    <n v="1"/>
    <n v="1"/>
    <n v="4"/>
    <m/>
    <m/>
  </r>
  <r>
    <x v="1"/>
    <x v="0"/>
    <x v="5"/>
    <n v="53"/>
    <n v="149520"/>
    <n v="2"/>
    <n v="27"/>
    <m/>
    <n v="3"/>
    <m/>
    <n v="3"/>
    <n v="11"/>
    <n v="2"/>
    <n v="5"/>
  </r>
  <r>
    <x v="1"/>
    <x v="0"/>
    <x v="6"/>
    <n v="122"/>
    <n v="148270"/>
    <m/>
    <n v="38"/>
    <m/>
    <n v="4"/>
    <m/>
    <n v="11"/>
    <n v="53"/>
    <n v="10"/>
    <n v="6"/>
  </r>
  <r>
    <x v="1"/>
    <x v="0"/>
    <x v="7"/>
    <n v="14"/>
    <n v="122200"/>
    <m/>
    <n v="3"/>
    <m/>
    <n v="3"/>
    <n v="1"/>
    <n v="1"/>
    <n v="2"/>
    <n v="2"/>
    <n v="2"/>
  </r>
  <r>
    <x v="1"/>
    <x v="0"/>
    <x v="8"/>
    <n v="13"/>
    <n v="107540"/>
    <m/>
    <n v="4"/>
    <m/>
    <n v="1"/>
    <n v="1"/>
    <n v="1"/>
    <n v="2"/>
    <m/>
    <n v="4"/>
  </r>
  <r>
    <x v="1"/>
    <x v="0"/>
    <x v="9"/>
    <n v="55"/>
    <n v="104090"/>
    <n v="1"/>
    <n v="25"/>
    <m/>
    <n v="3"/>
    <m/>
    <n v="8"/>
    <n v="9"/>
    <n v="4"/>
    <n v="5"/>
  </r>
  <r>
    <x v="1"/>
    <x v="0"/>
    <x v="10"/>
    <n v="9"/>
    <n v="93810"/>
    <m/>
    <n v="6"/>
    <m/>
    <n v="2"/>
    <m/>
    <m/>
    <n v="1"/>
    <m/>
    <m/>
  </r>
  <r>
    <x v="1"/>
    <x v="0"/>
    <x v="11"/>
    <n v="565"/>
    <n v="507170"/>
    <m/>
    <n v="61"/>
    <m/>
    <n v="18"/>
    <n v="2"/>
    <n v="37"/>
    <n v="376"/>
    <n v="49"/>
    <n v="22"/>
  </r>
  <r>
    <x v="1"/>
    <x v="0"/>
    <x v="12"/>
    <n v="108"/>
    <n v="159380"/>
    <n v="2"/>
    <n v="60"/>
    <m/>
    <n v="2"/>
    <m/>
    <n v="10"/>
    <n v="18"/>
    <n v="5"/>
    <n v="11"/>
  </r>
  <r>
    <x v="1"/>
    <x v="0"/>
    <x v="13"/>
    <n v="156"/>
    <n v="370330"/>
    <n v="4"/>
    <n v="63"/>
    <m/>
    <n v="9"/>
    <m/>
    <n v="18"/>
    <n v="32"/>
    <n v="8"/>
    <n v="22"/>
  </r>
  <r>
    <x v="1"/>
    <x v="0"/>
    <x v="14"/>
    <n v="140"/>
    <n v="615070"/>
    <n v="2"/>
    <n v="18"/>
    <m/>
    <n v="8"/>
    <n v="1"/>
    <n v="6"/>
    <n v="85"/>
    <n v="5"/>
    <n v="15"/>
  </r>
  <r>
    <x v="1"/>
    <x v="0"/>
    <x v="15"/>
    <n v="260"/>
    <n v="234770"/>
    <n v="9"/>
    <n v="190"/>
    <n v="4"/>
    <n v="2"/>
    <n v="1"/>
    <n v="11"/>
    <n v="24"/>
    <n v="4"/>
    <n v="15"/>
  </r>
  <r>
    <x v="1"/>
    <x v="0"/>
    <x v="16"/>
    <n v="12"/>
    <n v="79160"/>
    <m/>
    <n v="1"/>
    <m/>
    <n v="2"/>
    <m/>
    <n v="3"/>
    <n v="3"/>
    <n v="2"/>
    <n v="1"/>
  </r>
  <r>
    <x v="1"/>
    <x v="0"/>
    <x v="17"/>
    <n v="47"/>
    <n v="88610"/>
    <n v="1"/>
    <n v="25"/>
    <m/>
    <n v="3"/>
    <m/>
    <n v="3"/>
    <n v="3"/>
    <n v="3"/>
    <n v="9"/>
  </r>
  <r>
    <x v="1"/>
    <x v="0"/>
    <x v="18"/>
    <n v="67"/>
    <n v="96070"/>
    <n v="2"/>
    <n v="36"/>
    <n v="1"/>
    <n v="4"/>
    <m/>
    <n v="4"/>
    <n v="8"/>
    <n v="2"/>
    <n v="10"/>
  </r>
  <r>
    <x v="1"/>
    <x v="0"/>
    <x v="19"/>
    <n v="49"/>
    <n v="26900"/>
    <n v="1"/>
    <n v="43"/>
    <n v="1"/>
    <m/>
    <m/>
    <m/>
    <n v="1"/>
    <m/>
    <n v="3"/>
  </r>
  <r>
    <x v="1"/>
    <x v="0"/>
    <x v="20"/>
    <n v="30"/>
    <n v="135890"/>
    <m/>
    <n v="4"/>
    <m/>
    <n v="6"/>
    <m/>
    <n v="5"/>
    <n v="8"/>
    <n v="2"/>
    <n v="5"/>
  </r>
  <r>
    <x v="1"/>
    <x v="0"/>
    <x v="21"/>
    <n v="32"/>
    <n v="339390"/>
    <n v="1"/>
    <n v="8"/>
    <n v="2"/>
    <n v="8"/>
    <m/>
    <n v="2"/>
    <n v="6"/>
    <n v="1"/>
    <n v="4"/>
  </r>
  <r>
    <x v="1"/>
    <x v="0"/>
    <x v="22"/>
    <n v="9"/>
    <n v="21850"/>
    <m/>
    <n v="5"/>
    <m/>
    <n v="1"/>
    <m/>
    <n v="1"/>
    <n v="2"/>
    <m/>
    <m/>
  </r>
  <r>
    <x v="1"/>
    <x v="0"/>
    <x v="23"/>
    <n v="64"/>
    <n v="150680"/>
    <n v="1"/>
    <n v="29"/>
    <m/>
    <n v="6"/>
    <n v="2"/>
    <n v="7"/>
    <n v="14"/>
    <n v="2"/>
    <n v="3"/>
  </r>
  <r>
    <x v="1"/>
    <x v="0"/>
    <x v="24"/>
    <n v="37"/>
    <n v="175930"/>
    <n v="3"/>
    <n v="11"/>
    <m/>
    <n v="5"/>
    <n v="1"/>
    <n v="6"/>
    <n v="4"/>
    <n v="2"/>
    <n v="5"/>
  </r>
  <r>
    <x v="1"/>
    <x v="0"/>
    <x v="25"/>
    <n v="34"/>
    <n v="114530"/>
    <n v="1"/>
    <n v="13"/>
    <m/>
    <n v="5"/>
    <m/>
    <n v="6"/>
    <n v="1"/>
    <n v="3"/>
    <n v="5"/>
  </r>
  <r>
    <x v="1"/>
    <x v="0"/>
    <x v="26"/>
    <n v="4"/>
    <n v="23200"/>
    <m/>
    <n v="3"/>
    <m/>
    <m/>
    <m/>
    <m/>
    <m/>
    <n v="1"/>
    <m/>
  </r>
  <r>
    <x v="1"/>
    <x v="0"/>
    <x v="27"/>
    <n v="19"/>
    <n v="112470"/>
    <m/>
    <n v="2"/>
    <n v="1"/>
    <n v="2"/>
    <m/>
    <n v="1"/>
    <n v="7"/>
    <n v="2"/>
    <n v="4"/>
  </r>
  <r>
    <x v="1"/>
    <x v="0"/>
    <x v="28"/>
    <n v="41"/>
    <n v="317100"/>
    <m/>
    <n v="15"/>
    <n v="2"/>
    <n v="10"/>
    <m/>
    <n v="5"/>
    <n v="4"/>
    <n v="1"/>
    <n v="4"/>
  </r>
  <r>
    <x v="1"/>
    <x v="0"/>
    <x v="29"/>
    <n v="55"/>
    <n v="93750"/>
    <n v="1"/>
    <n v="33"/>
    <m/>
    <n v="2"/>
    <n v="1"/>
    <n v="3"/>
    <n v="8"/>
    <n v="5"/>
    <n v="2"/>
  </r>
  <r>
    <x v="1"/>
    <x v="0"/>
    <x v="30"/>
    <n v="16"/>
    <n v="89860"/>
    <m/>
    <n v="8"/>
    <m/>
    <n v="2"/>
    <n v="1"/>
    <n v="3"/>
    <n v="1"/>
    <m/>
    <n v="1"/>
  </r>
  <r>
    <x v="1"/>
    <x v="0"/>
    <x v="31"/>
    <n v="100"/>
    <n v="180130"/>
    <m/>
    <n v="65"/>
    <n v="1"/>
    <n v="3"/>
    <m/>
    <n v="8"/>
    <n v="14"/>
    <n v="4"/>
    <n v="5"/>
  </r>
  <r>
    <x v="2"/>
    <x v="0"/>
    <x v="0"/>
    <n v="81"/>
    <n v="228800"/>
    <m/>
    <n v="27"/>
    <m/>
    <n v="6"/>
    <m/>
    <n v="3"/>
    <n v="31"/>
    <n v="1"/>
    <n v="13"/>
  </r>
  <r>
    <x v="2"/>
    <x v="0"/>
    <x v="1"/>
    <n v="81"/>
    <n v="261800"/>
    <n v="2"/>
    <n v="41"/>
    <n v="1"/>
    <n v="4"/>
    <m/>
    <n v="4"/>
    <n v="12"/>
    <n v="2"/>
    <n v="15"/>
  </r>
  <r>
    <x v="2"/>
    <x v="0"/>
    <x v="2"/>
    <n v="66"/>
    <n v="116280"/>
    <m/>
    <n v="31"/>
    <m/>
    <n v="1"/>
    <m/>
    <n v="7"/>
    <n v="20"/>
    <n v="2"/>
    <n v="5"/>
  </r>
  <r>
    <x v="2"/>
    <x v="0"/>
    <x v="3"/>
    <n v="40"/>
    <n v="86810"/>
    <n v="3"/>
    <n v="21"/>
    <n v="1"/>
    <n v="4"/>
    <n v="2"/>
    <n v="2"/>
    <n v="4"/>
    <n v="1"/>
    <n v="2"/>
  </r>
  <r>
    <x v="2"/>
    <x v="0"/>
    <x v="4"/>
    <n v="33"/>
    <n v="51450"/>
    <m/>
    <n v="22"/>
    <n v="1"/>
    <n v="2"/>
    <m/>
    <n v="2"/>
    <n v="4"/>
    <m/>
    <n v="2"/>
  </r>
  <r>
    <x v="2"/>
    <x v="0"/>
    <x v="5"/>
    <n v="79"/>
    <n v="149200"/>
    <n v="1"/>
    <n v="40"/>
    <n v="2"/>
    <n v="4"/>
    <n v="1"/>
    <n v="8"/>
    <n v="15"/>
    <n v="2"/>
    <n v="6"/>
  </r>
  <r>
    <x v="2"/>
    <x v="0"/>
    <x v="6"/>
    <n v="107"/>
    <n v="148710"/>
    <n v="1"/>
    <n v="39"/>
    <n v="1"/>
    <n v="4"/>
    <m/>
    <n v="6"/>
    <n v="35"/>
    <n v="13"/>
    <n v="8"/>
  </r>
  <r>
    <x v="2"/>
    <x v="0"/>
    <x v="7"/>
    <n v="13"/>
    <n v="121940"/>
    <n v="1"/>
    <n v="3"/>
    <m/>
    <n v="5"/>
    <m/>
    <n v="1"/>
    <n v="1"/>
    <n v="1"/>
    <n v="1"/>
  </r>
  <r>
    <x v="2"/>
    <x v="0"/>
    <x v="8"/>
    <n v="13"/>
    <n v="108130"/>
    <m/>
    <n v="4"/>
    <n v="1"/>
    <n v="1"/>
    <m/>
    <m/>
    <n v="3"/>
    <m/>
    <n v="4"/>
  </r>
  <r>
    <x v="2"/>
    <x v="0"/>
    <x v="9"/>
    <n v="66"/>
    <n v="104840"/>
    <m/>
    <n v="36"/>
    <m/>
    <n v="3"/>
    <m/>
    <n v="11"/>
    <n v="10"/>
    <n v="4"/>
    <n v="2"/>
  </r>
  <r>
    <x v="2"/>
    <x v="0"/>
    <x v="10"/>
    <n v="13"/>
    <n v="94760"/>
    <n v="1"/>
    <n v="2"/>
    <m/>
    <n v="3"/>
    <m/>
    <n v="1"/>
    <n v="4"/>
    <n v="1"/>
    <n v="1"/>
  </r>
  <r>
    <x v="2"/>
    <x v="0"/>
    <x v="11"/>
    <n v="565"/>
    <n v="513210"/>
    <n v="4"/>
    <n v="118"/>
    <m/>
    <n v="18"/>
    <m/>
    <n v="43"/>
    <n v="315"/>
    <n v="46"/>
    <n v="21"/>
  </r>
  <r>
    <x v="2"/>
    <x v="0"/>
    <x v="12"/>
    <n v="145"/>
    <n v="160130"/>
    <n v="6"/>
    <n v="87"/>
    <m/>
    <n v="8"/>
    <m/>
    <n v="11"/>
    <n v="15"/>
    <n v="6"/>
    <n v="12"/>
  </r>
  <r>
    <x v="2"/>
    <x v="0"/>
    <x v="13"/>
    <n v="237"/>
    <n v="371410"/>
    <n v="3"/>
    <n v="101"/>
    <n v="2"/>
    <n v="19"/>
    <n v="2"/>
    <n v="38"/>
    <n v="31"/>
    <n v="11"/>
    <n v="30"/>
  </r>
  <r>
    <x v="2"/>
    <x v="0"/>
    <x v="14"/>
    <n v="123"/>
    <n v="621020"/>
    <n v="5"/>
    <n v="7"/>
    <m/>
    <n v="11"/>
    <n v="3"/>
    <n v="5"/>
    <n v="78"/>
    <n v="1"/>
    <n v="13"/>
  </r>
  <r>
    <x v="2"/>
    <x v="0"/>
    <x v="15"/>
    <n v="340"/>
    <n v="235180"/>
    <n v="4"/>
    <n v="250"/>
    <n v="2"/>
    <n v="6"/>
    <n v="2"/>
    <n v="18"/>
    <n v="31"/>
    <n v="8"/>
    <n v="19"/>
  </r>
  <r>
    <x v="2"/>
    <x v="0"/>
    <x v="16"/>
    <n v="8"/>
    <n v="78760"/>
    <m/>
    <n v="1"/>
    <m/>
    <n v="2"/>
    <m/>
    <m/>
    <n v="3"/>
    <m/>
    <n v="2"/>
  </r>
  <r>
    <x v="2"/>
    <x v="0"/>
    <x v="17"/>
    <n v="61"/>
    <n v="90090"/>
    <m/>
    <n v="33"/>
    <n v="2"/>
    <n v="5"/>
    <n v="1"/>
    <n v="4"/>
    <n v="9"/>
    <n v="4"/>
    <n v="3"/>
  </r>
  <r>
    <x v="2"/>
    <x v="0"/>
    <x v="18"/>
    <n v="39"/>
    <n v="95780"/>
    <n v="1"/>
    <n v="26"/>
    <n v="1"/>
    <n v="1"/>
    <m/>
    <n v="2"/>
    <n v="6"/>
    <m/>
    <n v="2"/>
  </r>
  <r>
    <x v="2"/>
    <x v="0"/>
    <x v="19"/>
    <n v="64"/>
    <n v="26950"/>
    <m/>
    <n v="60"/>
    <m/>
    <n v="1"/>
    <m/>
    <n v="1"/>
    <n v="1"/>
    <m/>
    <n v="1"/>
  </r>
  <r>
    <x v="2"/>
    <x v="0"/>
    <x v="20"/>
    <n v="24"/>
    <n v="135790"/>
    <n v="1"/>
    <n v="6"/>
    <m/>
    <n v="2"/>
    <m/>
    <n v="3"/>
    <n v="8"/>
    <n v="1"/>
    <n v="3"/>
  </r>
  <r>
    <x v="2"/>
    <x v="0"/>
    <x v="21"/>
    <n v="30"/>
    <n v="339960"/>
    <n v="2"/>
    <n v="8"/>
    <n v="1"/>
    <n v="7"/>
    <n v="2"/>
    <n v="4"/>
    <n v="2"/>
    <m/>
    <n v="4"/>
  </r>
  <r>
    <x v="2"/>
    <x v="0"/>
    <x v="22"/>
    <n v="7"/>
    <n v="22000"/>
    <m/>
    <n v="4"/>
    <m/>
    <m/>
    <n v="1"/>
    <m/>
    <n v="2"/>
    <m/>
    <m/>
  </r>
  <r>
    <x v="2"/>
    <x v="0"/>
    <x v="23"/>
    <n v="89"/>
    <n v="151100"/>
    <n v="3"/>
    <n v="39"/>
    <m/>
    <n v="5"/>
    <n v="1"/>
    <n v="7"/>
    <n v="18"/>
    <n v="2"/>
    <n v="14"/>
  </r>
  <r>
    <x v="2"/>
    <x v="0"/>
    <x v="24"/>
    <n v="35"/>
    <n v="176830"/>
    <m/>
    <n v="8"/>
    <m/>
    <n v="10"/>
    <m/>
    <n v="2"/>
    <n v="7"/>
    <n v="5"/>
    <n v="3"/>
  </r>
  <r>
    <x v="2"/>
    <x v="0"/>
    <x v="25"/>
    <n v="31"/>
    <n v="115020"/>
    <n v="1"/>
    <n v="12"/>
    <n v="1"/>
    <n v="4"/>
    <m/>
    <n v="6"/>
    <n v="3"/>
    <n v="1"/>
    <n v="3"/>
  </r>
  <r>
    <x v="2"/>
    <x v="0"/>
    <x v="26"/>
    <n v="9"/>
    <n v="23080"/>
    <n v="1"/>
    <n v="5"/>
    <m/>
    <n v="1"/>
    <m/>
    <m/>
    <m/>
    <n v="1"/>
    <n v="1"/>
  </r>
  <r>
    <x v="2"/>
    <x v="0"/>
    <x v="27"/>
    <n v="27"/>
    <n v="112680"/>
    <n v="1"/>
    <n v="8"/>
    <m/>
    <n v="3"/>
    <m/>
    <m/>
    <n v="14"/>
    <m/>
    <n v="1"/>
  </r>
  <r>
    <x v="2"/>
    <x v="0"/>
    <x v="28"/>
    <n v="39"/>
    <n v="318170"/>
    <m/>
    <n v="14"/>
    <m/>
    <n v="7"/>
    <m/>
    <n v="3"/>
    <n v="8"/>
    <m/>
    <n v="7"/>
  </r>
  <r>
    <x v="2"/>
    <x v="0"/>
    <x v="29"/>
    <n v="43"/>
    <n v="94000"/>
    <m/>
    <n v="24"/>
    <m/>
    <n v="2"/>
    <m/>
    <n v="3"/>
    <n v="11"/>
    <n v="1"/>
    <n v="2"/>
  </r>
  <r>
    <x v="2"/>
    <x v="0"/>
    <x v="30"/>
    <n v="5"/>
    <n v="89610"/>
    <m/>
    <m/>
    <n v="1"/>
    <n v="1"/>
    <m/>
    <n v="1"/>
    <n v="2"/>
    <m/>
    <m/>
  </r>
  <r>
    <x v="2"/>
    <x v="0"/>
    <x v="31"/>
    <n v="82"/>
    <n v="181310"/>
    <m/>
    <n v="51"/>
    <m/>
    <n v="3"/>
    <n v="1"/>
    <n v="6"/>
    <n v="13"/>
    <n v="3"/>
    <n v="5"/>
  </r>
  <r>
    <x v="0"/>
    <x v="1"/>
    <x v="0"/>
    <n v="319"/>
    <n v="230350"/>
    <n v="20"/>
    <n v="55"/>
    <m/>
    <n v="4"/>
    <n v="1"/>
    <m/>
    <n v="141"/>
    <n v="10"/>
    <n v="88"/>
  </r>
  <r>
    <x v="0"/>
    <x v="1"/>
    <x v="1"/>
    <n v="92"/>
    <n v="261960"/>
    <n v="6"/>
    <n v="26"/>
    <m/>
    <n v="4"/>
    <n v="2"/>
    <n v="1"/>
    <n v="7"/>
    <n v="5"/>
    <n v="41"/>
  </r>
  <r>
    <x v="0"/>
    <x v="1"/>
    <x v="2"/>
    <n v="92"/>
    <n v="116900"/>
    <n v="3"/>
    <n v="45"/>
    <m/>
    <n v="2"/>
    <n v="1"/>
    <n v="15"/>
    <n v="13"/>
    <n v="3"/>
    <n v="10"/>
  </r>
  <r>
    <x v="0"/>
    <x v="1"/>
    <x v="3"/>
    <n v="39"/>
    <n v="86890"/>
    <n v="2"/>
    <n v="16"/>
    <m/>
    <m/>
    <m/>
    <n v="10"/>
    <n v="6"/>
    <n v="1"/>
    <n v="4"/>
  </r>
  <r>
    <x v="0"/>
    <x v="1"/>
    <x v="4"/>
    <n v="83"/>
    <n v="51360"/>
    <n v="2"/>
    <n v="27"/>
    <n v="2"/>
    <n v="1"/>
    <m/>
    <n v="9"/>
    <n v="19"/>
    <n v="6"/>
    <n v="17"/>
  </r>
  <r>
    <x v="0"/>
    <x v="1"/>
    <x v="5"/>
    <n v="94"/>
    <n v="149670"/>
    <n v="6"/>
    <n v="33"/>
    <m/>
    <n v="3"/>
    <n v="2"/>
    <n v="5"/>
    <n v="14"/>
    <n v="4"/>
    <n v="27"/>
  </r>
  <r>
    <x v="0"/>
    <x v="1"/>
    <x v="6"/>
    <n v="540"/>
    <n v="148210"/>
    <n v="25"/>
    <n v="160"/>
    <n v="4"/>
    <n v="9"/>
    <n v="2"/>
    <n v="70"/>
    <n v="167"/>
    <n v="25"/>
    <n v="78"/>
  </r>
  <r>
    <x v="0"/>
    <x v="1"/>
    <x v="7"/>
    <n v="593"/>
    <n v="122060"/>
    <n v="9"/>
    <n v="213"/>
    <n v="3"/>
    <n v="4"/>
    <n v="4"/>
    <n v="65"/>
    <n v="119"/>
    <n v="33"/>
    <n v="143"/>
  </r>
  <r>
    <x v="0"/>
    <x v="1"/>
    <x v="8"/>
    <n v="160"/>
    <n v="106960"/>
    <n v="3"/>
    <n v="52"/>
    <n v="2"/>
    <n v="4"/>
    <n v="1"/>
    <n v="30"/>
    <n v="20"/>
    <n v="6"/>
    <n v="42"/>
  </r>
  <r>
    <x v="0"/>
    <x v="1"/>
    <x v="9"/>
    <n v="137"/>
    <n v="103050"/>
    <n v="4"/>
    <n v="42"/>
    <n v="6"/>
    <n v="4"/>
    <n v="1"/>
    <n v="29"/>
    <n v="22"/>
    <n v="5"/>
    <n v="24"/>
  </r>
  <r>
    <x v="0"/>
    <x v="1"/>
    <x v="10"/>
    <n v="137"/>
    <n v="92940"/>
    <n v="6"/>
    <n v="40"/>
    <n v="1"/>
    <n v="8"/>
    <m/>
    <n v="27"/>
    <n v="20"/>
    <n v="8"/>
    <n v="27"/>
  </r>
  <r>
    <x v="0"/>
    <x v="1"/>
    <x v="11"/>
    <n v="1309"/>
    <n v="498810"/>
    <n v="17"/>
    <n v="329"/>
    <n v="1"/>
    <n v="19"/>
    <n v="2"/>
    <n v="273"/>
    <n v="365"/>
    <n v="86"/>
    <n v="217"/>
  </r>
  <r>
    <x v="0"/>
    <x v="1"/>
    <x v="12"/>
    <n v="287"/>
    <n v="158460"/>
    <n v="4"/>
    <n v="113"/>
    <n v="3"/>
    <n v="7"/>
    <n v="1"/>
    <n v="54"/>
    <n v="53"/>
    <n v="6"/>
    <n v="46"/>
  </r>
  <r>
    <x v="0"/>
    <x v="1"/>
    <x v="13"/>
    <n v="582"/>
    <n v="368080"/>
    <n v="15"/>
    <n v="202"/>
    <n v="1"/>
    <n v="13"/>
    <n v="3"/>
    <n v="55"/>
    <n v="89"/>
    <n v="10"/>
    <n v="194"/>
  </r>
  <r>
    <x v="0"/>
    <x v="1"/>
    <x v="14"/>
    <n v="2297"/>
    <n v="606340"/>
    <n v="71"/>
    <n v="482"/>
    <n v="3"/>
    <n v="28"/>
    <n v="9"/>
    <n v="298"/>
    <n v="707"/>
    <n v="72"/>
    <n v="627"/>
  </r>
  <r>
    <x v="0"/>
    <x v="1"/>
    <x v="15"/>
    <n v="75"/>
    <n v="234110"/>
    <n v="3"/>
    <n v="37"/>
    <n v="1"/>
    <n v="4"/>
    <n v="1"/>
    <n v="11"/>
    <n v="9"/>
    <n v="1"/>
    <n v="8"/>
  </r>
  <r>
    <x v="0"/>
    <x v="1"/>
    <x v="16"/>
    <n v="393"/>
    <n v="79500"/>
    <n v="16"/>
    <n v="157"/>
    <m/>
    <n v="8"/>
    <m/>
    <n v="50"/>
    <n v="59"/>
    <n v="18"/>
    <n v="85"/>
  </r>
  <r>
    <x v="0"/>
    <x v="1"/>
    <x v="17"/>
    <n v="222"/>
    <n v="87390"/>
    <n v="4"/>
    <n v="81"/>
    <n v="5"/>
    <n v="5"/>
    <m/>
    <n v="35"/>
    <n v="38"/>
    <n v="10"/>
    <n v="44"/>
  </r>
  <r>
    <x v="0"/>
    <x v="1"/>
    <x v="18"/>
    <n v="52"/>
    <n v="95510"/>
    <n v="2"/>
    <n v="23"/>
    <m/>
    <m/>
    <n v="1"/>
    <n v="1"/>
    <n v="6"/>
    <m/>
    <n v="19"/>
  </r>
  <r>
    <x v="0"/>
    <x v="1"/>
    <x v="19"/>
    <n v="5"/>
    <n v="27070"/>
    <m/>
    <n v="4"/>
    <m/>
    <m/>
    <m/>
    <m/>
    <m/>
    <n v="1"/>
    <m/>
  </r>
  <r>
    <x v="0"/>
    <x v="1"/>
    <x v="20"/>
    <n v="485"/>
    <n v="136130"/>
    <n v="10"/>
    <n v="171"/>
    <n v="1"/>
    <n v="9"/>
    <m/>
    <n v="93"/>
    <n v="103"/>
    <n v="17"/>
    <n v="81"/>
  </r>
  <r>
    <x v="0"/>
    <x v="1"/>
    <x v="21"/>
    <n v="1505"/>
    <n v="338260"/>
    <n v="16"/>
    <n v="505"/>
    <n v="6"/>
    <n v="21"/>
    <n v="3"/>
    <n v="208"/>
    <n v="262"/>
    <n v="49"/>
    <n v="435"/>
  </r>
  <r>
    <x v="0"/>
    <x v="1"/>
    <x v="22"/>
    <n v="1"/>
    <n v="21670"/>
    <m/>
    <m/>
    <m/>
    <m/>
    <m/>
    <m/>
    <m/>
    <m/>
    <n v="1"/>
  </r>
  <r>
    <x v="0"/>
    <x v="1"/>
    <x v="23"/>
    <n v="88"/>
    <n v="149930"/>
    <n v="4"/>
    <n v="37"/>
    <n v="1"/>
    <n v="1"/>
    <n v="1"/>
    <n v="16"/>
    <n v="12"/>
    <n v="4"/>
    <n v="12"/>
  </r>
  <r>
    <x v="0"/>
    <x v="1"/>
    <x v="24"/>
    <n v="525"/>
    <n v="174560"/>
    <n v="15"/>
    <n v="139"/>
    <n v="1"/>
    <n v="4"/>
    <n v="3"/>
    <n v="95"/>
    <n v="128"/>
    <n v="22"/>
    <n v="118"/>
  </r>
  <r>
    <x v="0"/>
    <x v="1"/>
    <x v="25"/>
    <n v="64"/>
    <n v="114030"/>
    <n v="2"/>
    <n v="25"/>
    <n v="1"/>
    <m/>
    <m/>
    <n v="6"/>
    <n v="7"/>
    <n v="4"/>
    <n v="19"/>
  </r>
  <r>
    <x v="0"/>
    <x v="1"/>
    <x v="27"/>
    <n v="182"/>
    <n v="112400"/>
    <n v="5"/>
    <n v="63"/>
    <n v="2"/>
    <m/>
    <m/>
    <n v="21"/>
    <n v="48"/>
    <n v="5"/>
    <n v="38"/>
  </r>
  <r>
    <x v="0"/>
    <x v="1"/>
    <x v="28"/>
    <n v="860"/>
    <n v="316230"/>
    <n v="17"/>
    <n v="249"/>
    <m/>
    <n v="12"/>
    <n v="10"/>
    <n v="80"/>
    <n v="169"/>
    <n v="25"/>
    <n v="298"/>
  </r>
  <r>
    <x v="0"/>
    <x v="1"/>
    <x v="29"/>
    <n v="150"/>
    <n v="92830"/>
    <n v="4"/>
    <n v="67"/>
    <n v="2"/>
    <n v="2"/>
    <m/>
    <n v="22"/>
    <n v="22"/>
    <n v="3"/>
    <n v="28"/>
  </r>
  <r>
    <x v="0"/>
    <x v="1"/>
    <x v="30"/>
    <n v="300"/>
    <n v="89590"/>
    <n v="13"/>
    <n v="110"/>
    <n v="1"/>
    <n v="1"/>
    <n v="1"/>
    <n v="32"/>
    <n v="53"/>
    <n v="1"/>
    <n v="88"/>
  </r>
  <r>
    <x v="0"/>
    <x v="1"/>
    <x v="31"/>
    <n v="610"/>
    <n v="178550"/>
    <n v="22"/>
    <n v="199"/>
    <n v="3"/>
    <n v="13"/>
    <n v="2"/>
    <n v="114"/>
    <n v="187"/>
    <n v="13"/>
    <n v="57"/>
  </r>
  <r>
    <x v="1"/>
    <x v="1"/>
    <x v="0"/>
    <n v="221"/>
    <n v="229840"/>
    <n v="8"/>
    <n v="45"/>
    <m/>
    <n v="8"/>
    <m/>
    <n v="6"/>
    <n v="80"/>
    <n v="12"/>
    <n v="62"/>
  </r>
  <r>
    <x v="1"/>
    <x v="1"/>
    <x v="1"/>
    <n v="129"/>
    <n v="262190"/>
    <n v="2"/>
    <n v="47"/>
    <m/>
    <n v="2"/>
    <n v="1"/>
    <n v="11"/>
    <n v="18"/>
    <n v="8"/>
    <n v="40"/>
  </r>
  <r>
    <x v="1"/>
    <x v="1"/>
    <x v="2"/>
    <n v="80"/>
    <n v="116520"/>
    <n v="3"/>
    <n v="32"/>
    <n v="1"/>
    <n v="1"/>
    <n v="1"/>
    <n v="13"/>
    <n v="12"/>
    <n v="3"/>
    <n v="14"/>
  </r>
  <r>
    <x v="1"/>
    <x v="1"/>
    <x v="3"/>
    <n v="63"/>
    <n v="87130"/>
    <n v="2"/>
    <n v="37"/>
    <n v="2"/>
    <m/>
    <n v="1"/>
    <n v="6"/>
    <n v="9"/>
    <n v="1"/>
    <n v="5"/>
  </r>
  <r>
    <x v="1"/>
    <x v="1"/>
    <x v="4"/>
    <n v="63"/>
    <n v="51350"/>
    <n v="2"/>
    <n v="15"/>
    <m/>
    <n v="2"/>
    <m/>
    <n v="10"/>
    <n v="15"/>
    <m/>
    <n v="19"/>
  </r>
  <r>
    <x v="1"/>
    <x v="1"/>
    <x v="5"/>
    <n v="116"/>
    <n v="149520"/>
    <n v="2"/>
    <n v="31"/>
    <m/>
    <n v="3"/>
    <n v="1"/>
    <n v="16"/>
    <n v="25"/>
    <n v="7"/>
    <n v="31"/>
  </r>
  <r>
    <x v="1"/>
    <x v="1"/>
    <x v="6"/>
    <n v="696"/>
    <n v="148270"/>
    <n v="15"/>
    <n v="234"/>
    <n v="2"/>
    <n v="22"/>
    <m/>
    <n v="68"/>
    <n v="248"/>
    <n v="30"/>
    <n v="77"/>
  </r>
  <r>
    <x v="1"/>
    <x v="1"/>
    <x v="7"/>
    <n v="626"/>
    <n v="122200"/>
    <n v="10"/>
    <n v="196"/>
    <n v="6"/>
    <n v="6"/>
    <m/>
    <n v="68"/>
    <n v="163"/>
    <n v="21"/>
    <n v="156"/>
  </r>
  <r>
    <x v="1"/>
    <x v="1"/>
    <x v="8"/>
    <n v="167"/>
    <n v="107540"/>
    <n v="7"/>
    <n v="50"/>
    <m/>
    <n v="3"/>
    <n v="1"/>
    <n v="19"/>
    <n v="42"/>
    <n v="4"/>
    <n v="41"/>
  </r>
  <r>
    <x v="1"/>
    <x v="1"/>
    <x v="9"/>
    <n v="200"/>
    <n v="104090"/>
    <n v="2"/>
    <n v="54"/>
    <n v="4"/>
    <n v="5"/>
    <m/>
    <n v="46"/>
    <n v="34"/>
    <n v="10"/>
    <n v="45"/>
  </r>
  <r>
    <x v="1"/>
    <x v="1"/>
    <x v="10"/>
    <n v="143"/>
    <n v="93810"/>
    <n v="7"/>
    <n v="51"/>
    <n v="2"/>
    <n v="6"/>
    <m/>
    <n v="23"/>
    <n v="18"/>
    <n v="3"/>
    <n v="33"/>
  </r>
  <r>
    <x v="1"/>
    <x v="1"/>
    <x v="11"/>
    <n v="1309"/>
    <n v="507170"/>
    <n v="9"/>
    <n v="326"/>
    <m/>
    <n v="28"/>
    <n v="1"/>
    <n v="287"/>
    <n v="334"/>
    <n v="71"/>
    <n v="253"/>
  </r>
  <r>
    <x v="1"/>
    <x v="1"/>
    <x v="12"/>
    <n v="304"/>
    <n v="159380"/>
    <n v="5"/>
    <n v="119"/>
    <m/>
    <n v="4"/>
    <m/>
    <n v="48"/>
    <n v="61"/>
    <n v="15"/>
    <n v="52"/>
  </r>
  <r>
    <x v="1"/>
    <x v="1"/>
    <x v="13"/>
    <n v="581"/>
    <n v="370330"/>
    <n v="13"/>
    <n v="224"/>
    <n v="5"/>
    <n v="14"/>
    <n v="2"/>
    <n v="66"/>
    <n v="84"/>
    <n v="14"/>
    <n v="159"/>
  </r>
  <r>
    <x v="1"/>
    <x v="1"/>
    <x v="14"/>
    <n v="2419"/>
    <n v="615070"/>
    <n v="39"/>
    <n v="470"/>
    <n v="3"/>
    <n v="25"/>
    <n v="6"/>
    <n v="300"/>
    <n v="807"/>
    <n v="65"/>
    <n v="704"/>
  </r>
  <r>
    <x v="1"/>
    <x v="1"/>
    <x v="15"/>
    <n v="100"/>
    <n v="234770"/>
    <n v="2"/>
    <n v="52"/>
    <m/>
    <m/>
    <n v="1"/>
    <n v="16"/>
    <n v="16"/>
    <n v="4"/>
    <n v="9"/>
  </r>
  <r>
    <x v="1"/>
    <x v="1"/>
    <x v="16"/>
    <n v="557"/>
    <n v="79160"/>
    <n v="13"/>
    <n v="280"/>
    <m/>
    <n v="5"/>
    <n v="3"/>
    <n v="54"/>
    <n v="98"/>
    <n v="9"/>
    <n v="95"/>
  </r>
  <r>
    <x v="1"/>
    <x v="1"/>
    <x v="17"/>
    <n v="324"/>
    <n v="88610"/>
    <n v="4"/>
    <n v="81"/>
    <n v="8"/>
    <n v="16"/>
    <n v="1"/>
    <n v="66"/>
    <n v="59"/>
    <n v="19"/>
    <n v="70"/>
  </r>
  <r>
    <x v="1"/>
    <x v="1"/>
    <x v="18"/>
    <n v="60"/>
    <n v="96070"/>
    <n v="3"/>
    <n v="30"/>
    <m/>
    <n v="2"/>
    <n v="3"/>
    <n v="2"/>
    <n v="4"/>
    <n v="1"/>
    <n v="15"/>
  </r>
  <r>
    <x v="1"/>
    <x v="1"/>
    <x v="19"/>
    <n v="3"/>
    <n v="26900"/>
    <m/>
    <n v="1"/>
    <m/>
    <m/>
    <m/>
    <m/>
    <m/>
    <m/>
    <n v="2"/>
  </r>
  <r>
    <x v="1"/>
    <x v="1"/>
    <x v="20"/>
    <n v="591"/>
    <n v="135890"/>
    <n v="16"/>
    <n v="199"/>
    <n v="3"/>
    <n v="8"/>
    <n v="2"/>
    <n v="103"/>
    <n v="95"/>
    <n v="17"/>
    <n v="148"/>
  </r>
  <r>
    <x v="1"/>
    <x v="1"/>
    <x v="21"/>
    <n v="1452"/>
    <n v="339390"/>
    <n v="13"/>
    <n v="471"/>
    <m/>
    <n v="12"/>
    <n v="3"/>
    <n v="214"/>
    <n v="202"/>
    <n v="46"/>
    <n v="491"/>
  </r>
  <r>
    <x v="1"/>
    <x v="1"/>
    <x v="22"/>
    <n v="1"/>
    <n v="21850"/>
    <m/>
    <m/>
    <m/>
    <m/>
    <m/>
    <m/>
    <m/>
    <m/>
    <n v="1"/>
  </r>
  <r>
    <x v="1"/>
    <x v="1"/>
    <x v="23"/>
    <n v="79"/>
    <n v="150680"/>
    <n v="2"/>
    <n v="41"/>
    <m/>
    <n v="3"/>
    <n v="1"/>
    <n v="7"/>
    <n v="9"/>
    <n v="2"/>
    <n v="14"/>
  </r>
  <r>
    <x v="1"/>
    <x v="1"/>
    <x v="24"/>
    <n v="656"/>
    <n v="175930"/>
    <n v="27"/>
    <n v="194"/>
    <n v="3"/>
    <n v="8"/>
    <n v="6"/>
    <n v="104"/>
    <n v="138"/>
    <n v="10"/>
    <n v="166"/>
  </r>
  <r>
    <x v="1"/>
    <x v="1"/>
    <x v="25"/>
    <n v="68"/>
    <n v="114530"/>
    <n v="2"/>
    <n v="30"/>
    <n v="2"/>
    <n v="3"/>
    <m/>
    <n v="8"/>
    <n v="5"/>
    <n v="5"/>
    <n v="13"/>
  </r>
  <r>
    <x v="1"/>
    <x v="1"/>
    <x v="26"/>
    <n v="1"/>
    <n v="23200"/>
    <m/>
    <m/>
    <m/>
    <n v="1"/>
    <m/>
    <m/>
    <m/>
    <m/>
    <m/>
  </r>
  <r>
    <x v="1"/>
    <x v="1"/>
    <x v="27"/>
    <n v="212"/>
    <n v="112470"/>
    <n v="1"/>
    <n v="56"/>
    <n v="1"/>
    <n v="3"/>
    <n v="3"/>
    <n v="37"/>
    <n v="64"/>
    <n v="6"/>
    <n v="41"/>
  </r>
  <r>
    <x v="1"/>
    <x v="1"/>
    <x v="28"/>
    <n v="850"/>
    <n v="317100"/>
    <n v="16"/>
    <n v="226"/>
    <n v="1"/>
    <n v="10"/>
    <n v="6"/>
    <n v="77"/>
    <n v="209"/>
    <n v="21"/>
    <n v="284"/>
  </r>
  <r>
    <x v="1"/>
    <x v="1"/>
    <x v="29"/>
    <n v="130"/>
    <n v="93750"/>
    <n v="2"/>
    <n v="61"/>
    <m/>
    <n v="2"/>
    <m/>
    <n v="21"/>
    <n v="17"/>
    <n v="3"/>
    <n v="24"/>
  </r>
  <r>
    <x v="1"/>
    <x v="1"/>
    <x v="30"/>
    <n v="409"/>
    <n v="89860"/>
    <n v="18"/>
    <n v="130"/>
    <n v="2"/>
    <n v="6"/>
    <m/>
    <n v="44"/>
    <n v="94"/>
    <n v="4"/>
    <n v="111"/>
  </r>
  <r>
    <x v="1"/>
    <x v="1"/>
    <x v="31"/>
    <n v="581"/>
    <n v="180130"/>
    <n v="17"/>
    <n v="206"/>
    <m/>
    <n v="12"/>
    <n v="4"/>
    <n v="93"/>
    <n v="162"/>
    <n v="15"/>
    <n v="72"/>
  </r>
  <r>
    <x v="2"/>
    <x v="1"/>
    <x v="0"/>
    <n v="261"/>
    <n v="228800"/>
    <n v="4"/>
    <n v="80"/>
    <m/>
    <n v="7"/>
    <n v="1"/>
    <n v="8"/>
    <n v="95"/>
    <n v="13"/>
    <n v="53"/>
  </r>
  <r>
    <x v="2"/>
    <x v="1"/>
    <x v="1"/>
    <n v="133"/>
    <n v="261800"/>
    <n v="6"/>
    <n v="65"/>
    <m/>
    <n v="1"/>
    <n v="1"/>
    <n v="13"/>
    <n v="14"/>
    <n v="4"/>
    <n v="29"/>
  </r>
  <r>
    <x v="2"/>
    <x v="1"/>
    <x v="2"/>
    <n v="115"/>
    <n v="116280"/>
    <n v="8"/>
    <n v="43"/>
    <n v="3"/>
    <n v="4"/>
    <m/>
    <n v="20"/>
    <n v="14"/>
    <n v="3"/>
    <n v="20"/>
  </r>
  <r>
    <x v="2"/>
    <x v="1"/>
    <x v="3"/>
    <n v="41"/>
    <n v="86810"/>
    <n v="3"/>
    <n v="21"/>
    <m/>
    <n v="1"/>
    <n v="1"/>
    <n v="2"/>
    <n v="10"/>
    <n v="1"/>
    <n v="2"/>
  </r>
  <r>
    <x v="2"/>
    <x v="1"/>
    <x v="4"/>
    <n v="76"/>
    <n v="51450"/>
    <n v="5"/>
    <n v="34"/>
    <n v="1"/>
    <n v="1"/>
    <m/>
    <n v="12"/>
    <n v="5"/>
    <n v="1"/>
    <n v="17"/>
  </r>
  <r>
    <x v="2"/>
    <x v="1"/>
    <x v="5"/>
    <n v="99"/>
    <n v="149200"/>
    <n v="3"/>
    <n v="34"/>
    <m/>
    <n v="1"/>
    <m/>
    <n v="16"/>
    <n v="12"/>
    <n v="1"/>
    <n v="32"/>
  </r>
  <r>
    <x v="2"/>
    <x v="1"/>
    <x v="6"/>
    <n v="666"/>
    <n v="148710"/>
    <n v="12"/>
    <n v="231"/>
    <m/>
    <n v="15"/>
    <n v="3"/>
    <n v="72"/>
    <n v="227"/>
    <n v="40"/>
    <n v="66"/>
  </r>
  <r>
    <x v="2"/>
    <x v="1"/>
    <x v="7"/>
    <n v="579"/>
    <n v="121940"/>
    <n v="9"/>
    <n v="221"/>
    <n v="1"/>
    <n v="12"/>
    <n v="3"/>
    <n v="64"/>
    <n v="131"/>
    <n v="14"/>
    <n v="124"/>
  </r>
  <r>
    <x v="2"/>
    <x v="1"/>
    <x v="8"/>
    <n v="162"/>
    <n v="108130"/>
    <n v="4"/>
    <n v="54"/>
    <n v="1"/>
    <n v="4"/>
    <m/>
    <n v="16"/>
    <n v="36"/>
    <n v="11"/>
    <n v="36"/>
  </r>
  <r>
    <x v="2"/>
    <x v="1"/>
    <x v="9"/>
    <n v="177"/>
    <n v="104840"/>
    <n v="2"/>
    <n v="82"/>
    <n v="2"/>
    <n v="2"/>
    <n v="1"/>
    <n v="42"/>
    <n v="15"/>
    <n v="9"/>
    <n v="22"/>
  </r>
  <r>
    <x v="2"/>
    <x v="1"/>
    <x v="10"/>
    <n v="152"/>
    <n v="94760"/>
    <n v="5"/>
    <n v="35"/>
    <n v="1"/>
    <n v="5"/>
    <m/>
    <n v="23"/>
    <n v="36"/>
    <n v="5"/>
    <n v="42"/>
  </r>
  <r>
    <x v="2"/>
    <x v="1"/>
    <x v="11"/>
    <n v="1221"/>
    <n v="513210"/>
    <n v="13"/>
    <n v="334"/>
    <m/>
    <n v="23"/>
    <n v="3"/>
    <n v="260"/>
    <n v="295"/>
    <n v="76"/>
    <n v="217"/>
  </r>
  <r>
    <x v="2"/>
    <x v="1"/>
    <x v="12"/>
    <n v="283"/>
    <n v="160130"/>
    <n v="12"/>
    <n v="134"/>
    <n v="3"/>
    <n v="3"/>
    <n v="2"/>
    <n v="36"/>
    <n v="42"/>
    <n v="8"/>
    <n v="43"/>
  </r>
  <r>
    <x v="2"/>
    <x v="1"/>
    <x v="13"/>
    <n v="707"/>
    <n v="371410"/>
    <n v="28"/>
    <n v="244"/>
    <n v="9"/>
    <n v="19"/>
    <n v="5"/>
    <n v="94"/>
    <n v="102"/>
    <n v="13"/>
    <n v="193"/>
  </r>
  <r>
    <x v="2"/>
    <x v="1"/>
    <x v="14"/>
    <n v="2227"/>
    <n v="621020"/>
    <n v="44"/>
    <n v="412"/>
    <n v="7"/>
    <n v="44"/>
    <n v="1"/>
    <n v="282"/>
    <n v="751"/>
    <n v="70"/>
    <n v="616"/>
  </r>
  <r>
    <x v="2"/>
    <x v="1"/>
    <x v="15"/>
    <n v="131"/>
    <n v="235180"/>
    <n v="7"/>
    <n v="71"/>
    <m/>
    <n v="4"/>
    <n v="4"/>
    <n v="18"/>
    <n v="17"/>
    <m/>
    <n v="10"/>
  </r>
  <r>
    <x v="2"/>
    <x v="1"/>
    <x v="16"/>
    <n v="340"/>
    <n v="78760"/>
    <n v="5"/>
    <n v="196"/>
    <n v="1"/>
    <n v="1"/>
    <n v="1"/>
    <n v="29"/>
    <n v="39"/>
    <n v="2"/>
    <n v="66"/>
  </r>
  <r>
    <x v="2"/>
    <x v="1"/>
    <x v="17"/>
    <n v="329"/>
    <n v="90090"/>
    <n v="6"/>
    <n v="138"/>
    <n v="3"/>
    <n v="6"/>
    <m/>
    <n v="80"/>
    <n v="37"/>
    <n v="9"/>
    <n v="50"/>
  </r>
  <r>
    <x v="2"/>
    <x v="1"/>
    <x v="18"/>
    <n v="44"/>
    <n v="95780"/>
    <n v="4"/>
    <n v="22"/>
    <m/>
    <n v="3"/>
    <m/>
    <n v="7"/>
    <n v="3"/>
    <m/>
    <n v="5"/>
  </r>
  <r>
    <x v="2"/>
    <x v="1"/>
    <x v="19"/>
    <n v="1"/>
    <n v="26950"/>
    <m/>
    <n v="1"/>
    <m/>
    <m/>
    <m/>
    <m/>
    <m/>
    <m/>
    <m/>
  </r>
  <r>
    <x v="2"/>
    <x v="1"/>
    <x v="20"/>
    <n v="545"/>
    <n v="135790"/>
    <n v="15"/>
    <n v="212"/>
    <n v="3"/>
    <n v="5"/>
    <n v="1"/>
    <n v="121"/>
    <n v="81"/>
    <n v="10"/>
    <n v="97"/>
  </r>
  <r>
    <x v="2"/>
    <x v="1"/>
    <x v="21"/>
    <n v="1176"/>
    <n v="339960"/>
    <n v="20"/>
    <n v="356"/>
    <n v="3"/>
    <n v="36"/>
    <n v="5"/>
    <n v="164"/>
    <n v="186"/>
    <n v="27"/>
    <n v="379"/>
  </r>
  <r>
    <x v="2"/>
    <x v="1"/>
    <x v="22"/>
    <n v="2"/>
    <n v="22000"/>
    <m/>
    <m/>
    <m/>
    <m/>
    <m/>
    <n v="2"/>
    <m/>
    <m/>
    <m/>
  </r>
  <r>
    <x v="2"/>
    <x v="1"/>
    <x v="23"/>
    <n v="88"/>
    <n v="151100"/>
    <n v="2"/>
    <n v="36"/>
    <m/>
    <n v="5"/>
    <m/>
    <n v="11"/>
    <n v="9"/>
    <n v="2"/>
    <n v="23"/>
  </r>
  <r>
    <x v="2"/>
    <x v="1"/>
    <x v="24"/>
    <n v="468"/>
    <n v="176830"/>
    <n v="12"/>
    <n v="127"/>
    <n v="2"/>
    <n v="12"/>
    <n v="1"/>
    <n v="71"/>
    <n v="107"/>
    <n v="8"/>
    <n v="128"/>
  </r>
  <r>
    <x v="2"/>
    <x v="1"/>
    <x v="25"/>
    <n v="102"/>
    <n v="115020"/>
    <n v="2"/>
    <n v="45"/>
    <n v="2"/>
    <n v="2"/>
    <m/>
    <n v="24"/>
    <n v="15"/>
    <n v="2"/>
    <n v="10"/>
  </r>
  <r>
    <x v="2"/>
    <x v="1"/>
    <x v="26"/>
    <n v="2"/>
    <n v="23080"/>
    <m/>
    <n v="2"/>
    <m/>
    <m/>
    <m/>
    <m/>
    <m/>
    <m/>
    <m/>
  </r>
  <r>
    <x v="2"/>
    <x v="1"/>
    <x v="27"/>
    <n v="223"/>
    <n v="112680"/>
    <n v="3"/>
    <n v="99"/>
    <n v="1"/>
    <n v="2"/>
    <n v="2"/>
    <n v="46"/>
    <n v="40"/>
    <n v="2"/>
    <n v="28"/>
  </r>
  <r>
    <x v="2"/>
    <x v="1"/>
    <x v="28"/>
    <n v="757"/>
    <n v="318170"/>
    <n v="20"/>
    <n v="195"/>
    <n v="6"/>
    <n v="6"/>
    <n v="4"/>
    <n v="70"/>
    <n v="179"/>
    <n v="28"/>
    <n v="249"/>
  </r>
  <r>
    <x v="2"/>
    <x v="1"/>
    <x v="29"/>
    <n v="124"/>
    <n v="94000"/>
    <n v="2"/>
    <n v="55"/>
    <n v="1"/>
    <n v="5"/>
    <m/>
    <n v="14"/>
    <n v="23"/>
    <n v="3"/>
    <n v="21"/>
  </r>
  <r>
    <x v="2"/>
    <x v="1"/>
    <x v="30"/>
    <n v="236"/>
    <n v="89610"/>
    <n v="3"/>
    <n v="69"/>
    <n v="1"/>
    <n v="1"/>
    <n v="1"/>
    <n v="34"/>
    <n v="55"/>
    <n v="6"/>
    <n v="66"/>
  </r>
  <r>
    <x v="2"/>
    <x v="1"/>
    <x v="31"/>
    <n v="636"/>
    <n v="181310"/>
    <n v="4"/>
    <n v="287"/>
    <n v="1"/>
    <n v="10"/>
    <n v="4"/>
    <n v="68"/>
    <n v="148"/>
    <n v="19"/>
    <n v="95"/>
  </r>
</pivotCacheRecords>
</file>

<file path=xl/pivotCache/pivotCacheRecords17.xml><?xml version="1.0" encoding="utf-8"?>
<pivotCacheRecords xmlns="http://schemas.openxmlformats.org/spreadsheetml/2006/main" xmlns:r="http://schemas.openxmlformats.org/officeDocument/2006/relationships" count="14">
  <r>
    <x v="0"/>
    <n v="1"/>
    <x v="0"/>
    <x v="0"/>
    <n v="8"/>
    <n v="2762531"/>
    <n v="2610469"/>
    <n v="5"/>
    <n v="3"/>
    <m/>
  </r>
  <r>
    <x v="0"/>
    <n v="2"/>
    <x v="1"/>
    <x v="0"/>
    <n v="9"/>
    <n v="2762531"/>
    <n v="2610469"/>
    <n v="6"/>
    <n v="3"/>
    <m/>
  </r>
  <r>
    <x v="0"/>
    <n v="3"/>
    <x v="2"/>
    <x v="0"/>
    <n v="19"/>
    <n v="2762531"/>
    <n v="2610469"/>
    <n v="5"/>
    <n v="14"/>
    <m/>
  </r>
  <r>
    <x v="0"/>
    <n v="6"/>
    <x v="3"/>
    <x v="0"/>
    <n v="1"/>
    <n v="2762531"/>
    <n v="2610469"/>
    <n v="1"/>
    <m/>
    <m/>
  </r>
  <r>
    <x v="0"/>
    <n v="8"/>
    <x v="4"/>
    <x v="0"/>
    <n v="8"/>
    <n v="2762531"/>
    <n v="2610469"/>
    <n v="2"/>
    <n v="5"/>
    <n v="1"/>
  </r>
  <r>
    <x v="0"/>
    <n v="1"/>
    <x v="0"/>
    <x v="1"/>
    <n v="7"/>
    <n v="2777197"/>
    <n v="2627503"/>
    <n v="2"/>
    <n v="5"/>
    <m/>
  </r>
  <r>
    <x v="0"/>
    <n v="2"/>
    <x v="1"/>
    <x v="1"/>
    <n v="6"/>
    <n v="2777197"/>
    <n v="2627503"/>
    <n v="4"/>
    <n v="2"/>
    <m/>
  </r>
  <r>
    <x v="0"/>
    <n v="3"/>
    <x v="2"/>
    <x v="1"/>
    <n v="22"/>
    <n v="2777197"/>
    <n v="2627503"/>
    <n v="7"/>
    <n v="15"/>
    <m/>
  </r>
  <r>
    <x v="0"/>
    <n v="8"/>
    <x v="4"/>
    <x v="1"/>
    <n v="9"/>
    <n v="2777197"/>
    <n v="2627503"/>
    <n v="3"/>
    <n v="6"/>
    <m/>
  </r>
  <r>
    <x v="0"/>
    <n v="1"/>
    <x v="0"/>
    <x v="2"/>
    <n v="15"/>
    <n v="2784500"/>
    <n v="2640300"/>
    <n v="6"/>
    <n v="9"/>
    <m/>
  </r>
  <r>
    <x v="0"/>
    <n v="2"/>
    <x v="1"/>
    <x v="2"/>
    <n v="2"/>
    <n v="2784500"/>
    <n v="2640300"/>
    <m/>
    <n v="2"/>
    <m/>
  </r>
  <r>
    <x v="0"/>
    <n v="3"/>
    <x v="2"/>
    <x v="2"/>
    <n v="16"/>
    <n v="2784500"/>
    <n v="2640300"/>
    <n v="9"/>
    <n v="7"/>
    <m/>
  </r>
  <r>
    <x v="0"/>
    <n v="4"/>
    <x v="5"/>
    <x v="2"/>
    <n v="1"/>
    <n v="2784500"/>
    <n v="2640300"/>
    <m/>
    <n v="1"/>
    <m/>
  </r>
  <r>
    <x v="0"/>
    <n v="8"/>
    <x v="4"/>
    <x v="2"/>
    <n v="10"/>
    <n v="2784500"/>
    <n v="2640300"/>
    <n v="3"/>
    <n v="7"/>
    <m/>
  </r>
</pivotCacheRecords>
</file>

<file path=xl/pivotCache/pivotCacheRecords18.xml><?xml version="1.0" encoding="utf-8"?>
<pivotCacheRecords xmlns="http://schemas.openxmlformats.org/spreadsheetml/2006/main" xmlns:r="http://schemas.openxmlformats.org/officeDocument/2006/relationships" count="32">
  <r>
    <x v="0"/>
    <x v="0"/>
    <x v="0"/>
    <n v="1"/>
    <n v="2762531"/>
    <n v="2610469"/>
    <m/>
    <n v="1"/>
    <m/>
    <m/>
  </r>
  <r>
    <x v="0"/>
    <x v="0"/>
    <x v="1"/>
    <n v="7"/>
    <n v="2762531"/>
    <n v="2610469"/>
    <n v="2"/>
    <n v="5"/>
    <m/>
    <m/>
  </r>
  <r>
    <x v="0"/>
    <x v="0"/>
    <x v="2"/>
    <n v="1"/>
    <n v="2762531"/>
    <n v="2610469"/>
    <m/>
    <n v="1"/>
    <m/>
    <m/>
  </r>
  <r>
    <x v="0"/>
    <x v="0"/>
    <x v="3"/>
    <n v="1"/>
    <n v="2762531"/>
    <n v="2610469"/>
    <m/>
    <n v="1"/>
    <m/>
    <m/>
  </r>
  <r>
    <x v="0"/>
    <x v="1"/>
    <x v="0"/>
    <n v="156"/>
    <n v="2762531"/>
    <n v="2610469"/>
    <n v="50"/>
    <n v="106"/>
    <m/>
    <m/>
  </r>
  <r>
    <x v="0"/>
    <x v="1"/>
    <x v="4"/>
    <n v="37"/>
    <n v="2762531"/>
    <n v="2610469"/>
    <n v="11"/>
    <n v="26"/>
    <m/>
    <m/>
  </r>
  <r>
    <x v="0"/>
    <x v="1"/>
    <x v="5"/>
    <n v="708"/>
    <n v="2762531"/>
    <n v="2610469"/>
    <n v="304"/>
    <n v="399"/>
    <n v="4"/>
    <n v="1"/>
  </r>
  <r>
    <x v="0"/>
    <x v="1"/>
    <x v="1"/>
    <n v="60"/>
    <n v="2762531"/>
    <n v="2610469"/>
    <n v="17"/>
    <n v="43"/>
    <m/>
    <m/>
  </r>
  <r>
    <x v="0"/>
    <x v="1"/>
    <x v="6"/>
    <n v="29"/>
    <n v="2762531"/>
    <n v="2610469"/>
    <n v="23"/>
    <n v="6"/>
    <m/>
    <m/>
  </r>
  <r>
    <x v="0"/>
    <x v="1"/>
    <x v="2"/>
    <n v="167"/>
    <n v="2762531"/>
    <n v="2610469"/>
    <n v="83"/>
    <n v="84"/>
    <m/>
    <m/>
  </r>
  <r>
    <x v="0"/>
    <x v="1"/>
    <x v="3"/>
    <n v="109"/>
    <n v="2762531"/>
    <n v="2610469"/>
    <n v="63"/>
    <n v="46"/>
    <m/>
    <m/>
  </r>
  <r>
    <x v="1"/>
    <x v="0"/>
    <x v="1"/>
    <n v="8"/>
    <n v="2777197"/>
    <n v="2627503"/>
    <m/>
    <n v="8"/>
    <m/>
    <m/>
  </r>
  <r>
    <x v="1"/>
    <x v="0"/>
    <x v="2"/>
    <n v="6"/>
    <n v="2777197"/>
    <n v="2627503"/>
    <m/>
    <n v="6"/>
    <m/>
    <m/>
  </r>
  <r>
    <x v="1"/>
    <x v="0"/>
    <x v="3"/>
    <n v="4"/>
    <n v="2777197"/>
    <n v="2627503"/>
    <m/>
    <n v="3"/>
    <n v="1"/>
    <m/>
  </r>
  <r>
    <x v="1"/>
    <x v="1"/>
    <x v="0"/>
    <n v="129"/>
    <n v="2777197"/>
    <n v="2627503"/>
    <n v="38"/>
    <n v="91"/>
    <m/>
    <m/>
  </r>
  <r>
    <x v="1"/>
    <x v="1"/>
    <x v="4"/>
    <n v="26"/>
    <n v="2777197"/>
    <n v="2627503"/>
    <n v="7"/>
    <n v="19"/>
    <m/>
    <m/>
  </r>
  <r>
    <x v="1"/>
    <x v="1"/>
    <x v="5"/>
    <n v="752"/>
    <n v="2777197"/>
    <n v="2627503"/>
    <n v="343"/>
    <n v="405"/>
    <n v="4"/>
    <m/>
  </r>
  <r>
    <x v="1"/>
    <x v="1"/>
    <x v="1"/>
    <n v="41"/>
    <n v="2777197"/>
    <n v="2627503"/>
    <n v="10"/>
    <n v="31"/>
    <m/>
    <m/>
  </r>
  <r>
    <x v="1"/>
    <x v="1"/>
    <x v="6"/>
    <n v="33"/>
    <n v="2777197"/>
    <n v="2627503"/>
    <n v="20"/>
    <n v="13"/>
    <m/>
    <m/>
  </r>
  <r>
    <x v="1"/>
    <x v="1"/>
    <x v="2"/>
    <n v="132"/>
    <n v="2777197"/>
    <n v="2627503"/>
    <n v="67"/>
    <n v="65"/>
    <m/>
    <m/>
  </r>
  <r>
    <x v="1"/>
    <x v="1"/>
    <x v="3"/>
    <n v="135"/>
    <n v="2777197"/>
    <n v="2627503"/>
    <n v="63"/>
    <n v="71"/>
    <n v="1"/>
    <m/>
  </r>
  <r>
    <x v="2"/>
    <x v="0"/>
    <x v="0"/>
    <n v="4"/>
    <n v="2784500"/>
    <n v="2640300"/>
    <m/>
    <n v="3"/>
    <m/>
    <n v="1"/>
  </r>
  <r>
    <x v="2"/>
    <x v="0"/>
    <x v="1"/>
    <n v="13"/>
    <n v="2784500"/>
    <n v="2640300"/>
    <n v="1"/>
    <n v="12"/>
    <m/>
    <m/>
  </r>
  <r>
    <x v="2"/>
    <x v="0"/>
    <x v="2"/>
    <n v="7"/>
    <n v="2784500"/>
    <n v="2640300"/>
    <m/>
    <n v="6"/>
    <n v="1"/>
    <m/>
  </r>
  <r>
    <x v="2"/>
    <x v="0"/>
    <x v="3"/>
    <n v="3"/>
    <n v="2784500"/>
    <n v="2640300"/>
    <m/>
    <n v="1"/>
    <n v="2"/>
    <m/>
  </r>
  <r>
    <x v="2"/>
    <x v="1"/>
    <x v="0"/>
    <n v="114"/>
    <n v="2784500"/>
    <n v="2640300"/>
    <n v="32"/>
    <n v="81"/>
    <n v="1"/>
    <m/>
  </r>
  <r>
    <x v="2"/>
    <x v="1"/>
    <x v="4"/>
    <n v="16"/>
    <n v="2784500"/>
    <n v="2640300"/>
    <n v="10"/>
    <n v="6"/>
    <m/>
    <m/>
  </r>
  <r>
    <x v="2"/>
    <x v="1"/>
    <x v="5"/>
    <n v="659"/>
    <n v="2784500"/>
    <n v="2640300"/>
    <n v="306"/>
    <n v="345"/>
    <n v="8"/>
    <m/>
  </r>
  <r>
    <x v="2"/>
    <x v="1"/>
    <x v="1"/>
    <n v="35"/>
    <n v="2784500"/>
    <n v="2640300"/>
    <n v="15"/>
    <n v="20"/>
    <m/>
    <m/>
  </r>
  <r>
    <x v="2"/>
    <x v="1"/>
    <x v="6"/>
    <n v="17"/>
    <n v="2784500"/>
    <n v="2640300"/>
    <n v="8"/>
    <n v="9"/>
    <m/>
    <m/>
  </r>
  <r>
    <x v="2"/>
    <x v="1"/>
    <x v="2"/>
    <n v="141"/>
    <n v="2784500"/>
    <n v="2640300"/>
    <n v="67"/>
    <n v="74"/>
    <m/>
    <m/>
  </r>
  <r>
    <x v="2"/>
    <x v="1"/>
    <x v="3"/>
    <n v="104"/>
    <n v="2784500"/>
    <n v="2640300"/>
    <n v="41"/>
    <n v="61"/>
    <n v="1"/>
    <n v="1"/>
  </r>
</pivotCacheRecords>
</file>

<file path=xl/pivotCache/pivotCacheRecords19.xml><?xml version="1.0" encoding="utf-8"?>
<pivotCacheRecords xmlns="http://schemas.openxmlformats.org/spreadsheetml/2006/main" xmlns:r="http://schemas.openxmlformats.org/officeDocument/2006/relationships" count="12">
  <r>
    <x v="0"/>
    <x v="0"/>
    <n v="263"/>
    <n v="2762531"/>
    <n v="2610469"/>
    <n v="1"/>
    <n v="1"/>
    <m/>
    <m/>
    <n v="112"/>
    <n v="146"/>
    <n v="2"/>
    <n v="1"/>
  </r>
  <r>
    <x v="0"/>
    <x v="1"/>
    <n v="512"/>
    <n v="2762531"/>
    <n v="2610469"/>
    <m/>
    <n v="1"/>
    <m/>
    <m/>
    <n v="257"/>
    <n v="252"/>
    <n v="2"/>
    <m/>
  </r>
  <r>
    <x v="0"/>
    <x v="2"/>
    <n v="431"/>
    <n v="2762531"/>
    <n v="2610469"/>
    <n v="1"/>
    <n v="6"/>
    <m/>
    <m/>
    <n v="160"/>
    <n v="264"/>
    <m/>
    <m/>
  </r>
  <r>
    <x v="0"/>
    <x v="3"/>
    <n v="70"/>
    <n v="2762531"/>
    <n v="2610469"/>
    <m/>
    <m/>
    <m/>
    <m/>
    <n v="22"/>
    <n v="48"/>
    <m/>
    <m/>
  </r>
  <r>
    <x v="1"/>
    <x v="0"/>
    <n v="330"/>
    <n v="2777197"/>
    <n v="2627503"/>
    <m/>
    <n v="4"/>
    <m/>
    <m/>
    <n v="138"/>
    <n v="187"/>
    <n v="1"/>
    <m/>
  </r>
  <r>
    <x v="1"/>
    <x v="1"/>
    <n v="487"/>
    <n v="2777197"/>
    <n v="2627503"/>
    <m/>
    <n v="2"/>
    <n v="1"/>
    <m/>
    <n v="227"/>
    <n v="253"/>
    <n v="4"/>
    <m/>
  </r>
  <r>
    <x v="1"/>
    <x v="2"/>
    <n v="384"/>
    <n v="2777197"/>
    <n v="2627503"/>
    <m/>
    <n v="9"/>
    <m/>
    <m/>
    <n v="165"/>
    <n v="210"/>
    <m/>
    <m/>
  </r>
  <r>
    <x v="1"/>
    <x v="3"/>
    <n v="65"/>
    <n v="2777197"/>
    <n v="2627503"/>
    <m/>
    <n v="2"/>
    <m/>
    <m/>
    <n v="18"/>
    <n v="45"/>
    <m/>
    <m/>
  </r>
  <r>
    <x v="2"/>
    <x v="0"/>
    <n v="234"/>
    <n v="2784500"/>
    <n v="2640300"/>
    <n v="1"/>
    <n v="5"/>
    <n v="3"/>
    <m/>
    <n v="100"/>
    <n v="123"/>
    <n v="1"/>
    <n v="1"/>
  </r>
  <r>
    <x v="2"/>
    <x v="1"/>
    <n v="462"/>
    <n v="2784500"/>
    <n v="2640300"/>
    <m/>
    <n v="6"/>
    <m/>
    <n v="1"/>
    <n v="207"/>
    <n v="241"/>
    <n v="7"/>
    <m/>
  </r>
  <r>
    <x v="2"/>
    <x v="2"/>
    <n v="354"/>
    <n v="2784500"/>
    <n v="2640300"/>
    <m/>
    <n v="10"/>
    <m/>
    <m/>
    <n v="157"/>
    <n v="185"/>
    <n v="2"/>
    <m/>
  </r>
  <r>
    <x v="2"/>
    <x v="3"/>
    <n v="63"/>
    <n v="2784500"/>
    <n v="2640300"/>
    <m/>
    <n v="1"/>
    <m/>
    <m/>
    <n v="15"/>
    <n v="47"/>
    <m/>
    <m/>
  </r>
</pivotCacheRecords>
</file>

<file path=xl/pivotCache/pivotCacheRecords2.xml><?xml version="1.0" encoding="utf-8"?>
<pivotCacheRecords xmlns="http://schemas.openxmlformats.org/spreadsheetml/2006/main" xmlns:r="http://schemas.openxmlformats.org/officeDocument/2006/relationships" count="15">
  <r>
    <x v="0"/>
    <x v="0"/>
    <n v="263"/>
    <n v="0"/>
    <n v="1"/>
    <n v="0"/>
    <n v="1"/>
    <n v="24"/>
    <n v="57"/>
    <n v="99"/>
    <n v="66"/>
    <n v="15"/>
  </r>
  <r>
    <x v="0"/>
    <x v="1"/>
    <n v="512"/>
    <n v="1"/>
    <n v="0"/>
    <n v="0"/>
    <n v="0"/>
    <n v="25"/>
    <n v="76"/>
    <n v="218"/>
    <n v="167"/>
    <n v="25"/>
  </r>
  <r>
    <x v="0"/>
    <x v="2"/>
    <n v="431"/>
    <n v="1"/>
    <n v="6"/>
    <n v="0"/>
    <n v="0"/>
    <n v="27"/>
    <n v="63"/>
    <n v="182"/>
    <n v="134"/>
    <n v="18"/>
  </r>
  <r>
    <x v="0"/>
    <x v="3"/>
    <n v="70"/>
    <n v="0"/>
    <n v="0"/>
    <n v="0"/>
    <n v="0"/>
    <n v="1"/>
    <n v="8"/>
    <n v="43"/>
    <n v="14"/>
    <n v="4"/>
  </r>
  <r>
    <x v="1"/>
    <x v="0"/>
    <n v="330"/>
    <n v="1"/>
    <n v="3"/>
    <n v="0"/>
    <n v="0"/>
    <n v="23"/>
    <n v="50"/>
    <n v="139"/>
    <n v="92"/>
    <n v="22"/>
  </r>
  <r>
    <x v="1"/>
    <x v="1"/>
    <n v="487"/>
    <n v="0"/>
    <n v="2"/>
    <n v="0"/>
    <n v="1"/>
    <n v="21"/>
    <n v="73"/>
    <n v="234"/>
    <n v="131"/>
    <n v="25"/>
  </r>
  <r>
    <x v="1"/>
    <x v="2"/>
    <n v="384"/>
    <n v="0"/>
    <n v="7"/>
    <n v="0"/>
    <n v="2"/>
    <n v="27"/>
    <n v="67"/>
    <n v="166"/>
    <n v="102"/>
    <n v="13"/>
  </r>
  <r>
    <x v="1"/>
    <x v="3"/>
    <n v="65"/>
    <n v="0"/>
    <n v="1"/>
    <n v="0"/>
    <n v="1"/>
    <n v="7"/>
    <n v="11"/>
    <n v="35"/>
    <n v="9"/>
    <n v="1"/>
  </r>
  <r>
    <x v="2"/>
    <x v="0"/>
    <n v="234"/>
    <n v="0"/>
    <n v="2"/>
    <n v="1"/>
    <n v="6"/>
    <n v="31"/>
    <n v="33"/>
    <n v="85"/>
    <n v="64"/>
    <n v="12"/>
  </r>
  <r>
    <x v="2"/>
    <x v="1"/>
    <n v="462"/>
    <n v="2"/>
    <n v="3"/>
    <n v="0"/>
    <n v="2"/>
    <n v="17"/>
    <n v="69"/>
    <n v="205"/>
    <n v="120"/>
    <n v="44"/>
  </r>
  <r>
    <x v="2"/>
    <x v="2"/>
    <n v="354"/>
    <n v="2"/>
    <n v="7"/>
    <n v="0"/>
    <n v="1"/>
    <n v="37"/>
    <n v="67"/>
    <n v="154"/>
    <n v="73"/>
    <n v="13"/>
  </r>
  <r>
    <x v="2"/>
    <x v="3"/>
    <n v="63"/>
    <n v="0"/>
    <n v="1"/>
    <n v="0"/>
    <n v="0"/>
    <n v="2"/>
    <n v="13"/>
    <n v="31"/>
    <n v="13"/>
    <n v="3"/>
  </r>
  <r>
    <x v="0"/>
    <x v="4"/>
    <m/>
    <m/>
    <m/>
    <m/>
    <m/>
    <n v="971022"/>
    <n v="920189"/>
    <n v="2181793"/>
    <n v="1299996"/>
    <m/>
  </r>
  <r>
    <x v="1"/>
    <x v="4"/>
    <m/>
    <m/>
    <m/>
    <m/>
    <m/>
    <n v="972780"/>
    <n v="924449"/>
    <n v="2187067"/>
    <n v="1320404"/>
    <m/>
  </r>
  <r>
    <x v="2"/>
    <x v="4"/>
    <m/>
    <m/>
    <m/>
    <m/>
    <m/>
    <n v="973036"/>
    <n v="920015"/>
    <n v="2190171"/>
    <n v="1341578"/>
    <m/>
  </r>
</pivotCacheRecords>
</file>

<file path=xl/pivotCache/pivotCacheRecords20.xml><?xml version="1.0" encoding="utf-8"?>
<pivotCacheRecords xmlns="http://schemas.openxmlformats.org/spreadsheetml/2006/main" xmlns:r="http://schemas.openxmlformats.org/officeDocument/2006/relationships" count="14">
  <r>
    <x v="0"/>
    <x v="0"/>
    <n v="1"/>
    <x v="0"/>
    <n v="8"/>
    <m/>
    <n v="3"/>
    <n v="5"/>
    <m/>
  </r>
  <r>
    <x v="0"/>
    <x v="0"/>
    <n v="2"/>
    <x v="1"/>
    <n v="9"/>
    <m/>
    <n v="4"/>
    <n v="5"/>
    <m/>
  </r>
  <r>
    <x v="0"/>
    <x v="0"/>
    <n v="3"/>
    <x v="2"/>
    <n v="19"/>
    <n v="2"/>
    <n v="8"/>
    <n v="9"/>
    <m/>
  </r>
  <r>
    <x v="0"/>
    <x v="0"/>
    <n v="6"/>
    <x v="3"/>
    <n v="1"/>
    <m/>
    <m/>
    <n v="1"/>
    <m/>
  </r>
  <r>
    <x v="0"/>
    <x v="0"/>
    <n v="8"/>
    <x v="4"/>
    <n v="8"/>
    <n v="1"/>
    <n v="3"/>
    <n v="3"/>
    <n v="1"/>
  </r>
  <r>
    <x v="1"/>
    <x v="0"/>
    <n v="1"/>
    <x v="0"/>
    <n v="7"/>
    <m/>
    <n v="5"/>
    <n v="2"/>
    <m/>
  </r>
  <r>
    <x v="1"/>
    <x v="0"/>
    <n v="2"/>
    <x v="1"/>
    <n v="6"/>
    <n v="1"/>
    <n v="3"/>
    <n v="2"/>
    <m/>
  </r>
  <r>
    <x v="1"/>
    <x v="0"/>
    <n v="3"/>
    <x v="2"/>
    <n v="22"/>
    <n v="3"/>
    <n v="9"/>
    <n v="10"/>
    <m/>
  </r>
  <r>
    <x v="1"/>
    <x v="0"/>
    <n v="8"/>
    <x v="4"/>
    <n v="9"/>
    <m/>
    <n v="5"/>
    <n v="4"/>
    <m/>
  </r>
  <r>
    <x v="2"/>
    <x v="0"/>
    <n v="1"/>
    <x v="0"/>
    <n v="15"/>
    <n v="1"/>
    <n v="4"/>
    <n v="10"/>
    <m/>
  </r>
  <r>
    <x v="2"/>
    <x v="0"/>
    <n v="2"/>
    <x v="1"/>
    <n v="2"/>
    <m/>
    <m/>
    <n v="2"/>
    <m/>
  </r>
  <r>
    <x v="2"/>
    <x v="0"/>
    <n v="3"/>
    <x v="2"/>
    <n v="16"/>
    <n v="2"/>
    <n v="6"/>
    <n v="8"/>
    <m/>
  </r>
  <r>
    <x v="2"/>
    <x v="0"/>
    <n v="4"/>
    <x v="5"/>
    <n v="1"/>
    <m/>
    <n v="1"/>
    <m/>
    <m/>
  </r>
  <r>
    <x v="2"/>
    <x v="0"/>
    <n v="8"/>
    <x v="4"/>
    <n v="10"/>
    <m/>
    <n v="7"/>
    <n v="3"/>
    <m/>
  </r>
</pivotCacheRecords>
</file>

<file path=xl/pivotCache/pivotCacheRecords21.xml><?xml version="1.0" encoding="utf-8"?>
<pivotCacheRecords xmlns="http://schemas.openxmlformats.org/spreadsheetml/2006/main" xmlns:r="http://schemas.openxmlformats.org/officeDocument/2006/relationships" count="32">
  <r>
    <x v="0"/>
    <x v="0"/>
    <x v="0"/>
    <n v="1"/>
    <m/>
    <n v="1"/>
    <m/>
    <m/>
    <m/>
  </r>
  <r>
    <x v="0"/>
    <x v="0"/>
    <x v="1"/>
    <n v="7"/>
    <m/>
    <n v="1"/>
    <n v="5"/>
    <m/>
    <n v="1"/>
  </r>
  <r>
    <x v="0"/>
    <x v="0"/>
    <x v="2"/>
    <n v="1"/>
    <m/>
    <m/>
    <n v="1"/>
    <m/>
    <m/>
  </r>
  <r>
    <x v="0"/>
    <x v="0"/>
    <x v="3"/>
    <n v="1"/>
    <m/>
    <m/>
    <n v="1"/>
    <m/>
    <m/>
  </r>
  <r>
    <x v="0"/>
    <x v="1"/>
    <x v="0"/>
    <n v="156"/>
    <n v="14"/>
    <n v="34"/>
    <n v="68"/>
    <n v="35"/>
    <n v="5"/>
  </r>
  <r>
    <x v="0"/>
    <x v="1"/>
    <x v="4"/>
    <n v="37"/>
    <m/>
    <n v="8"/>
    <n v="19"/>
    <n v="7"/>
    <n v="3"/>
  </r>
  <r>
    <x v="0"/>
    <x v="1"/>
    <x v="5"/>
    <n v="708"/>
    <n v="46"/>
    <n v="102"/>
    <n v="303"/>
    <n v="221"/>
    <n v="36"/>
  </r>
  <r>
    <x v="0"/>
    <x v="1"/>
    <x v="1"/>
    <n v="60"/>
    <n v="4"/>
    <n v="13"/>
    <n v="28"/>
    <n v="11"/>
    <n v="4"/>
  </r>
  <r>
    <x v="0"/>
    <x v="1"/>
    <x v="6"/>
    <n v="29"/>
    <n v="1"/>
    <n v="2"/>
    <n v="14"/>
    <n v="9"/>
    <n v="3"/>
  </r>
  <r>
    <x v="0"/>
    <x v="1"/>
    <x v="2"/>
    <n v="167"/>
    <n v="2"/>
    <n v="21"/>
    <n v="73"/>
    <n v="67"/>
    <n v="4"/>
  </r>
  <r>
    <x v="0"/>
    <x v="1"/>
    <x v="3"/>
    <n v="109"/>
    <n v="10"/>
    <n v="24"/>
    <n v="37"/>
    <n v="31"/>
    <n v="7"/>
  </r>
  <r>
    <x v="1"/>
    <x v="0"/>
    <x v="1"/>
    <n v="8"/>
    <m/>
    <m/>
    <n v="6"/>
    <m/>
    <n v="2"/>
  </r>
  <r>
    <x v="1"/>
    <x v="0"/>
    <x v="2"/>
    <n v="6"/>
    <m/>
    <n v="1"/>
    <n v="4"/>
    <m/>
    <n v="1"/>
  </r>
  <r>
    <x v="1"/>
    <x v="0"/>
    <x v="3"/>
    <n v="4"/>
    <m/>
    <m/>
    <n v="3"/>
    <m/>
    <n v="1"/>
  </r>
  <r>
    <x v="1"/>
    <x v="1"/>
    <x v="0"/>
    <n v="129"/>
    <n v="5"/>
    <n v="25"/>
    <n v="72"/>
    <n v="22"/>
    <n v="5"/>
  </r>
  <r>
    <x v="1"/>
    <x v="1"/>
    <x v="4"/>
    <n v="26"/>
    <m/>
    <n v="4"/>
    <n v="15"/>
    <n v="7"/>
    <m/>
  </r>
  <r>
    <x v="1"/>
    <x v="1"/>
    <x v="5"/>
    <n v="752"/>
    <n v="54"/>
    <n v="122"/>
    <n v="349"/>
    <n v="190"/>
    <n v="37"/>
  </r>
  <r>
    <x v="1"/>
    <x v="1"/>
    <x v="1"/>
    <n v="41"/>
    <n v="3"/>
    <n v="9"/>
    <n v="19"/>
    <n v="7"/>
    <n v="3"/>
  </r>
  <r>
    <x v="1"/>
    <x v="1"/>
    <x v="6"/>
    <n v="33"/>
    <n v="2"/>
    <n v="5"/>
    <n v="12"/>
    <n v="12"/>
    <n v="2"/>
  </r>
  <r>
    <x v="1"/>
    <x v="1"/>
    <x v="2"/>
    <n v="132"/>
    <n v="5"/>
    <n v="15"/>
    <n v="49"/>
    <n v="56"/>
    <n v="7"/>
  </r>
  <r>
    <x v="1"/>
    <x v="1"/>
    <x v="3"/>
    <n v="135"/>
    <n v="9"/>
    <n v="21"/>
    <n v="58"/>
    <n v="40"/>
    <n v="7"/>
  </r>
  <r>
    <x v="2"/>
    <x v="0"/>
    <x v="0"/>
    <n v="4"/>
    <m/>
    <n v="2"/>
    <n v="1"/>
    <m/>
    <n v="1"/>
  </r>
  <r>
    <x v="2"/>
    <x v="0"/>
    <x v="1"/>
    <n v="13"/>
    <m/>
    <n v="1"/>
    <n v="6"/>
    <n v="1"/>
    <n v="5"/>
  </r>
  <r>
    <x v="2"/>
    <x v="0"/>
    <x v="2"/>
    <n v="7"/>
    <m/>
    <n v="1"/>
    <n v="5"/>
    <m/>
    <n v="1"/>
  </r>
  <r>
    <x v="2"/>
    <x v="0"/>
    <x v="3"/>
    <n v="3"/>
    <m/>
    <m/>
    <n v="1"/>
    <m/>
    <n v="2"/>
  </r>
  <r>
    <x v="2"/>
    <x v="1"/>
    <x v="0"/>
    <n v="114"/>
    <n v="5"/>
    <n v="29"/>
    <n v="61"/>
    <n v="14"/>
    <n v="5"/>
  </r>
  <r>
    <x v="2"/>
    <x v="1"/>
    <x v="4"/>
    <n v="16"/>
    <n v="1"/>
    <n v="1"/>
    <n v="8"/>
    <n v="6"/>
    <m/>
  </r>
  <r>
    <x v="2"/>
    <x v="1"/>
    <x v="5"/>
    <n v="659"/>
    <n v="61"/>
    <n v="102"/>
    <n v="278"/>
    <n v="164"/>
    <n v="54"/>
  </r>
  <r>
    <x v="2"/>
    <x v="1"/>
    <x v="1"/>
    <n v="35"/>
    <n v="2"/>
    <n v="10"/>
    <n v="16"/>
    <n v="7"/>
    <m/>
  </r>
  <r>
    <x v="2"/>
    <x v="1"/>
    <x v="6"/>
    <n v="17"/>
    <m/>
    <n v="4"/>
    <n v="7"/>
    <n v="4"/>
    <n v="2"/>
  </r>
  <r>
    <x v="2"/>
    <x v="1"/>
    <x v="2"/>
    <n v="141"/>
    <n v="4"/>
    <n v="19"/>
    <n v="63"/>
    <n v="47"/>
    <n v="8"/>
  </r>
  <r>
    <x v="2"/>
    <x v="1"/>
    <x v="3"/>
    <n v="104"/>
    <n v="14"/>
    <n v="17"/>
    <n v="42"/>
    <n v="28"/>
    <n v="3"/>
  </r>
</pivotCacheRecords>
</file>

<file path=xl/pivotCache/pivotCacheRecords22.xml><?xml version="1.0" encoding="utf-8"?>
<pivotCacheRecords xmlns="http://schemas.openxmlformats.org/spreadsheetml/2006/main" xmlns:r="http://schemas.openxmlformats.org/officeDocument/2006/relationships" count="12">
  <r>
    <x v="0"/>
    <x v="0"/>
    <n v="263"/>
    <m/>
    <n v="1"/>
    <m/>
    <n v="1"/>
    <n v="24"/>
    <n v="57"/>
    <n v="99"/>
    <n v="66"/>
    <n v="15"/>
  </r>
  <r>
    <x v="0"/>
    <x v="1"/>
    <n v="512"/>
    <n v="1"/>
    <m/>
    <m/>
    <m/>
    <n v="25"/>
    <n v="76"/>
    <n v="218"/>
    <n v="167"/>
    <n v="25"/>
  </r>
  <r>
    <x v="0"/>
    <x v="2"/>
    <n v="431"/>
    <n v="1"/>
    <n v="6"/>
    <m/>
    <m/>
    <n v="27"/>
    <n v="63"/>
    <n v="182"/>
    <n v="134"/>
    <n v="18"/>
  </r>
  <r>
    <x v="0"/>
    <x v="3"/>
    <n v="70"/>
    <m/>
    <m/>
    <m/>
    <m/>
    <n v="1"/>
    <n v="8"/>
    <n v="43"/>
    <n v="14"/>
    <n v="4"/>
  </r>
  <r>
    <x v="1"/>
    <x v="0"/>
    <n v="330"/>
    <n v="1"/>
    <n v="3"/>
    <m/>
    <m/>
    <n v="23"/>
    <n v="50"/>
    <n v="139"/>
    <n v="92"/>
    <n v="22"/>
  </r>
  <r>
    <x v="1"/>
    <x v="1"/>
    <n v="487"/>
    <m/>
    <n v="2"/>
    <m/>
    <n v="1"/>
    <n v="21"/>
    <n v="73"/>
    <n v="234"/>
    <n v="131"/>
    <n v="25"/>
  </r>
  <r>
    <x v="1"/>
    <x v="2"/>
    <n v="384"/>
    <m/>
    <n v="7"/>
    <m/>
    <n v="2"/>
    <n v="27"/>
    <n v="67"/>
    <n v="166"/>
    <n v="102"/>
    <n v="13"/>
  </r>
  <r>
    <x v="1"/>
    <x v="3"/>
    <n v="65"/>
    <m/>
    <n v="1"/>
    <m/>
    <n v="1"/>
    <n v="7"/>
    <n v="11"/>
    <n v="35"/>
    <n v="9"/>
    <n v="1"/>
  </r>
  <r>
    <x v="2"/>
    <x v="0"/>
    <n v="234"/>
    <m/>
    <n v="2"/>
    <n v="1"/>
    <n v="6"/>
    <n v="31"/>
    <n v="33"/>
    <n v="85"/>
    <n v="64"/>
    <n v="12"/>
  </r>
  <r>
    <x v="2"/>
    <x v="1"/>
    <n v="462"/>
    <n v="2"/>
    <n v="3"/>
    <m/>
    <n v="2"/>
    <n v="17"/>
    <n v="69"/>
    <n v="205"/>
    <n v="120"/>
    <n v="44"/>
  </r>
  <r>
    <x v="2"/>
    <x v="2"/>
    <n v="354"/>
    <n v="2"/>
    <n v="7"/>
    <m/>
    <n v="1"/>
    <n v="37"/>
    <n v="67"/>
    <n v="154"/>
    <n v="73"/>
    <n v="13"/>
  </r>
  <r>
    <x v="2"/>
    <x v="3"/>
    <n v="63"/>
    <m/>
    <n v="1"/>
    <m/>
    <m/>
    <n v="2"/>
    <n v="13"/>
    <n v="31"/>
    <n v="13"/>
    <n v="3"/>
  </r>
</pivotCacheRecords>
</file>

<file path=xl/pivotCache/pivotCacheRecords23.xml><?xml version="1.0" encoding="utf-8"?>
<pivotCacheRecords xmlns="http://schemas.openxmlformats.org/spreadsheetml/2006/main" xmlns:r="http://schemas.openxmlformats.org/officeDocument/2006/relationships" count="96">
  <r>
    <x v="0"/>
    <s v="Dwelling: Primary fires"/>
    <x v="0"/>
    <n v="334"/>
    <n v="199"/>
    <n v="26"/>
    <n v="38"/>
    <n v="68"/>
    <n v="3"/>
    <s v="2015-16"/>
    <s v="Aberdeen City"/>
    <s v="Dwelling: Fatal"/>
    <n v="1"/>
    <m/>
    <n v="1"/>
    <m/>
    <m/>
    <m/>
    <s v="2015-16"/>
    <s v="Aberdeen City"/>
    <s v="Dwelling: Nonfatal"/>
    <n v="60"/>
    <n v="30"/>
    <n v="5"/>
    <n v="15"/>
    <n v="9"/>
    <n v="1"/>
  </r>
  <r>
    <x v="0"/>
    <s v="Dwelling: Primary fires"/>
    <x v="1"/>
    <n v="192"/>
    <n v="109"/>
    <n v="14"/>
    <n v="10"/>
    <n v="58"/>
    <n v="1"/>
    <s v="2015-16"/>
    <s v="Aberdeenshire"/>
    <s v="Dwelling: Fatal"/>
    <n v="2"/>
    <m/>
    <n v="1"/>
    <m/>
    <m/>
    <n v="1"/>
    <s v="2015-16"/>
    <s v="Aberdeenshire"/>
    <s v="Dwelling: Nonfatal"/>
    <n v="20"/>
    <n v="9"/>
    <n v="4"/>
    <m/>
    <n v="7"/>
    <m/>
  </r>
  <r>
    <x v="0"/>
    <s v="Dwelling: Primary fires"/>
    <x v="2"/>
    <n v="95"/>
    <n v="48"/>
    <n v="9"/>
    <n v="11"/>
    <n v="25"/>
    <n v="2"/>
    <m/>
    <m/>
    <m/>
    <m/>
    <m/>
    <m/>
    <m/>
    <m/>
    <m/>
    <s v="2015-16"/>
    <s v="Angus"/>
    <s v="Dwelling: Nonfatal"/>
    <n v="35"/>
    <n v="15"/>
    <n v="12"/>
    <m/>
    <n v="6"/>
    <n v="2"/>
  </r>
  <r>
    <x v="0"/>
    <s v="Dwelling: Primary fires"/>
    <x v="3"/>
    <n v="64"/>
    <n v="24"/>
    <n v="8"/>
    <n v="7"/>
    <n v="19"/>
    <n v="6"/>
    <m/>
    <m/>
    <m/>
    <m/>
    <m/>
    <m/>
    <m/>
    <m/>
    <m/>
    <s v="2015-16"/>
    <s v="Argyll and Bute"/>
    <s v="Dwelling: Nonfatal"/>
    <n v="7"/>
    <n v="2"/>
    <n v="1"/>
    <m/>
    <n v="4"/>
    <m/>
  </r>
  <r>
    <x v="0"/>
    <s v="Dwelling: Primary fires"/>
    <x v="4"/>
    <n v="75"/>
    <n v="40"/>
    <n v="7"/>
    <n v="6"/>
    <n v="20"/>
    <n v="2"/>
    <m/>
    <m/>
    <m/>
    <m/>
    <m/>
    <m/>
    <m/>
    <m/>
    <m/>
    <s v="2015-16"/>
    <s v="Clackmannanshire"/>
    <s v="Dwelling: Nonfatal"/>
    <n v="11"/>
    <n v="3"/>
    <n v="1"/>
    <n v="1"/>
    <n v="3"/>
    <n v="3"/>
  </r>
  <r>
    <x v="0"/>
    <s v="Dwelling: Primary fires"/>
    <x v="5"/>
    <n v="94"/>
    <n v="44"/>
    <n v="7"/>
    <n v="14"/>
    <n v="27"/>
    <n v="2"/>
    <s v="2015-16"/>
    <s v="Dumfries and Galloway"/>
    <s v="Dwelling: Fatal"/>
    <n v="2"/>
    <n v="1"/>
    <m/>
    <n v="1"/>
    <m/>
    <m/>
    <s v="2015-16"/>
    <s v="Dumfries and Galloway"/>
    <s v="Dwelling: Nonfatal"/>
    <n v="6"/>
    <n v="4"/>
    <m/>
    <n v="1"/>
    <n v="1"/>
    <m/>
  </r>
  <r>
    <x v="0"/>
    <s v="Dwelling: Primary fires"/>
    <x v="6"/>
    <n v="256"/>
    <n v="128"/>
    <n v="24"/>
    <n v="29"/>
    <n v="72"/>
    <n v="3"/>
    <s v="2015-16"/>
    <s v="Dundee City"/>
    <s v="Dwelling: Fatal"/>
    <n v="2"/>
    <m/>
    <m/>
    <m/>
    <n v="2"/>
    <m/>
    <s v="2015-16"/>
    <s v="Dundee City"/>
    <s v="Dwelling: Nonfatal"/>
    <n v="71"/>
    <n v="34"/>
    <n v="11"/>
    <n v="3"/>
    <n v="16"/>
    <n v="7"/>
  </r>
  <r>
    <x v="0"/>
    <s v="Dwelling: Primary fires"/>
    <x v="7"/>
    <n v="104"/>
    <n v="58"/>
    <n v="14"/>
    <n v="13"/>
    <n v="17"/>
    <n v="2"/>
    <m/>
    <m/>
    <m/>
    <m/>
    <m/>
    <m/>
    <m/>
    <m/>
    <m/>
    <s v="2015-16"/>
    <s v="East Ayrshire"/>
    <s v="Dwelling: Nonfatal"/>
    <n v="30"/>
    <n v="13"/>
    <n v="4"/>
    <n v="7"/>
    <n v="3"/>
    <n v="3"/>
  </r>
  <r>
    <x v="0"/>
    <s v="Dwelling: Primary fires"/>
    <x v="8"/>
    <n v="77"/>
    <n v="41"/>
    <n v="10"/>
    <n v="17"/>
    <n v="9"/>
    <m/>
    <m/>
    <m/>
    <m/>
    <m/>
    <m/>
    <m/>
    <m/>
    <m/>
    <m/>
    <s v="2015-16"/>
    <s v="East Dunbartonshire"/>
    <s v="Dwelling: Nonfatal"/>
    <n v="12"/>
    <n v="6"/>
    <n v="2"/>
    <n v="2"/>
    <n v="2"/>
    <m/>
  </r>
  <r>
    <x v="0"/>
    <s v="Dwelling: Primary fires"/>
    <x v="9"/>
    <n v="85"/>
    <n v="25"/>
    <n v="10"/>
    <n v="7"/>
    <n v="42"/>
    <n v="1"/>
    <s v="2015-16"/>
    <s v="East Lothian"/>
    <s v="Dwelling: Fatal"/>
    <n v="1"/>
    <m/>
    <n v="1"/>
    <m/>
    <m/>
    <m/>
    <s v="2015-16"/>
    <s v="East Lothian"/>
    <s v="Dwelling: Nonfatal"/>
    <n v="7"/>
    <n v="4"/>
    <n v="2"/>
    <n v="1"/>
    <m/>
    <m/>
  </r>
  <r>
    <x v="0"/>
    <s v="Dwelling: Primary fires"/>
    <x v="10"/>
    <n v="71"/>
    <n v="36"/>
    <n v="6"/>
    <n v="15"/>
    <n v="14"/>
    <m/>
    <s v="2015-16"/>
    <s v="East Renfrewshire"/>
    <s v="Dwelling: Fatal"/>
    <n v="1"/>
    <m/>
    <m/>
    <n v="1"/>
    <m/>
    <m/>
    <s v="2015-16"/>
    <s v="East Renfrewshire"/>
    <s v="Dwelling: Nonfatal"/>
    <n v="12"/>
    <n v="10"/>
    <n v="1"/>
    <m/>
    <n v="1"/>
    <m/>
  </r>
  <r>
    <x v="0"/>
    <s v="Dwelling: Primary fires"/>
    <x v="11"/>
    <n v="633"/>
    <n v="261"/>
    <n v="53"/>
    <n v="88"/>
    <n v="226"/>
    <n v="5"/>
    <s v="2015-16"/>
    <s v="Edinburgh, City of"/>
    <s v="Dwelling: Fatal"/>
    <n v="4"/>
    <n v="1"/>
    <n v="1"/>
    <m/>
    <n v="2"/>
    <m/>
    <s v="2015-16"/>
    <s v="Edinburgh, City of"/>
    <s v="Dwelling: Nonfatal"/>
    <n v="106"/>
    <n v="42"/>
    <n v="14"/>
    <n v="9"/>
    <n v="41"/>
    <m/>
  </r>
  <r>
    <x v="0"/>
    <s v="Dwelling: Primary fires"/>
    <x v="12"/>
    <n v="134"/>
    <n v="50"/>
    <n v="18"/>
    <n v="14"/>
    <n v="47"/>
    <n v="5"/>
    <s v="2015-16"/>
    <s v="Falkirk"/>
    <s v="Dwelling: Fatal"/>
    <n v="2"/>
    <m/>
    <n v="1"/>
    <m/>
    <n v="1"/>
    <m/>
    <s v="2015-16"/>
    <s v="Falkirk"/>
    <s v="Dwelling: Nonfatal"/>
    <n v="25"/>
    <n v="7"/>
    <n v="4"/>
    <n v="2"/>
    <n v="12"/>
    <m/>
  </r>
  <r>
    <x v="0"/>
    <s v="Dwelling: Primary fires"/>
    <x v="13"/>
    <n v="279"/>
    <n v="96"/>
    <n v="40"/>
    <n v="44"/>
    <n v="98"/>
    <n v="1"/>
    <s v="2015-16"/>
    <s v="Fife"/>
    <s v="Dwelling: Fatal"/>
    <n v="1"/>
    <m/>
    <n v="1"/>
    <m/>
    <m/>
    <m/>
    <s v="2015-16"/>
    <s v="Fife"/>
    <s v="Dwelling: Nonfatal"/>
    <n v="28"/>
    <n v="16"/>
    <n v="4"/>
    <m/>
    <n v="8"/>
    <m/>
  </r>
  <r>
    <x v="0"/>
    <s v="Dwelling: Primary fires"/>
    <x v="14"/>
    <n v="960"/>
    <n v="531"/>
    <n v="80"/>
    <n v="135"/>
    <n v="199"/>
    <n v="15"/>
    <s v="2015-16"/>
    <s v="Glasgow City"/>
    <s v="Dwelling: Fatal"/>
    <n v="4"/>
    <n v="2"/>
    <n v="1"/>
    <n v="1"/>
    <m/>
    <m/>
    <s v="2015-16"/>
    <s v="Glasgow City"/>
    <s v="Dwelling: Nonfatal"/>
    <n v="182"/>
    <n v="74"/>
    <n v="20"/>
    <n v="29"/>
    <n v="43"/>
    <n v="16"/>
  </r>
  <r>
    <x v="0"/>
    <s v="Dwelling: Primary fires"/>
    <x v="15"/>
    <n v="131"/>
    <n v="44"/>
    <n v="10"/>
    <n v="18"/>
    <n v="53"/>
    <n v="6"/>
    <s v="2015-16"/>
    <s v="Highland"/>
    <s v="Dwelling: Fatal"/>
    <n v="5"/>
    <m/>
    <n v="1"/>
    <m/>
    <n v="3"/>
    <n v="1"/>
    <s v="2015-16"/>
    <s v="Highland"/>
    <s v="Dwelling: Nonfatal"/>
    <n v="35"/>
    <n v="14"/>
    <n v="2"/>
    <n v="2"/>
    <n v="17"/>
    <m/>
  </r>
  <r>
    <x v="0"/>
    <s v="Dwelling: Primary fires"/>
    <x v="16"/>
    <n v="129"/>
    <n v="69"/>
    <n v="16"/>
    <n v="23"/>
    <n v="19"/>
    <n v="2"/>
    <s v="2015-16"/>
    <s v="Inverclyde"/>
    <s v="Dwelling: Fatal"/>
    <n v="1"/>
    <m/>
    <m/>
    <m/>
    <m/>
    <n v="1"/>
    <s v="2015-16"/>
    <s v="Inverclyde"/>
    <s v="Dwelling: Nonfatal"/>
    <n v="41"/>
    <n v="13"/>
    <n v="5"/>
    <n v="14"/>
    <n v="9"/>
    <m/>
  </r>
  <r>
    <x v="0"/>
    <s v="Dwelling: Primary fires"/>
    <x v="17"/>
    <n v="69"/>
    <n v="30"/>
    <n v="7"/>
    <n v="8"/>
    <n v="23"/>
    <n v="1"/>
    <m/>
    <m/>
    <m/>
    <m/>
    <m/>
    <m/>
    <m/>
    <m/>
    <m/>
    <s v="2015-16"/>
    <s v="Midlothian"/>
    <s v="Dwelling: Nonfatal"/>
    <n v="9"/>
    <n v="2"/>
    <n v="2"/>
    <n v="2"/>
    <n v="3"/>
    <m/>
  </r>
  <r>
    <x v="0"/>
    <s v="Dwelling: Primary fires"/>
    <x v="18"/>
    <n v="50"/>
    <n v="21"/>
    <n v="3"/>
    <n v="9"/>
    <n v="14"/>
    <n v="3"/>
    <m/>
    <m/>
    <m/>
    <m/>
    <m/>
    <m/>
    <m/>
    <m/>
    <m/>
    <s v="2015-16"/>
    <s v="Moray"/>
    <s v="Dwelling: Nonfatal"/>
    <n v="11"/>
    <n v="3"/>
    <n v="2"/>
    <m/>
    <n v="3"/>
    <n v="3"/>
  </r>
  <r>
    <x v="0"/>
    <s v="Dwelling: Primary fires"/>
    <x v="19"/>
    <n v="20"/>
    <n v="5"/>
    <n v="2"/>
    <n v="5"/>
    <n v="6"/>
    <n v="2"/>
    <m/>
    <m/>
    <m/>
    <m/>
    <m/>
    <m/>
    <m/>
    <m/>
    <m/>
    <s v="2015-16"/>
    <s v="Na h-Eileanan Siar"/>
    <s v="Dwelling: Nonfatal"/>
    <n v="7"/>
    <n v="4"/>
    <n v="1"/>
    <m/>
    <n v="1"/>
    <n v="1"/>
  </r>
  <r>
    <x v="0"/>
    <s v="Dwelling: Primary fires"/>
    <x v="20"/>
    <n v="176"/>
    <n v="112"/>
    <n v="14"/>
    <n v="21"/>
    <n v="28"/>
    <n v="1"/>
    <s v="2015-16"/>
    <s v="North Ayrshire"/>
    <s v="Dwelling: Fatal"/>
    <n v="1"/>
    <n v="1"/>
    <m/>
    <m/>
    <m/>
    <m/>
    <s v="2015-16"/>
    <s v="North Ayrshire"/>
    <s v="Dwelling: Nonfatal"/>
    <n v="43"/>
    <n v="27"/>
    <n v="4"/>
    <n v="1"/>
    <n v="10"/>
    <n v="1"/>
  </r>
  <r>
    <x v="0"/>
    <s v="Dwelling: Primary fires"/>
    <x v="21"/>
    <n v="336"/>
    <n v="177"/>
    <n v="41"/>
    <n v="49"/>
    <n v="65"/>
    <n v="4"/>
    <s v="2015-16"/>
    <s v="North Lanarkshire"/>
    <s v="Dwelling: Fatal"/>
    <n v="4"/>
    <m/>
    <n v="2"/>
    <m/>
    <n v="2"/>
    <m/>
    <s v="2015-16"/>
    <s v="North Lanarkshire"/>
    <s v="Dwelling: Nonfatal"/>
    <n v="75"/>
    <n v="34"/>
    <n v="12"/>
    <n v="12"/>
    <n v="15"/>
    <n v="2"/>
  </r>
  <r>
    <x v="0"/>
    <s v="Dwelling: Primary fires"/>
    <x v="22"/>
    <n v="11"/>
    <n v="3"/>
    <m/>
    <n v="1"/>
    <n v="7"/>
    <m/>
    <m/>
    <m/>
    <m/>
    <m/>
    <m/>
    <m/>
    <m/>
    <m/>
    <m/>
    <s v="2015-16"/>
    <s v="Orkney Islands"/>
    <s v="Dwelling: Nonfatal"/>
    <n v="2"/>
    <n v="1"/>
    <m/>
    <m/>
    <n v="1"/>
    <m/>
  </r>
  <r>
    <x v="0"/>
    <s v="Dwelling: Primary fires"/>
    <x v="23"/>
    <n v="123"/>
    <n v="62"/>
    <n v="5"/>
    <n v="18"/>
    <n v="35"/>
    <n v="3"/>
    <m/>
    <m/>
    <m/>
    <m/>
    <m/>
    <m/>
    <m/>
    <m/>
    <m/>
    <s v="2015-16"/>
    <s v="Perth and Kinross"/>
    <s v="Dwelling: Nonfatal"/>
    <n v="23"/>
    <n v="15"/>
    <n v="2"/>
    <n v="3"/>
    <n v="3"/>
    <m/>
  </r>
  <r>
    <x v="0"/>
    <s v="Dwelling: Primary fires"/>
    <x v="24"/>
    <n v="242"/>
    <n v="135"/>
    <n v="16"/>
    <n v="38"/>
    <n v="52"/>
    <n v="1"/>
    <m/>
    <m/>
    <m/>
    <m/>
    <m/>
    <m/>
    <m/>
    <m/>
    <m/>
    <s v="2015-16"/>
    <s v="Renfrewshire"/>
    <s v="Dwelling: Nonfatal"/>
    <n v="38"/>
    <n v="20"/>
    <n v="1"/>
    <n v="8"/>
    <n v="9"/>
    <m/>
  </r>
  <r>
    <x v="0"/>
    <s v="Dwelling: Primary fires"/>
    <x v="25"/>
    <n v="109"/>
    <n v="48"/>
    <n v="8"/>
    <n v="18"/>
    <n v="33"/>
    <n v="2"/>
    <s v="2015-16"/>
    <s v="Scottish Borders"/>
    <s v="Dwelling: Fatal"/>
    <n v="1"/>
    <m/>
    <m/>
    <m/>
    <n v="1"/>
    <m/>
    <s v="2015-16"/>
    <s v="Scottish Borders"/>
    <s v="Dwelling: Nonfatal"/>
    <n v="14"/>
    <n v="3"/>
    <n v="2"/>
    <n v="3"/>
    <n v="5"/>
    <n v="1"/>
  </r>
  <r>
    <x v="0"/>
    <s v="Dwelling: Primary fires"/>
    <x v="26"/>
    <n v="19"/>
    <n v="3"/>
    <n v="4"/>
    <n v="3"/>
    <n v="6"/>
    <n v="3"/>
    <s v="2015-16"/>
    <s v="Shetland Islands"/>
    <s v="Dwelling: Fatal"/>
    <n v="1"/>
    <m/>
    <m/>
    <m/>
    <m/>
    <n v="1"/>
    <s v="2015-16"/>
    <s v="Shetland Islands"/>
    <s v="Dwelling: Nonfatal"/>
    <n v="2"/>
    <n v="1"/>
    <n v="1"/>
    <m/>
    <m/>
    <m/>
  </r>
  <r>
    <x v="0"/>
    <s v="Dwelling: Primary fires"/>
    <x v="27"/>
    <n v="101"/>
    <n v="57"/>
    <n v="10"/>
    <n v="13"/>
    <n v="18"/>
    <n v="3"/>
    <m/>
    <m/>
    <m/>
    <m/>
    <m/>
    <m/>
    <m/>
    <m/>
    <m/>
    <s v="2015-16"/>
    <s v="South Ayrshire"/>
    <s v="Dwelling: Nonfatal"/>
    <n v="20"/>
    <n v="13"/>
    <n v="3"/>
    <n v="1"/>
    <n v="3"/>
    <m/>
  </r>
  <r>
    <x v="0"/>
    <s v="Dwelling: Primary fires"/>
    <x v="28"/>
    <n v="294"/>
    <n v="159"/>
    <n v="33"/>
    <n v="50"/>
    <n v="50"/>
    <n v="2"/>
    <s v="2015-16"/>
    <s v="South Lanarkshire"/>
    <s v="Dwelling: Fatal"/>
    <n v="4"/>
    <n v="1"/>
    <m/>
    <n v="2"/>
    <n v="1"/>
    <m/>
    <s v="2015-16"/>
    <s v="South Lanarkshire"/>
    <s v="Dwelling: Nonfatal"/>
    <n v="62"/>
    <n v="32"/>
    <n v="6"/>
    <n v="5"/>
    <n v="19"/>
    <m/>
  </r>
  <r>
    <x v="0"/>
    <s v="Dwelling: Primary fires"/>
    <x v="29"/>
    <n v="108"/>
    <n v="65"/>
    <n v="14"/>
    <n v="13"/>
    <n v="16"/>
    <m/>
    <s v="2015-16"/>
    <s v="Stirling"/>
    <s v="Dwelling: Fatal"/>
    <n v="1"/>
    <m/>
    <m/>
    <m/>
    <n v="1"/>
    <m/>
    <s v="2015-16"/>
    <s v="Stirling"/>
    <s v="Dwelling: Nonfatal"/>
    <n v="8"/>
    <n v="6"/>
    <n v="1"/>
    <m/>
    <n v="1"/>
    <m/>
  </r>
  <r>
    <x v="0"/>
    <s v="Dwelling: Primary fires"/>
    <x v="30"/>
    <n v="156"/>
    <n v="109"/>
    <n v="9"/>
    <n v="15"/>
    <n v="22"/>
    <n v="1"/>
    <m/>
    <m/>
    <m/>
    <m/>
    <m/>
    <m/>
    <m/>
    <m/>
    <m/>
    <s v="2015-16"/>
    <s v="West Dunbartonshire"/>
    <s v="Dwelling: Nonfatal"/>
    <n v="35"/>
    <n v="21"/>
    <m/>
    <m/>
    <n v="14"/>
    <m/>
  </r>
  <r>
    <x v="0"/>
    <s v="Dwelling: Primary fires"/>
    <x v="31"/>
    <n v="150"/>
    <n v="70"/>
    <n v="13"/>
    <n v="29"/>
    <n v="37"/>
    <n v="1"/>
    <s v="2015-16"/>
    <s v="West Lothian"/>
    <s v="Dwelling: Fatal"/>
    <n v="1"/>
    <m/>
    <m/>
    <m/>
    <n v="1"/>
    <m/>
    <s v="2015-16"/>
    <s v="West Lothian"/>
    <s v="Dwelling: Nonfatal"/>
    <n v="26"/>
    <n v="13"/>
    <n v="2"/>
    <n v="3"/>
    <n v="5"/>
    <n v="3"/>
  </r>
  <r>
    <x v="1"/>
    <s v="Dwelling: Primary fires"/>
    <x v="0"/>
    <n v="350"/>
    <n v="217"/>
    <n v="18"/>
    <n v="20"/>
    <n v="94"/>
    <n v="1"/>
    <s v="2016-17"/>
    <s v="Aberdeen City"/>
    <s v="Dwelling: Fatal"/>
    <n v="2"/>
    <m/>
    <m/>
    <n v="1"/>
    <n v="1"/>
    <m/>
    <s v="2016-17"/>
    <s v="Aberdeen City"/>
    <s v="Dwelling: Nonfatal"/>
    <n v="33"/>
    <n v="16"/>
    <n v="3"/>
    <n v="7"/>
    <n v="7"/>
    <m/>
  </r>
  <r>
    <x v="1"/>
    <s v="Dwelling: Primary fires"/>
    <x v="1"/>
    <n v="184"/>
    <n v="95"/>
    <n v="8"/>
    <n v="13"/>
    <n v="63"/>
    <n v="5"/>
    <s v="2016-17"/>
    <s v="Aberdeenshire"/>
    <s v="Dwelling: Fatal"/>
    <n v="2"/>
    <n v="2"/>
    <m/>
    <m/>
    <m/>
    <m/>
    <s v="2016-17"/>
    <s v="Aberdeenshire"/>
    <s v="Dwelling: Nonfatal"/>
    <n v="20"/>
    <n v="8"/>
    <n v="5"/>
    <m/>
    <n v="6"/>
    <n v="1"/>
  </r>
  <r>
    <x v="1"/>
    <s v="Dwelling: Primary fires"/>
    <x v="2"/>
    <n v="98"/>
    <n v="53"/>
    <n v="13"/>
    <n v="13"/>
    <n v="16"/>
    <n v="3"/>
    <m/>
    <m/>
    <m/>
    <m/>
    <m/>
    <m/>
    <m/>
    <m/>
    <m/>
    <s v="2016-17"/>
    <s v="Angus"/>
    <s v="Dwelling: Nonfatal"/>
    <n v="18"/>
    <n v="4"/>
    <n v="6"/>
    <n v="2"/>
    <n v="6"/>
    <m/>
  </r>
  <r>
    <x v="1"/>
    <s v="Dwelling: Primary fires"/>
    <x v="3"/>
    <n v="80"/>
    <n v="44"/>
    <n v="9"/>
    <n v="16"/>
    <n v="7"/>
    <n v="4"/>
    <m/>
    <m/>
    <m/>
    <m/>
    <m/>
    <m/>
    <m/>
    <m/>
    <m/>
    <s v="2016-17"/>
    <s v="Argyll and Bute"/>
    <s v="Dwelling: Nonfatal"/>
    <n v="13"/>
    <n v="13"/>
    <m/>
    <m/>
    <m/>
    <m/>
  </r>
  <r>
    <x v="1"/>
    <s v="Dwelling: Primary fires"/>
    <x v="4"/>
    <n v="72"/>
    <n v="39"/>
    <n v="8"/>
    <n v="10"/>
    <n v="15"/>
    <m/>
    <m/>
    <m/>
    <m/>
    <m/>
    <m/>
    <m/>
    <m/>
    <m/>
    <m/>
    <s v="2016-17"/>
    <s v="Clackmannanshire"/>
    <s v="Dwelling: Nonfatal"/>
    <n v="20"/>
    <n v="8"/>
    <m/>
    <n v="4"/>
    <n v="8"/>
    <m/>
  </r>
  <r>
    <x v="1"/>
    <s v="Dwelling: Primary fires"/>
    <x v="5"/>
    <n v="118"/>
    <n v="49"/>
    <n v="11"/>
    <n v="18"/>
    <n v="39"/>
    <n v="1"/>
    <s v="2016-17"/>
    <s v="Dumfries and Galloway"/>
    <s v="Dwelling: Fatal"/>
    <n v="1"/>
    <m/>
    <m/>
    <m/>
    <m/>
    <n v="1"/>
    <s v="2016-17"/>
    <s v="Dumfries and Galloway"/>
    <s v="Dwelling: Nonfatal"/>
    <n v="7"/>
    <n v="5"/>
    <n v="1"/>
    <m/>
    <n v="1"/>
    <m/>
  </r>
  <r>
    <x v="1"/>
    <s v="Dwelling: Primary fires"/>
    <x v="6"/>
    <n v="257"/>
    <n v="137"/>
    <n v="25"/>
    <n v="24"/>
    <n v="69"/>
    <n v="2"/>
    <m/>
    <m/>
    <m/>
    <m/>
    <m/>
    <m/>
    <m/>
    <m/>
    <m/>
    <s v="2016-17"/>
    <s v="Dundee City"/>
    <s v="Dwelling: Nonfatal"/>
    <n v="53"/>
    <n v="22"/>
    <n v="3"/>
    <n v="5"/>
    <n v="23"/>
    <m/>
  </r>
  <r>
    <x v="1"/>
    <s v="Dwelling: Primary fires"/>
    <x v="7"/>
    <n v="146"/>
    <n v="105"/>
    <n v="12"/>
    <n v="16"/>
    <n v="11"/>
    <n v="2"/>
    <s v="2016-17"/>
    <s v="East Ayrshire"/>
    <s v="Dwelling: Fatal"/>
    <n v="2"/>
    <m/>
    <m/>
    <m/>
    <m/>
    <n v="2"/>
    <s v="2016-17"/>
    <s v="East Ayrshire"/>
    <s v="Dwelling: Nonfatal"/>
    <n v="29"/>
    <n v="15"/>
    <n v="5"/>
    <n v="5"/>
    <n v="3"/>
    <n v="1"/>
  </r>
  <r>
    <x v="1"/>
    <s v="Dwelling: Primary fires"/>
    <x v="8"/>
    <n v="82"/>
    <n v="41"/>
    <n v="6"/>
    <n v="21"/>
    <n v="12"/>
    <n v="2"/>
    <s v="2016-17"/>
    <s v="East Dunbartonshire"/>
    <s v="Dwelling: Fatal"/>
    <n v="2"/>
    <m/>
    <m/>
    <n v="1"/>
    <m/>
    <n v="1"/>
    <s v="2016-17"/>
    <s v="East Dunbartonshire"/>
    <s v="Dwelling: Nonfatal"/>
    <n v="23"/>
    <n v="11"/>
    <n v="2"/>
    <n v="9"/>
    <m/>
    <n v="1"/>
  </r>
  <r>
    <x v="1"/>
    <s v="Dwelling: Primary fires"/>
    <x v="9"/>
    <n v="59"/>
    <n v="23"/>
    <m/>
    <n v="7"/>
    <n v="27"/>
    <n v="2"/>
    <m/>
    <m/>
    <m/>
    <m/>
    <m/>
    <m/>
    <m/>
    <m/>
    <m/>
    <s v="2016-17"/>
    <s v="East Lothian"/>
    <s v="Dwelling: Nonfatal"/>
    <n v="8"/>
    <n v="2"/>
    <m/>
    <n v="3"/>
    <n v="3"/>
    <m/>
  </r>
  <r>
    <x v="1"/>
    <s v="Dwelling: Primary fires"/>
    <x v="10"/>
    <n v="64"/>
    <n v="40"/>
    <n v="7"/>
    <n v="9"/>
    <n v="7"/>
    <n v="1"/>
    <m/>
    <m/>
    <m/>
    <m/>
    <m/>
    <m/>
    <m/>
    <m/>
    <m/>
    <s v="2016-17"/>
    <s v="East Renfrewshire"/>
    <s v="Dwelling: Nonfatal"/>
    <n v="7"/>
    <n v="6"/>
    <n v="1"/>
    <m/>
    <m/>
    <m/>
  </r>
  <r>
    <x v="1"/>
    <s v="Dwelling: Primary fires"/>
    <x v="11"/>
    <n v="581"/>
    <n v="228"/>
    <n v="44"/>
    <n v="68"/>
    <n v="235"/>
    <n v="6"/>
    <s v="2016-17"/>
    <s v="Edinburgh, City of"/>
    <s v="Dwelling: Fatal"/>
    <n v="3"/>
    <m/>
    <n v="1"/>
    <m/>
    <n v="2"/>
    <m/>
    <s v="2016-17"/>
    <s v="Edinburgh, City of"/>
    <s v="Dwelling: Nonfatal"/>
    <n v="130"/>
    <n v="56"/>
    <n v="23"/>
    <n v="13"/>
    <n v="38"/>
    <m/>
  </r>
  <r>
    <x v="1"/>
    <s v="Dwelling: Primary fires"/>
    <x v="12"/>
    <n v="117"/>
    <n v="36"/>
    <n v="16"/>
    <n v="16"/>
    <n v="48"/>
    <n v="1"/>
    <s v="2016-17"/>
    <s v="Falkirk"/>
    <s v="Dwelling: Fatal"/>
    <n v="2"/>
    <m/>
    <n v="1"/>
    <m/>
    <n v="1"/>
    <m/>
    <s v="2016-17"/>
    <s v="Falkirk"/>
    <s v="Dwelling: Nonfatal"/>
    <n v="30"/>
    <n v="8"/>
    <n v="11"/>
    <n v="2"/>
    <n v="9"/>
    <m/>
  </r>
  <r>
    <x v="1"/>
    <s v="Dwelling: Primary fires"/>
    <x v="13"/>
    <n v="272"/>
    <n v="114"/>
    <n v="37"/>
    <n v="32"/>
    <n v="87"/>
    <n v="2"/>
    <s v="2016-17"/>
    <s v="Fife"/>
    <s v="Dwelling: Fatal"/>
    <n v="4"/>
    <n v="2"/>
    <n v="2"/>
    <m/>
    <m/>
    <m/>
    <s v="2016-17"/>
    <s v="Fife"/>
    <s v="Dwelling: Nonfatal"/>
    <n v="65"/>
    <n v="27"/>
    <n v="10"/>
    <n v="10"/>
    <n v="17"/>
    <n v="1"/>
  </r>
  <r>
    <x v="1"/>
    <s v="Dwelling: Primary fires"/>
    <x v="14"/>
    <n v="929"/>
    <n v="565"/>
    <n v="65"/>
    <n v="113"/>
    <n v="176"/>
    <n v="10"/>
    <s v="2016-17"/>
    <s v="Glasgow City"/>
    <s v="Dwelling: Fatal"/>
    <n v="6"/>
    <n v="3"/>
    <n v="1"/>
    <n v="2"/>
    <m/>
    <m/>
    <s v="2016-17"/>
    <s v="Glasgow City"/>
    <s v="Dwelling: Nonfatal"/>
    <n v="209"/>
    <n v="127"/>
    <n v="13"/>
    <n v="24"/>
    <n v="45"/>
    <m/>
  </r>
  <r>
    <x v="1"/>
    <s v="Dwelling: Primary fires"/>
    <x v="15"/>
    <n v="161"/>
    <n v="80"/>
    <n v="12"/>
    <n v="10"/>
    <n v="54"/>
    <n v="5"/>
    <s v="2016-17"/>
    <s v="Highland"/>
    <s v="Dwelling: Fatal"/>
    <n v="2"/>
    <m/>
    <m/>
    <m/>
    <n v="1"/>
    <n v="1"/>
    <s v="2016-17"/>
    <s v="Highland"/>
    <s v="Dwelling: Nonfatal"/>
    <n v="43"/>
    <n v="31"/>
    <n v="2"/>
    <n v="1"/>
    <n v="9"/>
    <m/>
  </r>
  <r>
    <x v="1"/>
    <s v="Dwelling: Primary fires"/>
    <x v="16"/>
    <n v="131"/>
    <n v="70"/>
    <n v="12"/>
    <n v="25"/>
    <n v="22"/>
    <n v="2"/>
    <s v="2016-17"/>
    <s v="Inverclyde"/>
    <s v="Dwelling: Fatal"/>
    <n v="1"/>
    <m/>
    <n v="1"/>
    <m/>
    <m/>
    <m/>
    <s v="2016-17"/>
    <s v="Inverclyde"/>
    <s v="Dwelling: Nonfatal"/>
    <n v="40"/>
    <n v="18"/>
    <n v="6"/>
    <n v="6"/>
    <n v="10"/>
    <m/>
  </r>
  <r>
    <x v="1"/>
    <s v="Dwelling: Primary fires"/>
    <x v="17"/>
    <n v="78"/>
    <n v="45"/>
    <n v="4"/>
    <n v="4"/>
    <n v="25"/>
    <m/>
    <m/>
    <m/>
    <m/>
    <m/>
    <m/>
    <m/>
    <m/>
    <m/>
    <m/>
    <s v="2016-17"/>
    <s v="Midlothian"/>
    <s v="Dwelling: Nonfatal"/>
    <n v="12"/>
    <n v="8"/>
    <n v="1"/>
    <m/>
    <n v="3"/>
    <m/>
  </r>
  <r>
    <x v="1"/>
    <s v="Dwelling: Primary fires"/>
    <x v="18"/>
    <n v="55"/>
    <n v="25"/>
    <n v="9"/>
    <n v="8"/>
    <n v="12"/>
    <n v="1"/>
    <s v="2016-17"/>
    <s v="Moray"/>
    <s v="Dwelling: Fatal"/>
    <n v="1"/>
    <m/>
    <n v="1"/>
    <m/>
    <m/>
    <m/>
    <s v="2016-17"/>
    <s v="Moray"/>
    <s v="Dwelling: Nonfatal"/>
    <n v="16"/>
    <n v="5"/>
    <n v="5"/>
    <n v="2"/>
    <n v="4"/>
    <m/>
  </r>
  <r>
    <x v="1"/>
    <s v="Dwelling: Primary fires"/>
    <x v="19"/>
    <n v="23"/>
    <n v="11"/>
    <n v="2"/>
    <n v="7"/>
    <n v="2"/>
    <n v="1"/>
    <s v="2016-17"/>
    <s v="Na h-Eileanan Siar"/>
    <s v="Dwelling: Fatal"/>
    <n v="3"/>
    <n v="1"/>
    <m/>
    <n v="1"/>
    <n v="1"/>
    <m/>
    <s v="2016-17"/>
    <s v="Na h-Eileanan Siar"/>
    <s v="Dwelling: Nonfatal"/>
    <n v="8"/>
    <n v="8"/>
    <m/>
    <m/>
    <m/>
    <m/>
  </r>
  <r>
    <x v="1"/>
    <s v="Dwelling: Primary fires"/>
    <x v="20"/>
    <n v="167"/>
    <n v="118"/>
    <n v="6"/>
    <n v="20"/>
    <n v="20"/>
    <n v="3"/>
    <m/>
    <m/>
    <m/>
    <m/>
    <m/>
    <m/>
    <m/>
    <m/>
    <m/>
    <s v="2016-17"/>
    <s v="North Ayrshire"/>
    <s v="Dwelling: Nonfatal"/>
    <n v="24"/>
    <n v="17"/>
    <n v="2"/>
    <n v="1"/>
    <n v="3"/>
    <n v="1"/>
  </r>
  <r>
    <x v="1"/>
    <s v="Dwelling: Primary fires"/>
    <x v="21"/>
    <n v="353"/>
    <n v="195"/>
    <n v="32"/>
    <n v="41"/>
    <n v="82"/>
    <n v="3"/>
    <s v="2016-17"/>
    <s v="North Lanarkshire"/>
    <s v="Dwelling: Fatal"/>
    <n v="1"/>
    <m/>
    <m/>
    <n v="1"/>
    <m/>
    <m/>
    <s v="2016-17"/>
    <s v="North Lanarkshire"/>
    <s v="Dwelling: Nonfatal"/>
    <n v="85"/>
    <n v="40"/>
    <n v="21"/>
    <n v="6"/>
    <n v="18"/>
    <m/>
  </r>
  <r>
    <x v="1"/>
    <s v="Dwelling: Primary fires"/>
    <x v="22"/>
    <n v="7"/>
    <n v="4"/>
    <n v="1"/>
    <m/>
    <n v="2"/>
    <m/>
    <m/>
    <m/>
    <m/>
    <m/>
    <m/>
    <m/>
    <m/>
    <m/>
    <m/>
    <s v="2016-17"/>
    <s v="Orkney Islands"/>
    <s v="Dwelling: Nonfatal"/>
    <n v="3"/>
    <m/>
    <m/>
    <m/>
    <n v="3"/>
    <m/>
  </r>
  <r>
    <x v="1"/>
    <s v="Dwelling: Primary fires"/>
    <x v="23"/>
    <n v="146"/>
    <n v="74"/>
    <n v="2"/>
    <n v="11"/>
    <n v="54"/>
    <n v="5"/>
    <s v="2016-17"/>
    <s v="Perth and Kinross"/>
    <s v="Dwelling: Fatal"/>
    <n v="1"/>
    <m/>
    <m/>
    <m/>
    <m/>
    <n v="1"/>
    <s v="2016-17"/>
    <s v="Perth and Kinross"/>
    <s v="Dwelling: Nonfatal"/>
    <n v="29"/>
    <n v="16"/>
    <m/>
    <m/>
    <n v="13"/>
    <m/>
  </r>
  <r>
    <x v="1"/>
    <s v="Dwelling: Primary fires"/>
    <x v="24"/>
    <n v="205"/>
    <n v="126"/>
    <n v="13"/>
    <n v="26"/>
    <n v="38"/>
    <n v="2"/>
    <s v="2016-17"/>
    <s v="Renfrewshire"/>
    <s v="Dwelling: Fatal"/>
    <n v="1"/>
    <m/>
    <m/>
    <m/>
    <m/>
    <n v="1"/>
    <s v="2016-17"/>
    <s v="Renfrewshire"/>
    <s v="Dwelling: Nonfatal"/>
    <n v="30"/>
    <n v="24"/>
    <n v="2"/>
    <n v="1"/>
    <n v="3"/>
    <m/>
  </r>
  <r>
    <x v="1"/>
    <s v="Dwelling: Primary fires"/>
    <x v="25"/>
    <n v="91"/>
    <n v="42"/>
    <n v="11"/>
    <n v="14"/>
    <n v="23"/>
    <n v="1"/>
    <s v="2016-17"/>
    <s v="Scottish Borders"/>
    <s v="Dwelling: Fatal"/>
    <n v="1"/>
    <m/>
    <m/>
    <n v="1"/>
    <m/>
    <m/>
    <s v="2016-17"/>
    <s v="Scottish Borders"/>
    <s v="Dwelling: Nonfatal"/>
    <n v="25"/>
    <n v="16"/>
    <n v="4"/>
    <n v="2"/>
    <n v="3"/>
    <m/>
  </r>
  <r>
    <x v="1"/>
    <s v="Dwelling: Primary fires"/>
    <x v="26"/>
    <n v="9"/>
    <n v="1"/>
    <n v="1"/>
    <m/>
    <n v="7"/>
    <m/>
    <m/>
    <m/>
    <m/>
    <m/>
    <m/>
    <m/>
    <m/>
    <m/>
    <m/>
    <s v="2016-17"/>
    <s v="Shetland Islands"/>
    <s v="Dwelling: Nonfatal"/>
    <n v="1"/>
    <m/>
    <m/>
    <m/>
    <n v="1"/>
    <m/>
  </r>
  <r>
    <x v="1"/>
    <s v="Dwelling: Primary fires"/>
    <x v="27"/>
    <n v="97"/>
    <n v="47"/>
    <n v="13"/>
    <n v="14"/>
    <n v="22"/>
    <n v="1"/>
    <m/>
    <m/>
    <m/>
    <m/>
    <m/>
    <m/>
    <m/>
    <m/>
    <m/>
    <s v="2016-17"/>
    <s v="South Ayrshire"/>
    <s v="Dwelling: Nonfatal"/>
    <n v="23"/>
    <n v="14"/>
    <n v="5"/>
    <n v="1"/>
    <n v="3"/>
    <m/>
  </r>
  <r>
    <x v="1"/>
    <s v="Dwelling: Primary fires"/>
    <x v="28"/>
    <n v="250"/>
    <n v="132"/>
    <n v="16"/>
    <n v="44"/>
    <n v="55"/>
    <n v="3"/>
    <m/>
    <m/>
    <m/>
    <m/>
    <m/>
    <m/>
    <m/>
    <m/>
    <m/>
    <s v="2016-17"/>
    <s v="South Lanarkshire"/>
    <s v="Dwelling: Nonfatal"/>
    <n v="46"/>
    <n v="30"/>
    <n v="4"/>
    <n v="2"/>
    <n v="10"/>
    <m/>
  </r>
  <r>
    <x v="1"/>
    <s v="Dwelling: Primary fires"/>
    <x v="29"/>
    <n v="85"/>
    <n v="40"/>
    <n v="7"/>
    <n v="9"/>
    <n v="27"/>
    <n v="2"/>
    <s v="2016-17"/>
    <s v="Stirling"/>
    <s v="Dwelling: Fatal"/>
    <n v="1"/>
    <m/>
    <m/>
    <n v="1"/>
    <m/>
    <m/>
    <s v="2016-17"/>
    <s v="Stirling"/>
    <s v="Dwelling: Nonfatal"/>
    <n v="11"/>
    <n v="3"/>
    <n v="2"/>
    <n v="2"/>
    <n v="4"/>
    <m/>
  </r>
  <r>
    <x v="1"/>
    <s v="Dwelling: Primary fires"/>
    <x v="30"/>
    <n v="143"/>
    <n v="99"/>
    <n v="6"/>
    <n v="21"/>
    <n v="16"/>
    <n v="1"/>
    <m/>
    <m/>
    <m/>
    <m/>
    <m/>
    <m/>
    <m/>
    <m/>
    <m/>
    <s v="2016-17"/>
    <s v="West Dunbartonshire"/>
    <s v="Dwelling: Nonfatal"/>
    <n v="20"/>
    <n v="12"/>
    <n v="1"/>
    <n v="3"/>
    <n v="1"/>
    <n v="3"/>
  </r>
  <r>
    <x v="1"/>
    <s v="Dwelling: Primary fires"/>
    <x v="31"/>
    <n v="138"/>
    <n v="60"/>
    <n v="20"/>
    <n v="25"/>
    <n v="29"/>
    <n v="4"/>
    <m/>
    <m/>
    <m/>
    <m/>
    <m/>
    <m/>
    <m/>
    <m/>
    <m/>
    <s v="2016-17"/>
    <s v="West Lothian"/>
    <s v="Dwelling: Nonfatal"/>
    <n v="34"/>
    <n v="11"/>
    <n v="11"/>
    <n v="3"/>
    <n v="8"/>
    <n v="1"/>
  </r>
  <r>
    <x v="2"/>
    <s v="Dwelling: Primary fires"/>
    <x v="0"/>
    <n v="277"/>
    <n v="157"/>
    <n v="17"/>
    <n v="27"/>
    <n v="72"/>
    <n v="4"/>
    <s v="2017-18"/>
    <s v="Aberdeen City"/>
    <s v="Dwelling: Fatal"/>
    <n v="3"/>
    <m/>
    <n v="1"/>
    <n v="2"/>
    <m/>
    <m/>
    <s v="2017-18"/>
    <s v="Aberdeen City"/>
    <s v="Dwelling: Nonfatal"/>
    <n v="29"/>
    <n v="14"/>
    <n v="5"/>
    <m/>
    <n v="8"/>
    <n v="2"/>
  </r>
  <r>
    <x v="2"/>
    <s v="Dwelling: Primary fires"/>
    <x v="1"/>
    <n v="168"/>
    <n v="76"/>
    <n v="12"/>
    <n v="17"/>
    <n v="61"/>
    <n v="2"/>
    <s v="2017-18"/>
    <s v="Aberdeenshire"/>
    <s v="Dwelling: Fatal"/>
    <n v="1"/>
    <n v="1"/>
    <m/>
    <m/>
    <m/>
    <m/>
    <s v="2017-18"/>
    <s v="Aberdeenshire"/>
    <s v="Dwelling: Nonfatal"/>
    <n v="32"/>
    <n v="7"/>
    <n v="5"/>
    <n v="2"/>
    <n v="18"/>
    <m/>
  </r>
  <r>
    <x v="2"/>
    <s v="Dwelling: Primary fires"/>
    <x v="2"/>
    <n v="81"/>
    <n v="44"/>
    <n v="6"/>
    <n v="6"/>
    <n v="25"/>
    <m/>
    <m/>
    <m/>
    <m/>
    <m/>
    <m/>
    <m/>
    <m/>
    <m/>
    <m/>
    <s v="2017-18"/>
    <s v="Angus"/>
    <s v="Dwelling: Nonfatal"/>
    <n v="18"/>
    <n v="9"/>
    <n v="2"/>
    <n v="2"/>
    <n v="5"/>
    <m/>
  </r>
  <r>
    <x v="2"/>
    <s v="Dwelling: Primary fires"/>
    <x v="3"/>
    <n v="86"/>
    <n v="45"/>
    <n v="12"/>
    <n v="11"/>
    <n v="12"/>
    <n v="6"/>
    <s v="2017-18"/>
    <s v="Argyll and Bute"/>
    <s v="Dwelling: Fatal"/>
    <n v="1"/>
    <n v="1"/>
    <m/>
    <m/>
    <m/>
    <m/>
    <s v="2017-18"/>
    <s v="Argyll and Bute"/>
    <s v="Dwelling: Nonfatal"/>
    <n v="18"/>
    <n v="10"/>
    <n v="1"/>
    <n v="4"/>
    <n v="3"/>
    <m/>
  </r>
  <r>
    <x v="2"/>
    <s v="Dwelling: Primary fires"/>
    <x v="4"/>
    <n v="51"/>
    <n v="28"/>
    <n v="10"/>
    <n v="4"/>
    <n v="8"/>
    <n v="1"/>
    <m/>
    <m/>
    <m/>
    <m/>
    <m/>
    <m/>
    <m/>
    <m/>
    <m/>
    <s v="2017-18"/>
    <s v="Clackmannanshire"/>
    <s v="Dwelling: Nonfatal"/>
    <n v="8"/>
    <n v="6"/>
    <n v="1"/>
    <m/>
    <n v="1"/>
    <m/>
  </r>
  <r>
    <x v="2"/>
    <s v="Dwelling: Primary fires"/>
    <x v="5"/>
    <n v="104"/>
    <n v="34"/>
    <n v="7"/>
    <n v="21"/>
    <n v="41"/>
    <n v="1"/>
    <s v="2017-18"/>
    <s v="Dumfries and Galloway"/>
    <s v="Dwelling: Fatal"/>
    <n v="3"/>
    <m/>
    <n v="1"/>
    <n v="2"/>
    <m/>
    <m/>
    <s v="2017-18"/>
    <s v="Dumfries and Galloway"/>
    <s v="Dwelling: Nonfatal"/>
    <n v="4"/>
    <n v="3"/>
    <m/>
    <m/>
    <n v="1"/>
    <m/>
  </r>
  <r>
    <x v="2"/>
    <s v="Dwelling: Primary fires"/>
    <x v="6"/>
    <n v="214"/>
    <n v="124"/>
    <n v="20"/>
    <n v="20"/>
    <n v="49"/>
    <n v="1"/>
    <m/>
    <m/>
    <m/>
    <m/>
    <m/>
    <m/>
    <m/>
    <m/>
    <m/>
    <s v="2017-18"/>
    <s v="Dundee City"/>
    <s v="Dwelling: Nonfatal"/>
    <n v="34"/>
    <n v="22"/>
    <n v="3"/>
    <n v="2"/>
    <n v="7"/>
    <m/>
  </r>
  <r>
    <x v="2"/>
    <s v="Dwelling: Primary fires"/>
    <x v="7"/>
    <n v="87"/>
    <n v="51"/>
    <n v="14"/>
    <n v="10"/>
    <n v="10"/>
    <n v="2"/>
    <s v="2017-18"/>
    <s v="East Ayrshire"/>
    <s v="Dwelling: Fatal"/>
    <n v="1"/>
    <m/>
    <n v="1"/>
    <m/>
    <m/>
    <m/>
    <s v="2017-18"/>
    <s v="East Ayrshire"/>
    <s v="Dwelling: Nonfatal"/>
    <n v="26"/>
    <n v="15"/>
    <n v="6"/>
    <n v="2"/>
    <n v="1"/>
    <n v="2"/>
  </r>
  <r>
    <x v="2"/>
    <s v="Dwelling: Primary fires"/>
    <x v="8"/>
    <n v="67"/>
    <n v="34"/>
    <n v="3"/>
    <n v="19"/>
    <n v="10"/>
    <n v="1"/>
    <m/>
    <m/>
    <m/>
    <m/>
    <m/>
    <m/>
    <m/>
    <m/>
    <m/>
    <s v="2017-18"/>
    <s v="East Dunbartonshire"/>
    <s v="Dwelling: Nonfatal"/>
    <n v="13"/>
    <n v="7"/>
    <m/>
    <n v="4"/>
    <n v="2"/>
    <m/>
  </r>
  <r>
    <x v="2"/>
    <s v="Dwelling: Primary fires"/>
    <x v="9"/>
    <n v="76"/>
    <n v="45"/>
    <n v="2"/>
    <n v="6"/>
    <n v="20"/>
    <n v="3"/>
    <s v="2017-18"/>
    <s v="East Lothian"/>
    <s v="Dwelling: Fatal"/>
    <n v="2"/>
    <m/>
    <m/>
    <m/>
    <n v="2"/>
    <m/>
    <s v="2017-18"/>
    <s v="East Lothian"/>
    <s v="Dwelling: Nonfatal"/>
    <n v="7"/>
    <n v="5"/>
    <m/>
    <m/>
    <n v="2"/>
    <m/>
  </r>
  <r>
    <x v="2"/>
    <s v="Dwelling: Primary fires"/>
    <x v="10"/>
    <n v="84"/>
    <n v="58"/>
    <n v="4"/>
    <n v="9"/>
    <n v="11"/>
    <n v="2"/>
    <m/>
    <m/>
    <m/>
    <m/>
    <m/>
    <m/>
    <m/>
    <m/>
    <m/>
    <s v="2017-18"/>
    <s v="East Renfrewshire"/>
    <s v="Dwelling: Nonfatal"/>
    <n v="9"/>
    <n v="7"/>
    <m/>
    <m/>
    <n v="2"/>
    <m/>
  </r>
  <r>
    <x v="2"/>
    <s v="Dwelling: Primary fires"/>
    <x v="11"/>
    <n v="523"/>
    <n v="222"/>
    <n v="35"/>
    <n v="62"/>
    <n v="197"/>
    <n v="7"/>
    <s v="2017-18"/>
    <s v="Edinburgh, City of"/>
    <s v="Dwelling: Fatal"/>
    <n v="1"/>
    <n v="1"/>
    <m/>
    <m/>
    <m/>
    <m/>
    <s v="2017-18"/>
    <s v="Edinburgh, City of"/>
    <s v="Dwelling: Nonfatal"/>
    <n v="79"/>
    <n v="38"/>
    <n v="9"/>
    <n v="7"/>
    <n v="22"/>
    <n v="3"/>
  </r>
  <r>
    <x v="2"/>
    <s v="Dwelling: Primary fires"/>
    <x v="12"/>
    <n v="122"/>
    <n v="52"/>
    <n v="13"/>
    <n v="13"/>
    <n v="44"/>
    <m/>
    <s v="2017-18"/>
    <s v="Falkirk"/>
    <s v="Dwelling: Fatal"/>
    <n v="2"/>
    <n v="1"/>
    <n v="1"/>
    <m/>
    <m/>
    <m/>
    <s v="2017-18"/>
    <s v="Falkirk"/>
    <s v="Dwelling: Nonfatal"/>
    <n v="20"/>
    <n v="16"/>
    <m/>
    <n v="1"/>
    <n v="3"/>
    <m/>
  </r>
  <r>
    <x v="2"/>
    <s v="Dwelling: Primary fires"/>
    <x v="13"/>
    <n v="302"/>
    <n v="129"/>
    <n v="39"/>
    <n v="53"/>
    <n v="75"/>
    <n v="6"/>
    <s v="2017-18"/>
    <s v="Fife"/>
    <s v="Dwelling: Fatal"/>
    <n v="2"/>
    <m/>
    <m/>
    <m/>
    <n v="2"/>
    <m/>
    <s v="2017-18"/>
    <s v="Fife"/>
    <s v="Dwelling: Nonfatal"/>
    <n v="32"/>
    <n v="13"/>
    <n v="8"/>
    <n v="6"/>
    <n v="5"/>
    <m/>
  </r>
  <r>
    <x v="2"/>
    <s v="Dwelling: Primary fires"/>
    <x v="14"/>
    <n v="962"/>
    <n v="566"/>
    <n v="79"/>
    <n v="134"/>
    <n v="168"/>
    <n v="15"/>
    <s v="2017-18"/>
    <s v="Glasgow City"/>
    <s v="Dwelling: Fatal"/>
    <n v="5"/>
    <n v="3"/>
    <n v="1"/>
    <m/>
    <n v="1"/>
    <m/>
    <s v="2017-18"/>
    <s v="Glasgow City"/>
    <s v="Dwelling: Nonfatal"/>
    <n v="185"/>
    <n v="101"/>
    <n v="24"/>
    <n v="14"/>
    <n v="42"/>
    <n v="4"/>
  </r>
  <r>
    <x v="2"/>
    <s v="Dwelling: Primary fires"/>
    <x v="15"/>
    <n v="153"/>
    <n v="56"/>
    <n v="16"/>
    <n v="17"/>
    <n v="59"/>
    <n v="5"/>
    <s v="2017-18"/>
    <s v="Highland"/>
    <s v="Dwelling: Fatal"/>
    <n v="2"/>
    <m/>
    <m/>
    <m/>
    <n v="1"/>
    <n v="1"/>
    <s v="2017-18"/>
    <s v="Highland"/>
    <s v="Dwelling: Nonfatal"/>
    <n v="31"/>
    <n v="18"/>
    <n v="4"/>
    <n v="4"/>
    <n v="5"/>
    <m/>
  </r>
  <r>
    <x v="2"/>
    <s v="Dwelling: Primary fires"/>
    <x v="16"/>
    <n v="103"/>
    <n v="58"/>
    <n v="3"/>
    <n v="14"/>
    <n v="27"/>
    <n v="1"/>
    <m/>
    <m/>
    <m/>
    <m/>
    <m/>
    <m/>
    <m/>
    <m/>
    <m/>
    <s v="2017-18"/>
    <s v="Inverclyde"/>
    <s v="Dwelling: Nonfatal"/>
    <n v="14"/>
    <n v="11"/>
    <m/>
    <n v="1"/>
    <n v="2"/>
    <m/>
  </r>
  <r>
    <x v="2"/>
    <s v="Dwelling: Primary fires"/>
    <x v="17"/>
    <n v="70"/>
    <n v="33"/>
    <n v="7"/>
    <n v="8"/>
    <n v="22"/>
    <m/>
    <m/>
    <m/>
    <m/>
    <m/>
    <m/>
    <m/>
    <m/>
    <m/>
    <m/>
    <s v="2017-18"/>
    <s v="Midlothian"/>
    <s v="Dwelling: Nonfatal"/>
    <n v="15"/>
    <n v="11"/>
    <m/>
    <n v="2"/>
    <n v="2"/>
    <m/>
  </r>
  <r>
    <x v="2"/>
    <s v="Dwelling: Primary fires"/>
    <x v="18"/>
    <n v="39"/>
    <n v="18"/>
    <n v="5"/>
    <n v="8"/>
    <n v="7"/>
    <n v="1"/>
    <m/>
    <m/>
    <m/>
    <m/>
    <m/>
    <m/>
    <m/>
    <m/>
    <m/>
    <s v="2017-18"/>
    <s v="Moray"/>
    <s v="Dwelling: Nonfatal"/>
    <n v="13"/>
    <n v="6"/>
    <n v="2"/>
    <n v="3"/>
    <n v="2"/>
    <m/>
  </r>
  <r>
    <x v="2"/>
    <s v="Dwelling: Primary fires"/>
    <x v="19"/>
    <n v="17"/>
    <n v="4"/>
    <n v="3"/>
    <n v="5"/>
    <n v="5"/>
    <m/>
    <s v="2017-18"/>
    <s v="Na h-Eileanan Siar"/>
    <s v="Dwelling: Fatal"/>
    <n v="1"/>
    <m/>
    <m/>
    <n v="1"/>
    <m/>
    <m/>
    <s v="2017-18"/>
    <s v="Na h-Eileanan Siar"/>
    <s v="Dwelling: Nonfatal"/>
    <n v="2"/>
    <m/>
    <n v="1"/>
    <n v="1"/>
    <m/>
    <m/>
  </r>
  <r>
    <x v="2"/>
    <s v="Dwelling: Primary fires"/>
    <x v="20"/>
    <n v="162"/>
    <n v="96"/>
    <n v="12"/>
    <n v="24"/>
    <n v="28"/>
    <n v="2"/>
    <m/>
    <m/>
    <m/>
    <m/>
    <m/>
    <m/>
    <m/>
    <m/>
    <m/>
    <s v="2017-18"/>
    <s v="North Ayrshire"/>
    <s v="Dwelling: Nonfatal"/>
    <n v="18"/>
    <n v="12"/>
    <n v="3"/>
    <n v="1"/>
    <n v="2"/>
    <m/>
  </r>
  <r>
    <x v="2"/>
    <s v="Dwelling: Primary fires"/>
    <x v="21"/>
    <n v="307"/>
    <n v="165"/>
    <n v="38"/>
    <n v="23"/>
    <n v="73"/>
    <n v="8"/>
    <s v="2017-18"/>
    <s v="North Lanarkshire"/>
    <s v="Dwelling: Fatal"/>
    <n v="1"/>
    <n v="1"/>
    <m/>
    <m/>
    <m/>
    <m/>
    <s v="2017-18"/>
    <s v="North Lanarkshire"/>
    <s v="Dwelling: Nonfatal"/>
    <n v="84"/>
    <n v="44"/>
    <n v="12"/>
    <n v="3"/>
    <n v="25"/>
    <m/>
  </r>
  <r>
    <x v="2"/>
    <s v="Dwelling: Primary fires"/>
    <x v="22"/>
    <n v="7"/>
    <n v="1"/>
    <n v="1"/>
    <m/>
    <n v="4"/>
    <n v="1"/>
    <m/>
    <m/>
    <m/>
    <m/>
    <m/>
    <m/>
    <m/>
    <m/>
    <m/>
    <s v="2017-18"/>
    <s v="Orkney Islands"/>
    <s v="Dwelling: Nonfatal"/>
    <n v="3"/>
    <m/>
    <n v="3"/>
    <m/>
    <m/>
    <m/>
  </r>
  <r>
    <x v="2"/>
    <s v="Dwelling: Primary fires"/>
    <x v="23"/>
    <n v="116"/>
    <n v="54"/>
    <n v="6"/>
    <n v="10"/>
    <n v="45"/>
    <n v="1"/>
    <m/>
    <m/>
    <m/>
    <m/>
    <m/>
    <m/>
    <m/>
    <m/>
    <m/>
    <s v="2017-18"/>
    <s v="Perth and Kinross"/>
    <s v="Dwelling: Nonfatal"/>
    <n v="20"/>
    <n v="11"/>
    <n v="3"/>
    <m/>
    <n v="6"/>
    <m/>
  </r>
  <r>
    <x v="2"/>
    <s v="Dwelling: Primary fires"/>
    <x v="24"/>
    <n v="223"/>
    <n v="124"/>
    <n v="11"/>
    <n v="33"/>
    <n v="45"/>
    <n v="10"/>
    <s v="2017-18"/>
    <s v="Renfrewshire"/>
    <s v="Dwelling: Fatal"/>
    <n v="1"/>
    <m/>
    <m/>
    <n v="1"/>
    <m/>
    <m/>
    <s v="2017-18"/>
    <s v="Renfrewshire"/>
    <s v="Dwelling: Nonfatal"/>
    <n v="37"/>
    <n v="25"/>
    <n v="2"/>
    <n v="3"/>
    <n v="3"/>
    <n v="4"/>
  </r>
  <r>
    <x v="2"/>
    <s v="Dwelling: Primary fires"/>
    <x v="25"/>
    <n v="100"/>
    <n v="39"/>
    <n v="9"/>
    <n v="17"/>
    <n v="33"/>
    <n v="2"/>
    <s v="2017-18"/>
    <s v="Scottish Borders"/>
    <s v="Dwelling: Fatal"/>
    <n v="1"/>
    <m/>
    <n v="1"/>
    <m/>
    <m/>
    <m/>
    <s v="2017-18"/>
    <s v="Scottish Borders"/>
    <s v="Dwelling: Nonfatal"/>
    <n v="16"/>
    <n v="9"/>
    <m/>
    <n v="1"/>
    <n v="6"/>
    <m/>
  </r>
  <r>
    <x v="2"/>
    <s v="Dwelling: Primary fires"/>
    <x v="26"/>
    <n v="13"/>
    <n v="2"/>
    <n v="4"/>
    <n v="2"/>
    <n v="2"/>
    <n v="3"/>
    <m/>
    <m/>
    <m/>
    <m/>
    <m/>
    <m/>
    <m/>
    <m/>
    <m/>
    <s v="2017-18"/>
    <s v="Shetland Islands"/>
    <s v="Dwelling: Nonfatal"/>
    <n v="5"/>
    <n v="1"/>
    <n v="4"/>
    <m/>
    <m/>
    <m/>
  </r>
  <r>
    <x v="2"/>
    <s v="Dwelling: Primary fires"/>
    <x v="27"/>
    <n v="105"/>
    <n v="69"/>
    <n v="9"/>
    <n v="14"/>
    <n v="8"/>
    <n v="5"/>
    <s v="2017-18"/>
    <s v="South Ayrshire"/>
    <s v="Dwelling: Fatal"/>
    <n v="3"/>
    <m/>
    <n v="1"/>
    <m/>
    <m/>
    <n v="2"/>
    <s v="2017-18"/>
    <s v="South Ayrshire"/>
    <s v="Dwelling: Nonfatal"/>
    <n v="20"/>
    <n v="12"/>
    <n v="3"/>
    <n v="2"/>
    <n v="1"/>
    <n v="2"/>
  </r>
  <r>
    <x v="2"/>
    <s v="Dwelling: Primary fires"/>
    <x v="28"/>
    <n v="278"/>
    <n v="154"/>
    <n v="16"/>
    <n v="49"/>
    <n v="55"/>
    <n v="4"/>
    <s v="2017-18"/>
    <s v="South Lanarkshire"/>
    <s v="Dwelling: Fatal"/>
    <n v="4"/>
    <n v="3"/>
    <m/>
    <n v="1"/>
    <m/>
    <m/>
    <s v="2017-18"/>
    <s v="South Lanarkshire"/>
    <s v="Dwelling: Nonfatal"/>
    <n v="60"/>
    <n v="33"/>
    <n v="3"/>
    <n v="7"/>
    <n v="15"/>
    <n v="2"/>
  </r>
  <r>
    <x v="2"/>
    <s v="Dwelling: Primary fires"/>
    <x v="29"/>
    <n v="86"/>
    <n v="39"/>
    <n v="13"/>
    <n v="8"/>
    <n v="26"/>
    <m/>
    <s v="2017-18"/>
    <s v="Stirling"/>
    <s v="Dwelling: Fatal"/>
    <n v="2"/>
    <n v="1"/>
    <m/>
    <n v="1"/>
    <m/>
    <m/>
    <s v="2017-18"/>
    <s v="Stirling"/>
    <s v="Dwelling: Nonfatal"/>
    <n v="15"/>
    <n v="5"/>
    <n v="2"/>
    <n v="1"/>
    <n v="7"/>
    <m/>
  </r>
  <r>
    <x v="2"/>
    <s v="Dwelling: Primary fires"/>
    <x v="30"/>
    <n v="158"/>
    <n v="100"/>
    <n v="7"/>
    <n v="27"/>
    <n v="23"/>
    <n v="1"/>
    <s v="2017-18"/>
    <s v="West Dunbartonshire"/>
    <s v="Dwelling: Fatal"/>
    <n v="1"/>
    <m/>
    <n v="1"/>
    <m/>
    <m/>
    <m/>
    <s v="2017-18"/>
    <s v="West Dunbartonshire"/>
    <s v="Dwelling: Nonfatal"/>
    <n v="22"/>
    <n v="13"/>
    <n v="2"/>
    <n v="1"/>
    <n v="4"/>
    <n v="2"/>
  </r>
  <r>
    <x v="2"/>
    <s v="Dwelling: Primary fires"/>
    <x v="31"/>
    <n v="169"/>
    <n v="87"/>
    <n v="9"/>
    <n v="27"/>
    <n v="45"/>
    <n v="1"/>
    <m/>
    <m/>
    <m/>
    <m/>
    <m/>
    <m/>
    <m/>
    <m/>
    <m/>
    <s v="2017-18"/>
    <s v="West Lothian"/>
    <s v="Dwelling: Nonfatal"/>
    <n v="32"/>
    <n v="17"/>
    <n v="3"/>
    <n v="3"/>
    <n v="9"/>
    <m/>
  </r>
</pivotCacheRecords>
</file>

<file path=xl/pivotCache/pivotCacheRecords24.xml><?xml version="1.0" encoding="utf-8"?>
<pivotCacheRecords xmlns="http://schemas.openxmlformats.org/spreadsheetml/2006/main" xmlns:r="http://schemas.openxmlformats.org/officeDocument/2006/relationships" count="96">
  <r>
    <s v="1:Dwelling"/>
    <x v="0"/>
    <x v="0"/>
    <n v="299"/>
    <n v="47"/>
    <n v="221"/>
    <n v="31"/>
  </r>
  <r>
    <s v="1:Dwelling"/>
    <x v="0"/>
    <x v="1"/>
    <n v="180"/>
    <n v="21"/>
    <n v="155"/>
    <n v="4"/>
  </r>
  <r>
    <s v="1:Dwelling"/>
    <x v="0"/>
    <x v="2"/>
    <n v="88"/>
    <n v="15"/>
    <n v="66"/>
    <n v="7"/>
  </r>
  <r>
    <s v="1:Dwelling"/>
    <x v="0"/>
    <x v="3"/>
    <n v="60"/>
    <n v="7"/>
    <n v="49"/>
    <n v="4"/>
  </r>
  <r>
    <s v="1:Dwelling"/>
    <x v="0"/>
    <x v="4"/>
    <n v="71"/>
    <n v="11"/>
    <n v="53"/>
    <n v="7"/>
  </r>
  <r>
    <s v="1:Dwelling"/>
    <x v="0"/>
    <x v="5"/>
    <n v="82"/>
    <n v="5"/>
    <n v="70"/>
    <n v="7"/>
  </r>
  <r>
    <s v="1:Dwelling"/>
    <x v="0"/>
    <x v="6"/>
    <n v="227"/>
    <n v="50"/>
    <n v="139"/>
    <n v="38"/>
  </r>
  <r>
    <s v="1:Dwelling"/>
    <x v="0"/>
    <x v="7"/>
    <n v="92"/>
    <n v="14"/>
    <n v="68"/>
    <n v="10"/>
  </r>
  <r>
    <s v="1:Dwelling"/>
    <x v="0"/>
    <x v="8"/>
    <n v="71"/>
    <n v="7"/>
    <n v="57"/>
    <n v="7"/>
  </r>
  <r>
    <s v="1:Dwelling"/>
    <x v="0"/>
    <x v="9"/>
    <n v="80"/>
    <n v="5"/>
    <n v="69"/>
    <n v="6"/>
  </r>
  <r>
    <s v="1:Dwelling"/>
    <x v="0"/>
    <x v="10"/>
    <n v="63"/>
    <n v="5"/>
    <n v="52"/>
    <n v="6"/>
  </r>
  <r>
    <s v="1:Dwelling"/>
    <x v="0"/>
    <x v="11"/>
    <n v="545"/>
    <n v="76"/>
    <n v="375"/>
    <n v="94"/>
  </r>
  <r>
    <s v="1:Dwelling"/>
    <x v="0"/>
    <x v="12"/>
    <n v="123"/>
    <n v="20"/>
    <n v="87"/>
    <n v="16"/>
  </r>
  <r>
    <s v="1:Dwelling"/>
    <x v="0"/>
    <x v="13"/>
    <n v="255"/>
    <n v="39"/>
    <n v="194"/>
    <n v="22"/>
  </r>
  <r>
    <s v="1:Dwelling"/>
    <x v="0"/>
    <x v="14"/>
    <n v="833"/>
    <n v="113"/>
    <n v="608"/>
    <n v="112"/>
  </r>
  <r>
    <s v="1:Dwelling"/>
    <x v="0"/>
    <x v="15"/>
    <n v="122"/>
    <n v="15"/>
    <n v="96"/>
    <n v="11"/>
  </r>
  <r>
    <s v="1:Dwelling"/>
    <x v="0"/>
    <x v="16"/>
    <n v="111"/>
    <n v="21"/>
    <n v="78"/>
    <n v="12"/>
  </r>
  <r>
    <s v="1:Dwelling"/>
    <x v="0"/>
    <x v="17"/>
    <n v="60"/>
    <n v="9"/>
    <n v="42"/>
    <n v="9"/>
  </r>
  <r>
    <s v="1:Dwelling"/>
    <x v="0"/>
    <x v="18"/>
    <n v="47"/>
    <n v="3"/>
    <n v="39"/>
    <n v="5"/>
  </r>
  <r>
    <s v="1:Dwelling"/>
    <x v="0"/>
    <x v="19"/>
    <n v="20"/>
    <n v="5"/>
    <n v="14"/>
    <n v="1"/>
  </r>
  <r>
    <s v="1:Dwelling"/>
    <x v="0"/>
    <x v="20"/>
    <n v="160"/>
    <n v="15"/>
    <n v="133"/>
    <n v="12"/>
  </r>
  <r>
    <s v="1:Dwelling"/>
    <x v="0"/>
    <x v="21"/>
    <n v="294"/>
    <n v="48"/>
    <n v="212"/>
    <n v="34"/>
  </r>
  <r>
    <s v="1:Dwelling"/>
    <x v="0"/>
    <x v="22"/>
    <n v="11"/>
    <m/>
    <n v="11"/>
    <m/>
  </r>
  <r>
    <s v="1:Dwelling"/>
    <x v="0"/>
    <x v="23"/>
    <n v="120"/>
    <n v="14"/>
    <n v="98"/>
    <n v="8"/>
  </r>
  <r>
    <s v="1:Dwelling"/>
    <x v="0"/>
    <x v="24"/>
    <n v="207"/>
    <n v="34"/>
    <n v="154"/>
    <n v="19"/>
  </r>
  <r>
    <s v="1:Dwelling"/>
    <x v="0"/>
    <x v="25"/>
    <n v="104"/>
    <n v="14"/>
    <n v="84"/>
    <n v="6"/>
  </r>
  <r>
    <s v="1:Dwelling"/>
    <x v="0"/>
    <x v="26"/>
    <n v="17"/>
    <n v="2"/>
    <n v="15"/>
    <m/>
  </r>
  <r>
    <s v="1:Dwelling"/>
    <x v="0"/>
    <x v="27"/>
    <n v="89"/>
    <n v="18"/>
    <n v="61"/>
    <n v="10"/>
  </r>
  <r>
    <s v="1:Dwelling"/>
    <x v="0"/>
    <x v="28"/>
    <n v="259"/>
    <n v="44"/>
    <n v="170"/>
    <n v="45"/>
  </r>
  <r>
    <s v="1:Dwelling"/>
    <x v="0"/>
    <x v="29"/>
    <n v="107"/>
    <n v="7"/>
    <n v="89"/>
    <n v="11"/>
  </r>
  <r>
    <s v="1:Dwelling"/>
    <x v="0"/>
    <x v="30"/>
    <n v="144"/>
    <n v="27"/>
    <n v="106"/>
    <n v="11"/>
  </r>
  <r>
    <s v="1:Dwelling"/>
    <x v="0"/>
    <x v="31"/>
    <n v="131"/>
    <n v="14"/>
    <n v="91"/>
    <n v="26"/>
  </r>
  <r>
    <s v="1:Dwelling"/>
    <x v="1"/>
    <x v="0"/>
    <n v="300"/>
    <n v="52"/>
    <n v="206"/>
    <n v="42"/>
  </r>
  <r>
    <s v="1:Dwelling"/>
    <x v="1"/>
    <x v="1"/>
    <n v="170"/>
    <n v="20"/>
    <n v="143"/>
    <n v="7"/>
  </r>
  <r>
    <s v="1:Dwelling"/>
    <x v="1"/>
    <x v="2"/>
    <n v="93"/>
    <n v="16"/>
    <n v="65"/>
    <n v="12"/>
  </r>
  <r>
    <s v="1:Dwelling"/>
    <x v="1"/>
    <x v="3"/>
    <n v="77"/>
    <n v="7"/>
    <n v="65"/>
    <n v="5"/>
  </r>
  <r>
    <s v="1:Dwelling"/>
    <x v="1"/>
    <x v="4"/>
    <n v="67"/>
    <n v="9"/>
    <n v="52"/>
    <n v="6"/>
  </r>
  <r>
    <s v="1:Dwelling"/>
    <x v="1"/>
    <x v="5"/>
    <n v="105"/>
    <n v="6"/>
    <n v="94"/>
    <n v="5"/>
  </r>
  <r>
    <s v="1:Dwelling"/>
    <x v="1"/>
    <x v="6"/>
    <n v="225"/>
    <n v="37"/>
    <n v="144"/>
    <n v="44"/>
  </r>
  <r>
    <s v="1:Dwelling"/>
    <x v="1"/>
    <x v="7"/>
    <n v="138"/>
    <n v="18"/>
    <n v="112"/>
    <n v="8"/>
  </r>
  <r>
    <s v="1:Dwelling"/>
    <x v="1"/>
    <x v="8"/>
    <n v="75"/>
    <n v="6"/>
    <n v="57"/>
    <n v="12"/>
  </r>
  <r>
    <s v="1:Dwelling"/>
    <x v="1"/>
    <x v="9"/>
    <n v="52"/>
    <n v="1"/>
    <n v="46"/>
    <n v="5"/>
  </r>
  <r>
    <s v="1:Dwelling"/>
    <x v="1"/>
    <x v="10"/>
    <n v="57"/>
    <n v="6"/>
    <n v="49"/>
    <n v="2"/>
  </r>
  <r>
    <s v="1:Dwelling"/>
    <x v="1"/>
    <x v="11"/>
    <n v="492"/>
    <n v="55"/>
    <n v="333"/>
    <n v="104"/>
  </r>
  <r>
    <s v="1:Dwelling"/>
    <x v="1"/>
    <x v="12"/>
    <n v="107"/>
    <n v="19"/>
    <n v="79"/>
    <n v="9"/>
  </r>
  <r>
    <s v="1:Dwelling"/>
    <x v="1"/>
    <x v="13"/>
    <n v="246"/>
    <n v="33"/>
    <n v="187"/>
    <n v="26"/>
  </r>
  <r>
    <s v="1:Dwelling"/>
    <x v="1"/>
    <x v="14"/>
    <n v="811"/>
    <n v="123"/>
    <n v="592"/>
    <n v="96"/>
  </r>
  <r>
    <s v="1:Dwelling"/>
    <x v="1"/>
    <x v="15"/>
    <n v="152"/>
    <n v="24"/>
    <n v="111"/>
    <n v="17"/>
  </r>
  <r>
    <s v="1:Dwelling"/>
    <x v="1"/>
    <x v="16"/>
    <n v="119"/>
    <n v="22"/>
    <n v="86"/>
    <n v="11"/>
  </r>
  <r>
    <s v="1:Dwelling"/>
    <x v="1"/>
    <x v="17"/>
    <n v="75"/>
    <n v="5"/>
    <n v="60"/>
    <n v="10"/>
  </r>
  <r>
    <s v="1:Dwelling"/>
    <x v="1"/>
    <x v="18"/>
    <n v="51"/>
    <n v="4"/>
    <n v="39"/>
    <n v="8"/>
  </r>
  <r>
    <s v="1:Dwelling"/>
    <x v="1"/>
    <x v="19"/>
    <n v="23"/>
    <n v="2"/>
    <n v="18"/>
    <n v="3"/>
  </r>
  <r>
    <s v="1:Dwelling"/>
    <x v="1"/>
    <x v="20"/>
    <n v="156"/>
    <n v="18"/>
    <n v="125"/>
    <n v="13"/>
  </r>
  <r>
    <s v="1:Dwelling"/>
    <x v="1"/>
    <x v="21"/>
    <n v="290"/>
    <n v="56"/>
    <n v="193"/>
    <n v="41"/>
  </r>
  <r>
    <s v="1:Dwelling"/>
    <x v="1"/>
    <x v="22"/>
    <n v="7"/>
    <n v="1"/>
    <n v="5"/>
    <n v="1"/>
  </r>
  <r>
    <s v="1:Dwelling"/>
    <x v="1"/>
    <x v="23"/>
    <n v="137"/>
    <n v="17"/>
    <n v="115"/>
    <n v="5"/>
  </r>
  <r>
    <s v="1:Dwelling"/>
    <x v="1"/>
    <x v="24"/>
    <n v="178"/>
    <n v="39"/>
    <n v="126"/>
    <n v="13"/>
  </r>
  <r>
    <s v="1:Dwelling"/>
    <x v="1"/>
    <x v="25"/>
    <n v="87"/>
    <n v="12"/>
    <n v="65"/>
    <n v="10"/>
  </r>
  <r>
    <s v="1:Dwelling"/>
    <x v="1"/>
    <x v="26"/>
    <n v="7"/>
    <n v="1"/>
    <n v="6"/>
    <m/>
  </r>
  <r>
    <s v="1:Dwelling"/>
    <x v="1"/>
    <x v="27"/>
    <n v="82"/>
    <n v="12"/>
    <n v="60"/>
    <n v="10"/>
  </r>
  <r>
    <s v="1:Dwelling"/>
    <x v="1"/>
    <x v="28"/>
    <n v="222"/>
    <n v="29"/>
    <n v="159"/>
    <n v="34"/>
  </r>
  <r>
    <s v="1:Dwelling"/>
    <x v="1"/>
    <x v="29"/>
    <n v="75"/>
    <n v="12"/>
    <n v="56"/>
    <n v="7"/>
  </r>
  <r>
    <s v="1:Dwelling"/>
    <x v="1"/>
    <x v="30"/>
    <n v="130"/>
    <n v="36"/>
    <n v="82"/>
    <n v="12"/>
  </r>
  <r>
    <s v="1:Dwelling"/>
    <x v="1"/>
    <x v="31"/>
    <n v="124"/>
    <n v="6"/>
    <n v="97"/>
    <n v="21"/>
  </r>
  <r>
    <s v="1:Dwelling"/>
    <x v="2"/>
    <x v="0"/>
    <n v="240"/>
    <n v="41"/>
    <n v="166"/>
    <n v="33"/>
  </r>
  <r>
    <s v="1:Dwelling"/>
    <x v="2"/>
    <x v="1"/>
    <n v="163"/>
    <n v="15"/>
    <n v="139"/>
    <n v="9"/>
  </r>
  <r>
    <s v="1:Dwelling"/>
    <x v="2"/>
    <x v="2"/>
    <n v="78"/>
    <n v="14"/>
    <n v="51"/>
    <n v="13"/>
  </r>
  <r>
    <s v="1:Dwelling"/>
    <x v="2"/>
    <x v="3"/>
    <n v="76"/>
    <n v="4"/>
    <n v="67"/>
    <n v="5"/>
  </r>
  <r>
    <s v="1:Dwelling"/>
    <x v="2"/>
    <x v="4"/>
    <n v="47"/>
    <n v="17"/>
    <n v="22"/>
    <n v="8"/>
  </r>
  <r>
    <s v="1:Dwelling"/>
    <x v="2"/>
    <x v="5"/>
    <n v="91"/>
    <n v="8"/>
    <n v="81"/>
    <n v="2"/>
  </r>
  <r>
    <s v="1:Dwelling"/>
    <x v="2"/>
    <x v="6"/>
    <n v="196"/>
    <n v="41"/>
    <n v="121"/>
    <n v="34"/>
  </r>
  <r>
    <s v="1:Dwelling"/>
    <x v="2"/>
    <x v="7"/>
    <n v="76"/>
    <n v="12"/>
    <n v="56"/>
    <n v="8"/>
  </r>
  <r>
    <s v="1:Dwelling"/>
    <x v="2"/>
    <x v="8"/>
    <n v="65"/>
    <n v="3"/>
    <n v="58"/>
    <n v="4"/>
  </r>
  <r>
    <s v="1:Dwelling"/>
    <x v="2"/>
    <x v="9"/>
    <n v="69"/>
    <n v="4"/>
    <n v="58"/>
    <n v="7"/>
  </r>
  <r>
    <s v="1:Dwelling"/>
    <x v="2"/>
    <x v="10"/>
    <n v="79"/>
    <n v="7"/>
    <n v="65"/>
    <n v="7"/>
  </r>
  <r>
    <s v="1:Dwelling"/>
    <x v="2"/>
    <x v="11"/>
    <n v="460"/>
    <n v="65"/>
    <n v="307"/>
    <n v="88"/>
  </r>
  <r>
    <s v="1:Dwelling"/>
    <x v="2"/>
    <x v="12"/>
    <n v="106"/>
    <n v="13"/>
    <n v="75"/>
    <n v="18"/>
  </r>
  <r>
    <s v="1:Dwelling"/>
    <x v="2"/>
    <x v="13"/>
    <n v="286"/>
    <n v="41"/>
    <n v="205"/>
    <n v="40"/>
  </r>
  <r>
    <s v="1:Dwelling"/>
    <x v="2"/>
    <x v="14"/>
    <n v="847"/>
    <n v="149"/>
    <n v="573"/>
    <n v="125"/>
  </r>
  <r>
    <s v="1:Dwelling"/>
    <x v="2"/>
    <x v="15"/>
    <n v="146"/>
    <n v="12"/>
    <n v="116"/>
    <n v="18"/>
  </r>
  <r>
    <s v="1:Dwelling"/>
    <x v="2"/>
    <x v="16"/>
    <n v="84"/>
    <n v="12"/>
    <n v="64"/>
    <n v="8"/>
  </r>
  <r>
    <s v="1:Dwelling"/>
    <x v="2"/>
    <x v="17"/>
    <n v="60"/>
    <n v="4"/>
    <n v="50"/>
    <n v="6"/>
  </r>
  <r>
    <s v="1:Dwelling"/>
    <x v="2"/>
    <x v="18"/>
    <n v="35"/>
    <n v="6"/>
    <n v="27"/>
    <n v="2"/>
  </r>
  <r>
    <s v="1:Dwelling"/>
    <x v="2"/>
    <x v="19"/>
    <n v="16"/>
    <n v="1"/>
    <n v="15"/>
    <m/>
  </r>
  <r>
    <s v="1:Dwelling"/>
    <x v="2"/>
    <x v="20"/>
    <n v="147"/>
    <n v="25"/>
    <n v="105"/>
    <n v="17"/>
  </r>
  <r>
    <s v="1:Dwelling"/>
    <x v="2"/>
    <x v="21"/>
    <n v="262"/>
    <n v="50"/>
    <n v="167"/>
    <n v="45"/>
  </r>
  <r>
    <s v="1:Dwelling"/>
    <x v="2"/>
    <x v="22"/>
    <n v="7"/>
    <n v="1"/>
    <n v="5"/>
    <n v="1"/>
  </r>
  <r>
    <s v="1:Dwelling"/>
    <x v="2"/>
    <x v="23"/>
    <n v="113"/>
    <n v="11"/>
    <n v="98"/>
    <n v="4"/>
  </r>
  <r>
    <s v="1:Dwelling"/>
    <x v="2"/>
    <x v="24"/>
    <n v="191"/>
    <n v="37"/>
    <n v="136"/>
    <n v="18"/>
  </r>
  <r>
    <s v="1:Dwelling"/>
    <x v="2"/>
    <x v="25"/>
    <n v="92"/>
    <n v="10"/>
    <n v="78"/>
    <n v="4"/>
  </r>
  <r>
    <s v="1:Dwelling"/>
    <x v="2"/>
    <x v="26"/>
    <n v="12"/>
    <m/>
    <n v="12"/>
    <m/>
  </r>
  <r>
    <s v="1:Dwelling"/>
    <x v="2"/>
    <x v="27"/>
    <n v="95"/>
    <n v="11"/>
    <n v="71"/>
    <n v="13"/>
  </r>
  <r>
    <s v="1:Dwelling"/>
    <x v="2"/>
    <x v="28"/>
    <n v="244"/>
    <n v="43"/>
    <n v="163"/>
    <n v="38"/>
  </r>
  <r>
    <s v="1:Dwelling"/>
    <x v="2"/>
    <x v="29"/>
    <n v="79"/>
    <n v="8"/>
    <n v="65"/>
    <n v="6"/>
  </r>
  <r>
    <s v="1:Dwelling"/>
    <x v="2"/>
    <x v="30"/>
    <n v="141"/>
    <n v="32"/>
    <n v="98"/>
    <n v="11"/>
  </r>
  <r>
    <s v="1:Dwelling"/>
    <x v="2"/>
    <x v="31"/>
    <n v="149"/>
    <n v="16"/>
    <n v="111"/>
    <n v="22"/>
  </r>
</pivotCacheRecords>
</file>

<file path=xl/pivotCache/pivotCacheRecords25.xml><?xml version="1.0" encoding="utf-8"?>
<pivotCacheRecords xmlns="http://schemas.openxmlformats.org/spreadsheetml/2006/main" xmlns:r="http://schemas.openxmlformats.org/officeDocument/2006/relationships" count="192">
  <r>
    <x v="0"/>
    <x v="0"/>
    <x v="0"/>
    <n v="550"/>
    <n v="106"/>
    <n v="133"/>
    <n v="306"/>
    <n v="5"/>
    <m/>
    <m/>
    <m/>
  </r>
  <r>
    <x v="0"/>
    <x v="0"/>
    <x v="1"/>
    <n v="402"/>
    <n v="153"/>
    <n v="177"/>
    <n v="62"/>
    <n v="8"/>
    <n v="2"/>
    <m/>
    <m/>
  </r>
  <r>
    <x v="0"/>
    <x v="0"/>
    <x v="2"/>
    <n v="178"/>
    <n v="54"/>
    <n v="101"/>
    <n v="22"/>
    <n v="1"/>
    <m/>
    <m/>
    <m/>
  </r>
  <r>
    <x v="0"/>
    <x v="0"/>
    <x v="3"/>
    <n v="137"/>
    <n v="47"/>
    <n v="74"/>
    <n v="16"/>
    <m/>
    <m/>
    <m/>
    <m/>
  </r>
  <r>
    <x v="0"/>
    <x v="0"/>
    <x v="4"/>
    <n v="108"/>
    <n v="44"/>
    <n v="42"/>
    <n v="15"/>
    <m/>
    <m/>
    <m/>
    <n v="7"/>
  </r>
  <r>
    <x v="0"/>
    <x v="0"/>
    <x v="5"/>
    <n v="224"/>
    <n v="73"/>
    <n v="126"/>
    <n v="21"/>
    <n v="2"/>
    <n v="1"/>
    <n v="1"/>
    <m/>
  </r>
  <r>
    <x v="0"/>
    <x v="0"/>
    <x v="6"/>
    <n v="370"/>
    <n v="58"/>
    <n v="231"/>
    <n v="81"/>
    <m/>
    <m/>
    <m/>
    <m/>
  </r>
  <r>
    <x v="0"/>
    <x v="0"/>
    <x v="7"/>
    <n v="219"/>
    <n v="88"/>
    <n v="105"/>
    <n v="21"/>
    <n v="1"/>
    <n v="3"/>
    <n v="1"/>
    <m/>
  </r>
  <r>
    <x v="0"/>
    <x v="0"/>
    <x v="8"/>
    <n v="146"/>
    <n v="63"/>
    <n v="68"/>
    <n v="14"/>
    <n v="1"/>
    <m/>
    <m/>
    <m/>
  </r>
  <r>
    <x v="0"/>
    <x v="0"/>
    <x v="9"/>
    <n v="196"/>
    <n v="60"/>
    <n v="85"/>
    <n v="21"/>
    <n v="3"/>
    <n v="1"/>
    <m/>
    <n v="26"/>
  </r>
  <r>
    <x v="0"/>
    <x v="0"/>
    <x v="10"/>
    <n v="130"/>
    <n v="48"/>
    <n v="68"/>
    <n v="12"/>
    <n v="2"/>
    <m/>
    <m/>
    <m/>
  </r>
  <r>
    <x v="0"/>
    <x v="0"/>
    <x v="11"/>
    <n v="1218"/>
    <n v="363"/>
    <n v="370"/>
    <n v="447"/>
    <n v="8"/>
    <n v="3"/>
    <m/>
    <n v="27"/>
  </r>
  <r>
    <x v="0"/>
    <x v="0"/>
    <x v="12"/>
    <n v="296"/>
    <n v="115"/>
    <n v="120"/>
    <n v="35"/>
    <n v="2"/>
    <n v="2"/>
    <m/>
    <n v="22"/>
  </r>
  <r>
    <x v="0"/>
    <x v="0"/>
    <x v="13"/>
    <n v="558"/>
    <n v="171"/>
    <n v="303"/>
    <n v="79"/>
    <n v="4"/>
    <n v="1"/>
    <m/>
    <m/>
  </r>
  <r>
    <x v="0"/>
    <x v="0"/>
    <x v="14"/>
    <n v="1734"/>
    <n v="367"/>
    <n v="739"/>
    <n v="602"/>
    <n v="19"/>
    <n v="1"/>
    <n v="5"/>
    <n v="1"/>
  </r>
  <r>
    <x v="0"/>
    <x v="0"/>
    <x v="15"/>
    <n v="371"/>
    <n v="158"/>
    <n v="166"/>
    <n v="42"/>
    <n v="4"/>
    <m/>
    <n v="1"/>
    <m/>
  </r>
  <r>
    <x v="0"/>
    <x v="0"/>
    <x v="16"/>
    <n v="213"/>
    <n v="65"/>
    <n v="95"/>
    <n v="46"/>
    <n v="5"/>
    <m/>
    <n v="1"/>
    <n v="1"/>
  </r>
  <r>
    <x v="0"/>
    <x v="0"/>
    <x v="17"/>
    <n v="168"/>
    <n v="80"/>
    <n v="50"/>
    <n v="14"/>
    <n v="3"/>
    <n v="1"/>
    <n v="1"/>
    <n v="19"/>
  </r>
  <r>
    <x v="0"/>
    <x v="0"/>
    <x v="18"/>
    <n v="125"/>
    <n v="44"/>
    <n v="65"/>
    <n v="11"/>
    <n v="4"/>
    <m/>
    <n v="1"/>
    <m/>
  </r>
  <r>
    <x v="0"/>
    <x v="0"/>
    <x v="19"/>
    <n v="41"/>
    <n v="20"/>
    <n v="17"/>
    <n v="4"/>
    <m/>
    <m/>
    <m/>
    <m/>
  </r>
  <r>
    <x v="0"/>
    <x v="0"/>
    <x v="20"/>
    <n v="283"/>
    <n v="113"/>
    <n v="135"/>
    <n v="32"/>
    <n v="2"/>
    <m/>
    <m/>
    <n v="1"/>
  </r>
  <r>
    <x v="0"/>
    <x v="0"/>
    <x v="21"/>
    <n v="651"/>
    <n v="202"/>
    <n v="353"/>
    <n v="81"/>
    <n v="8"/>
    <n v="2"/>
    <n v="2"/>
    <n v="3"/>
  </r>
  <r>
    <x v="0"/>
    <x v="0"/>
    <x v="22"/>
    <n v="37"/>
    <n v="18"/>
    <n v="16"/>
    <n v="3"/>
    <m/>
    <m/>
    <m/>
    <m/>
  </r>
  <r>
    <x v="0"/>
    <x v="0"/>
    <x v="23"/>
    <n v="267"/>
    <n v="79"/>
    <n v="152"/>
    <n v="33"/>
    <n v="3"/>
    <m/>
    <m/>
    <m/>
  </r>
  <r>
    <x v="0"/>
    <x v="0"/>
    <x v="24"/>
    <n v="404"/>
    <n v="89"/>
    <n v="209"/>
    <n v="101"/>
    <n v="3"/>
    <m/>
    <n v="1"/>
    <n v="1"/>
  </r>
  <r>
    <x v="0"/>
    <x v="0"/>
    <x v="25"/>
    <n v="225"/>
    <n v="92"/>
    <n v="101"/>
    <n v="16"/>
    <n v="5"/>
    <m/>
    <m/>
    <n v="11"/>
  </r>
  <r>
    <x v="0"/>
    <x v="0"/>
    <x v="26"/>
    <n v="37"/>
    <n v="17"/>
    <n v="16"/>
    <n v="4"/>
    <m/>
    <m/>
    <m/>
    <m/>
  </r>
  <r>
    <x v="0"/>
    <x v="0"/>
    <x v="27"/>
    <n v="188"/>
    <n v="51"/>
    <n v="113"/>
    <n v="23"/>
    <n v="1"/>
    <m/>
    <m/>
    <m/>
  </r>
  <r>
    <x v="0"/>
    <x v="0"/>
    <x v="28"/>
    <n v="536"/>
    <n v="176"/>
    <n v="270"/>
    <n v="81"/>
    <n v="6"/>
    <n v="2"/>
    <n v="1"/>
    <m/>
  </r>
  <r>
    <x v="0"/>
    <x v="0"/>
    <x v="29"/>
    <n v="227"/>
    <n v="78"/>
    <n v="94"/>
    <n v="37"/>
    <n v="3"/>
    <n v="1"/>
    <m/>
    <n v="14"/>
  </r>
  <r>
    <x v="0"/>
    <x v="0"/>
    <x v="30"/>
    <n v="270"/>
    <n v="88"/>
    <n v="144"/>
    <n v="37"/>
    <n v="1"/>
    <m/>
    <m/>
    <m/>
  </r>
  <r>
    <x v="0"/>
    <x v="0"/>
    <x v="31"/>
    <n v="399"/>
    <n v="173"/>
    <n v="159"/>
    <n v="35"/>
    <n v="7"/>
    <n v="1"/>
    <n v="2"/>
    <n v="22"/>
  </r>
  <r>
    <x v="0"/>
    <x v="1"/>
    <x v="0"/>
    <n v="563"/>
    <n v="114"/>
    <n v="225"/>
    <n v="218"/>
    <n v="5"/>
    <m/>
    <n v="1"/>
    <m/>
  </r>
  <r>
    <x v="0"/>
    <x v="1"/>
    <x v="1"/>
    <n v="392"/>
    <n v="124"/>
    <n v="199"/>
    <n v="57"/>
    <n v="9"/>
    <m/>
    <n v="3"/>
    <m/>
  </r>
  <r>
    <x v="0"/>
    <x v="1"/>
    <x v="2"/>
    <n v="182"/>
    <n v="64"/>
    <n v="103"/>
    <n v="14"/>
    <n v="1"/>
    <m/>
    <m/>
    <m/>
  </r>
  <r>
    <x v="0"/>
    <x v="1"/>
    <x v="3"/>
    <n v="149"/>
    <n v="65"/>
    <n v="68"/>
    <n v="12"/>
    <n v="3"/>
    <n v="1"/>
    <m/>
    <m/>
  </r>
  <r>
    <x v="0"/>
    <x v="1"/>
    <x v="4"/>
    <n v="107"/>
    <n v="36"/>
    <n v="54"/>
    <n v="15"/>
    <n v="2"/>
    <m/>
    <m/>
    <m/>
  </r>
  <r>
    <x v="0"/>
    <x v="1"/>
    <x v="5"/>
    <n v="243"/>
    <n v="73"/>
    <n v="132"/>
    <n v="32"/>
    <n v="4"/>
    <m/>
    <n v="2"/>
    <m/>
  </r>
  <r>
    <x v="0"/>
    <x v="1"/>
    <x v="6"/>
    <n v="374"/>
    <n v="75"/>
    <n v="228"/>
    <n v="69"/>
    <n v="2"/>
    <m/>
    <m/>
    <m/>
  </r>
  <r>
    <x v="0"/>
    <x v="1"/>
    <x v="7"/>
    <n v="255"/>
    <n v="93"/>
    <n v="144"/>
    <n v="15"/>
    <n v="2"/>
    <m/>
    <n v="1"/>
    <m/>
  </r>
  <r>
    <x v="0"/>
    <x v="1"/>
    <x v="8"/>
    <n v="165"/>
    <n v="72"/>
    <n v="73"/>
    <n v="16"/>
    <n v="2"/>
    <n v="2"/>
    <m/>
    <m/>
  </r>
  <r>
    <x v="0"/>
    <x v="1"/>
    <x v="9"/>
    <n v="153"/>
    <n v="60"/>
    <n v="71"/>
    <n v="16"/>
    <n v="5"/>
    <m/>
    <n v="1"/>
    <m/>
  </r>
  <r>
    <x v="0"/>
    <x v="1"/>
    <x v="10"/>
    <n v="106"/>
    <n v="43"/>
    <n v="55"/>
    <n v="7"/>
    <n v="1"/>
    <m/>
    <m/>
    <m/>
  </r>
  <r>
    <x v="0"/>
    <x v="1"/>
    <x v="11"/>
    <n v="1159"/>
    <n v="329"/>
    <n v="389"/>
    <n v="426"/>
    <n v="13"/>
    <n v="1"/>
    <n v="1"/>
    <m/>
  </r>
  <r>
    <x v="0"/>
    <x v="1"/>
    <x v="12"/>
    <n v="277"/>
    <n v="104"/>
    <n v="132"/>
    <n v="37"/>
    <n v="4"/>
    <m/>
    <m/>
    <m/>
  </r>
  <r>
    <x v="0"/>
    <x v="1"/>
    <x v="13"/>
    <n v="619"/>
    <n v="203"/>
    <n v="326"/>
    <n v="79"/>
    <n v="11"/>
    <m/>
    <m/>
    <m/>
  </r>
  <r>
    <x v="0"/>
    <x v="1"/>
    <x v="14"/>
    <n v="1701"/>
    <n v="449"/>
    <n v="582"/>
    <n v="644"/>
    <n v="20"/>
    <n v="2"/>
    <n v="3"/>
    <n v="1"/>
  </r>
  <r>
    <x v="0"/>
    <x v="1"/>
    <x v="15"/>
    <n v="371"/>
    <n v="155"/>
    <n v="173"/>
    <n v="37"/>
    <n v="5"/>
    <n v="1"/>
    <m/>
    <m/>
  </r>
  <r>
    <x v="0"/>
    <x v="1"/>
    <x v="16"/>
    <n v="214"/>
    <n v="69"/>
    <n v="86"/>
    <n v="55"/>
    <n v="3"/>
    <m/>
    <n v="1"/>
    <m/>
  </r>
  <r>
    <x v="0"/>
    <x v="1"/>
    <x v="17"/>
    <n v="201"/>
    <n v="114"/>
    <n v="76"/>
    <n v="9"/>
    <n v="2"/>
    <m/>
    <m/>
    <m/>
  </r>
  <r>
    <x v="0"/>
    <x v="1"/>
    <x v="18"/>
    <n v="127"/>
    <n v="51"/>
    <n v="61"/>
    <n v="12"/>
    <n v="2"/>
    <n v="1"/>
    <m/>
    <m/>
  </r>
  <r>
    <x v="0"/>
    <x v="1"/>
    <x v="19"/>
    <n v="36"/>
    <n v="11"/>
    <n v="21"/>
    <n v="4"/>
    <m/>
    <m/>
    <m/>
    <m/>
  </r>
  <r>
    <x v="0"/>
    <x v="1"/>
    <x v="20"/>
    <n v="268"/>
    <n v="127"/>
    <n v="121"/>
    <n v="19"/>
    <n v="1"/>
    <m/>
    <m/>
    <m/>
  </r>
  <r>
    <x v="0"/>
    <x v="1"/>
    <x v="21"/>
    <n v="685"/>
    <n v="239"/>
    <n v="339"/>
    <n v="98"/>
    <n v="6"/>
    <n v="2"/>
    <n v="1"/>
    <m/>
  </r>
  <r>
    <x v="0"/>
    <x v="1"/>
    <x v="22"/>
    <n v="23"/>
    <n v="12"/>
    <n v="8"/>
    <n v="3"/>
    <m/>
    <m/>
    <m/>
    <m/>
  </r>
  <r>
    <x v="0"/>
    <x v="1"/>
    <x v="23"/>
    <n v="286"/>
    <n v="81"/>
    <n v="164"/>
    <n v="37"/>
    <n v="3"/>
    <n v="1"/>
    <m/>
    <m/>
  </r>
  <r>
    <x v="0"/>
    <x v="1"/>
    <x v="24"/>
    <n v="384"/>
    <n v="128"/>
    <n v="181"/>
    <n v="71"/>
    <n v="1"/>
    <n v="3"/>
    <m/>
    <m/>
  </r>
  <r>
    <x v="0"/>
    <x v="1"/>
    <x v="25"/>
    <n v="192"/>
    <n v="82"/>
    <n v="79"/>
    <n v="27"/>
    <n v="3"/>
    <m/>
    <n v="1"/>
    <m/>
  </r>
  <r>
    <x v="0"/>
    <x v="1"/>
    <x v="26"/>
    <n v="25"/>
    <n v="10"/>
    <n v="13"/>
    <n v="2"/>
    <m/>
    <m/>
    <m/>
    <m/>
  </r>
  <r>
    <x v="0"/>
    <x v="1"/>
    <x v="27"/>
    <n v="188"/>
    <n v="54"/>
    <n v="101"/>
    <n v="31"/>
    <n v="2"/>
    <m/>
    <m/>
    <m/>
  </r>
  <r>
    <x v="0"/>
    <x v="1"/>
    <x v="28"/>
    <n v="554"/>
    <n v="216"/>
    <n v="254"/>
    <n v="75"/>
    <n v="6"/>
    <n v="1"/>
    <n v="2"/>
    <m/>
  </r>
  <r>
    <x v="0"/>
    <x v="1"/>
    <x v="29"/>
    <n v="199"/>
    <n v="67"/>
    <n v="85"/>
    <n v="46"/>
    <n v="1"/>
    <m/>
    <m/>
    <m/>
  </r>
  <r>
    <x v="0"/>
    <x v="1"/>
    <x v="30"/>
    <n v="260"/>
    <n v="97"/>
    <n v="123"/>
    <n v="38"/>
    <n v="1"/>
    <n v="1"/>
    <m/>
    <m/>
  </r>
  <r>
    <x v="0"/>
    <x v="1"/>
    <x v="31"/>
    <n v="346"/>
    <n v="152"/>
    <n v="153"/>
    <n v="36"/>
    <n v="5"/>
    <m/>
    <m/>
    <m/>
  </r>
  <r>
    <x v="0"/>
    <x v="2"/>
    <x v="0"/>
    <n v="451"/>
    <n v="99"/>
    <n v="243"/>
    <n v="103"/>
    <n v="5"/>
    <n v="1"/>
    <m/>
    <m/>
  </r>
  <r>
    <x v="0"/>
    <x v="2"/>
    <x v="1"/>
    <n v="390"/>
    <n v="114"/>
    <n v="220"/>
    <n v="45"/>
    <n v="11"/>
    <m/>
    <m/>
    <m/>
  </r>
  <r>
    <x v="0"/>
    <x v="2"/>
    <x v="2"/>
    <n v="161"/>
    <n v="50"/>
    <n v="89"/>
    <n v="20"/>
    <n v="1"/>
    <n v="1"/>
    <m/>
    <m/>
  </r>
  <r>
    <x v="0"/>
    <x v="2"/>
    <x v="3"/>
    <n v="183"/>
    <n v="66"/>
    <n v="98"/>
    <n v="17"/>
    <n v="2"/>
    <m/>
    <m/>
    <m/>
  </r>
  <r>
    <x v="0"/>
    <x v="2"/>
    <x v="4"/>
    <n v="93"/>
    <n v="34"/>
    <n v="36"/>
    <n v="21"/>
    <n v="2"/>
    <m/>
    <m/>
    <m/>
  </r>
  <r>
    <x v="0"/>
    <x v="2"/>
    <x v="5"/>
    <n v="224"/>
    <n v="73"/>
    <n v="118"/>
    <n v="28"/>
    <n v="4"/>
    <m/>
    <m/>
    <n v="1"/>
  </r>
  <r>
    <x v="0"/>
    <x v="2"/>
    <x v="6"/>
    <n v="338"/>
    <n v="75"/>
    <n v="203"/>
    <n v="58"/>
    <n v="1"/>
    <m/>
    <n v="1"/>
    <m/>
  </r>
  <r>
    <x v="0"/>
    <x v="2"/>
    <x v="7"/>
    <n v="180"/>
    <n v="79"/>
    <n v="82"/>
    <n v="14"/>
    <n v="4"/>
    <n v="1"/>
    <m/>
    <m/>
  </r>
  <r>
    <x v="0"/>
    <x v="2"/>
    <x v="8"/>
    <n v="158"/>
    <n v="75"/>
    <n v="63"/>
    <n v="17"/>
    <n v="3"/>
    <m/>
    <m/>
    <m/>
  </r>
  <r>
    <x v="0"/>
    <x v="2"/>
    <x v="9"/>
    <n v="188"/>
    <n v="77"/>
    <n v="87"/>
    <n v="22"/>
    <n v="2"/>
    <m/>
    <m/>
    <m/>
  </r>
  <r>
    <x v="0"/>
    <x v="2"/>
    <x v="10"/>
    <n v="130"/>
    <n v="62"/>
    <n v="54"/>
    <n v="10"/>
    <n v="2"/>
    <n v="1"/>
    <n v="1"/>
    <m/>
  </r>
  <r>
    <x v="0"/>
    <x v="2"/>
    <x v="11"/>
    <n v="1028"/>
    <n v="294"/>
    <n v="340"/>
    <n v="383"/>
    <n v="7"/>
    <n v="3"/>
    <n v="1"/>
    <m/>
  </r>
  <r>
    <x v="0"/>
    <x v="2"/>
    <x v="12"/>
    <n v="339"/>
    <n v="127"/>
    <n v="147"/>
    <n v="59"/>
    <n v="3"/>
    <n v="1"/>
    <n v="2"/>
    <m/>
  </r>
  <r>
    <x v="0"/>
    <x v="2"/>
    <x v="13"/>
    <n v="644"/>
    <n v="205"/>
    <n v="344"/>
    <n v="84"/>
    <n v="9"/>
    <n v="1"/>
    <n v="1"/>
    <m/>
  </r>
  <r>
    <x v="0"/>
    <x v="2"/>
    <x v="14"/>
    <n v="1708"/>
    <n v="438"/>
    <n v="562"/>
    <n v="685"/>
    <n v="18"/>
    <n v="2"/>
    <n v="3"/>
    <m/>
  </r>
  <r>
    <x v="0"/>
    <x v="2"/>
    <x v="15"/>
    <n v="355"/>
    <n v="121"/>
    <n v="167"/>
    <n v="54"/>
    <n v="6"/>
    <n v="5"/>
    <n v="2"/>
    <m/>
  </r>
  <r>
    <x v="0"/>
    <x v="2"/>
    <x v="16"/>
    <n v="189"/>
    <n v="68"/>
    <n v="68"/>
    <n v="50"/>
    <n v="2"/>
    <n v="1"/>
    <m/>
    <m/>
  </r>
  <r>
    <x v="0"/>
    <x v="2"/>
    <x v="17"/>
    <n v="209"/>
    <n v="141"/>
    <n v="52"/>
    <n v="13"/>
    <n v="3"/>
    <m/>
    <m/>
    <m/>
  </r>
  <r>
    <x v="0"/>
    <x v="2"/>
    <x v="18"/>
    <n v="111"/>
    <n v="40"/>
    <n v="53"/>
    <n v="15"/>
    <n v="3"/>
    <m/>
    <m/>
    <m/>
  </r>
  <r>
    <x v="0"/>
    <x v="2"/>
    <x v="19"/>
    <n v="39"/>
    <n v="13"/>
    <n v="21"/>
    <n v="3"/>
    <n v="1"/>
    <m/>
    <n v="1"/>
    <m/>
  </r>
  <r>
    <x v="0"/>
    <x v="2"/>
    <x v="20"/>
    <n v="270"/>
    <n v="107"/>
    <n v="125"/>
    <n v="35"/>
    <n v="3"/>
    <m/>
    <m/>
    <m/>
  </r>
  <r>
    <x v="0"/>
    <x v="2"/>
    <x v="21"/>
    <n v="654"/>
    <n v="244"/>
    <n v="314"/>
    <n v="90"/>
    <n v="4"/>
    <n v="2"/>
    <m/>
    <m/>
  </r>
  <r>
    <x v="0"/>
    <x v="2"/>
    <x v="22"/>
    <n v="15"/>
    <n v="8"/>
    <n v="6"/>
    <n v="1"/>
    <m/>
    <m/>
    <m/>
    <m/>
  </r>
  <r>
    <x v="0"/>
    <x v="2"/>
    <x v="23"/>
    <n v="230"/>
    <n v="66"/>
    <n v="123"/>
    <n v="36"/>
    <m/>
    <n v="4"/>
    <n v="1"/>
    <m/>
  </r>
  <r>
    <x v="0"/>
    <x v="2"/>
    <x v="24"/>
    <n v="393"/>
    <n v="138"/>
    <n v="158"/>
    <n v="91"/>
    <n v="5"/>
    <m/>
    <n v="1"/>
    <m/>
  </r>
  <r>
    <x v="0"/>
    <x v="2"/>
    <x v="25"/>
    <n v="203"/>
    <n v="107"/>
    <n v="77"/>
    <n v="14"/>
    <n v="4"/>
    <m/>
    <n v="1"/>
    <m/>
  </r>
  <r>
    <x v="0"/>
    <x v="2"/>
    <x v="26"/>
    <n v="32"/>
    <n v="12"/>
    <n v="14"/>
    <n v="5"/>
    <n v="1"/>
    <m/>
    <m/>
    <m/>
  </r>
  <r>
    <x v="0"/>
    <x v="2"/>
    <x v="27"/>
    <n v="204"/>
    <n v="66"/>
    <n v="103"/>
    <n v="31"/>
    <n v="2"/>
    <n v="1"/>
    <n v="1"/>
    <m/>
  </r>
  <r>
    <x v="0"/>
    <x v="2"/>
    <x v="28"/>
    <n v="583"/>
    <n v="216"/>
    <n v="266"/>
    <n v="91"/>
    <n v="9"/>
    <n v="1"/>
    <m/>
    <m/>
  </r>
  <r>
    <x v="0"/>
    <x v="2"/>
    <x v="29"/>
    <n v="173"/>
    <n v="58"/>
    <n v="76"/>
    <n v="36"/>
    <n v="2"/>
    <n v="1"/>
    <m/>
    <m/>
  </r>
  <r>
    <x v="0"/>
    <x v="2"/>
    <x v="30"/>
    <n v="269"/>
    <n v="102"/>
    <n v="125"/>
    <n v="37"/>
    <n v="2"/>
    <n v="1"/>
    <n v="2"/>
    <m/>
  </r>
  <r>
    <x v="0"/>
    <x v="2"/>
    <x v="31"/>
    <n v="419"/>
    <n v="197"/>
    <n v="173"/>
    <n v="45"/>
    <n v="3"/>
    <m/>
    <n v="1"/>
    <m/>
  </r>
  <r>
    <x v="1"/>
    <x v="0"/>
    <x v="0"/>
    <n v="441"/>
    <n v="401"/>
    <n v="26"/>
    <n v="14"/>
    <m/>
    <m/>
    <m/>
    <m/>
  </r>
  <r>
    <x v="1"/>
    <x v="0"/>
    <x v="1"/>
    <n v="182"/>
    <n v="160"/>
    <n v="17"/>
    <n v="5"/>
    <m/>
    <m/>
    <m/>
    <m/>
  </r>
  <r>
    <x v="1"/>
    <x v="0"/>
    <x v="2"/>
    <n v="147"/>
    <n v="136"/>
    <n v="10"/>
    <n v="1"/>
    <m/>
    <m/>
    <m/>
    <m/>
  </r>
  <r>
    <x v="1"/>
    <x v="0"/>
    <x v="3"/>
    <n v="68"/>
    <n v="49"/>
    <n v="16"/>
    <n v="2"/>
    <m/>
    <m/>
    <m/>
    <n v="1"/>
  </r>
  <r>
    <x v="1"/>
    <x v="0"/>
    <x v="4"/>
    <n v="102"/>
    <n v="86"/>
    <n v="8"/>
    <n v="2"/>
    <m/>
    <m/>
    <m/>
    <n v="6"/>
  </r>
  <r>
    <x v="1"/>
    <x v="0"/>
    <x v="5"/>
    <n v="153"/>
    <n v="112"/>
    <n v="38"/>
    <n v="2"/>
    <m/>
    <m/>
    <m/>
    <n v="1"/>
  </r>
  <r>
    <x v="1"/>
    <x v="0"/>
    <x v="6"/>
    <n v="671"/>
    <n v="619"/>
    <n v="42"/>
    <n v="6"/>
    <n v="2"/>
    <m/>
    <m/>
    <n v="2"/>
  </r>
  <r>
    <x v="1"/>
    <x v="0"/>
    <x v="7"/>
    <n v="615"/>
    <n v="523"/>
    <n v="89"/>
    <n v="3"/>
    <m/>
    <m/>
    <m/>
    <m/>
  </r>
  <r>
    <x v="1"/>
    <x v="0"/>
    <x v="8"/>
    <n v="171"/>
    <n v="145"/>
    <n v="23"/>
    <n v="3"/>
    <m/>
    <m/>
    <m/>
    <m/>
  </r>
  <r>
    <x v="1"/>
    <x v="0"/>
    <x v="9"/>
    <n v="195"/>
    <n v="170"/>
    <n v="16"/>
    <n v="2"/>
    <m/>
    <m/>
    <m/>
    <n v="7"/>
  </r>
  <r>
    <x v="1"/>
    <x v="0"/>
    <x v="10"/>
    <n v="147"/>
    <n v="126"/>
    <n v="15"/>
    <n v="6"/>
    <m/>
    <m/>
    <m/>
    <m/>
  </r>
  <r>
    <x v="1"/>
    <x v="0"/>
    <x v="11"/>
    <n v="1889"/>
    <n v="1747"/>
    <n v="77"/>
    <n v="20"/>
    <m/>
    <m/>
    <m/>
    <n v="45"/>
  </r>
  <r>
    <x v="1"/>
    <x v="0"/>
    <x v="12"/>
    <n v="341"/>
    <n v="308"/>
    <n v="17"/>
    <n v="1"/>
    <m/>
    <m/>
    <m/>
    <n v="15"/>
  </r>
  <r>
    <x v="1"/>
    <x v="0"/>
    <x v="13"/>
    <n v="737"/>
    <n v="668"/>
    <n v="59"/>
    <n v="9"/>
    <m/>
    <m/>
    <m/>
    <n v="1"/>
  </r>
  <r>
    <x v="1"/>
    <x v="0"/>
    <x v="14"/>
    <n v="2435"/>
    <n v="1980"/>
    <n v="349"/>
    <n v="102"/>
    <m/>
    <m/>
    <m/>
    <n v="4"/>
  </r>
  <r>
    <x v="1"/>
    <x v="0"/>
    <x v="15"/>
    <n v="339"/>
    <n v="291"/>
    <n v="35"/>
    <n v="13"/>
    <m/>
    <m/>
    <m/>
    <m/>
  </r>
  <r>
    <x v="1"/>
    <x v="0"/>
    <x v="16"/>
    <n v="405"/>
    <n v="355"/>
    <n v="39"/>
    <n v="11"/>
    <m/>
    <m/>
    <m/>
    <m/>
  </r>
  <r>
    <x v="1"/>
    <x v="0"/>
    <x v="17"/>
    <n v="301"/>
    <n v="265"/>
    <n v="15"/>
    <n v="3"/>
    <m/>
    <m/>
    <m/>
    <n v="18"/>
  </r>
  <r>
    <x v="1"/>
    <x v="0"/>
    <x v="18"/>
    <n v="94"/>
    <n v="83"/>
    <n v="7"/>
    <n v="3"/>
    <n v="1"/>
    <m/>
    <m/>
    <m/>
  </r>
  <r>
    <x v="1"/>
    <x v="0"/>
    <x v="19"/>
    <n v="30"/>
    <n v="24"/>
    <n v="3"/>
    <n v="3"/>
    <m/>
    <m/>
    <m/>
    <m/>
  </r>
  <r>
    <x v="1"/>
    <x v="0"/>
    <x v="20"/>
    <n v="507"/>
    <n v="437"/>
    <n v="69"/>
    <n v="1"/>
    <m/>
    <m/>
    <m/>
    <m/>
  </r>
  <r>
    <x v="1"/>
    <x v="0"/>
    <x v="21"/>
    <n v="1540"/>
    <n v="1323"/>
    <n v="188"/>
    <n v="19"/>
    <m/>
    <m/>
    <m/>
    <n v="10"/>
  </r>
  <r>
    <x v="1"/>
    <x v="0"/>
    <x v="22"/>
    <n v="13"/>
    <n v="11"/>
    <n v="2"/>
    <m/>
    <m/>
    <m/>
    <m/>
    <m/>
  </r>
  <r>
    <x v="1"/>
    <x v="0"/>
    <x v="23"/>
    <n v="144"/>
    <n v="127"/>
    <n v="14"/>
    <n v="3"/>
    <m/>
    <m/>
    <m/>
    <m/>
  </r>
  <r>
    <x v="1"/>
    <x v="0"/>
    <x v="24"/>
    <n v="566"/>
    <n v="472"/>
    <n v="83"/>
    <n v="11"/>
    <m/>
    <m/>
    <m/>
    <m/>
  </r>
  <r>
    <x v="1"/>
    <x v="0"/>
    <x v="25"/>
    <n v="92"/>
    <n v="78"/>
    <n v="10"/>
    <m/>
    <m/>
    <m/>
    <m/>
    <n v="4"/>
  </r>
  <r>
    <x v="1"/>
    <x v="0"/>
    <x v="26"/>
    <n v="11"/>
    <n v="7"/>
    <n v="1"/>
    <n v="3"/>
    <m/>
    <m/>
    <m/>
    <m/>
  </r>
  <r>
    <x v="1"/>
    <x v="0"/>
    <x v="27"/>
    <n v="211"/>
    <n v="171"/>
    <n v="37"/>
    <n v="2"/>
    <m/>
    <m/>
    <m/>
    <n v="1"/>
  </r>
  <r>
    <x v="1"/>
    <x v="0"/>
    <x v="28"/>
    <n v="906"/>
    <n v="788"/>
    <n v="110"/>
    <n v="8"/>
    <m/>
    <m/>
    <m/>
    <m/>
  </r>
  <r>
    <x v="1"/>
    <x v="0"/>
    <x v="29"/>
    <n v="209"/>
    <n v="183"/>
    <n v="10"/>
    <n v="3"/>
    <m/>
    <m/>
    <m/>
    <n v="13"/>
  </r>
  <r>
    <x v="1"/>
    <x v="0"/>
    <x v="30"/>
    <n v="312"/>
    <n v="250"/>
    <n v="54"/>
    <n v="8"/>
    <m/>
    <m/>
    <m/>
    <m/>
  </r>
  <r>
    <x v="1"/>
    <x v="0"/>
    <x v="31"/>
    <n v="730"/>
    <n v="649"/>
    <n v="43"/>
    <n v="7"/>
    <m/>
    <m/>
    <m/>
    <n v="31"/>
  </r>
  <r>
    <x v="1"/>
    <x v="1"/>
    <x v="0"/>
    <n v="314"/>
    <n v="295"/>
    <n v="16"/>
    <n v="3"/>
    <m/>
    <m/>
    <m/>
    <m/>
  </r>
  <r>
    <x v="1"/>
    <x v="1"/>
    <x v="1"/>
    <n v="264"/>
    <n v="232"/>
    <n v="23"/>
    <n v="9"/>
    <m/>
    <m/>
    <m/>
    <m/>
  </r>
  <r>
    <x v="1"/>
    <x v="1"/>
    <x v="2"/>
    <n v="126"/>
    <n v="110"/>
    <n v="12"/>
    <n v="4"/>
    <m/>
    <m/>
    <m/>
    <m/>
  </r>
  <r>
    <x v="1"/>
    <x v="1"/>
    <x v="3"/>
    <n v="122"/>
    <n v="95"/>
    <n v="22"/>
    <n v="5"/>
    <m/>
    <m/>
    <m/>
    <m/>
  </r>
  <r>
    <x v="1"/>
    <x v="1"/>
    <x v="4"/>
    <n v="84"/>
    <n v="79"/>
    <n v="5"/>
    <m/>
    <m/>
    <m/>
    <m/>
    <m/>
  </r>
  <r>
    <x v="1"/>
    <x v="1"/>
    <x v="5"/>
    <n v="168"/>
    <n v="133"/>
    <n v="32"/>
    <m/>
    <m/>
    <m/>
    <m/>
    <n v="3"/>
  </r>
  <r>
    <x v="1"/>
    <x v="1"/>
    <x v="6"/>
    <n v="816"/>
    <n v="776"/>
    <n v="35"/>
    <n v="5"/>
    <m/>
    <m/>
    <m/>
    <m/>
  </r>
  <r>
    <x v="1"/>
    <x v="1"/>
    <x v="7"/>
    <n v="640"/>
    <n v="580"/>
    <n v="58"/>
    <n v="2"/>
    <m/>
    <m/>
    <m/>
    <m/>
  </r>
  <r>
    <x v="1"/>
    <x v="1"/>
    <x v="8"/>
    <n v="180"/>
    <n v="151"/>
    <n v="27"/>
    <n v="2"/>
    <m/>
    <m/>
    <m/>
    <m/>
  </r>
  <r>
    <x v="1"/>
    <x v="1"/>
    <x v="9"/>
    <n v="254"/>
    <n v="233"/>
    <n v="19"/>
    <n v="2"/>
    <m/>
    <m/>
    <m/>
    <m/>
  </r>
  <r>
    <x v="1"/>
    <x v="1"/>
    <x v="10"/>
    <n v="152"/>
    <n v="124"/>
    <n v="21"/>
    <n v="5"/>
    <n v="2"/>
    <m/>
    <m/>
    <m/>
  </r>
  <r>
    <x v="1"/>
    <x v="1"/>
    <x v="11"/>
    <n v="1873"/>
    <n v="1773"/>
    <n v="77"/>
    <n v="19"/>
    <m/>
    <m/>
    <m/>
    <n v="4"/>
  </r>
  <r>
    <x v="1"/>
    <x v="1"/>
    <x v="12"/>
    <n v="411"/>
    <n v="384"/>
    <n v="25"/>
    <n v="2"/>
    <m/>
    <m/>
    <m/>
    <m/>
  </r>
  <r>
    <x v="1"/>
    <x v="1"/>
    <x v="13"/>
    <n v="735"/>
    <n v="649"/>
    <n v="73"/>
    <n v="13"/>
    <m/>
    <m/>
    <m/>
    <m/>
  </r>
  <r>
    <x v="1"/>
    <x v="1"/>
    <x v="14"/>
    <n v="2557"/>
    <n v="2212"/>
    <n v="232"/>
    <n v="112"/>
    <m/>
    <m/>
    <m/>
    <n v="1"/>
  </r>
  <r>
    <x v="1"/>
    <x v="1"/>
    <x v="15"/>
    <n v="358"/>
    <n v="303"/>
    <n v="43"/>
    <n v="12"/>
    <m/>
    <m/>
    <m/>
    <m/>
  </r>
  <r>
    <x v="1"/>
    <x v="1"/>
    <x v="16"/>
    <n v="569"/>
    <n v="501"/>
    <n v="51"/>
    <n v="16"/>
    <m/>
    <m/>
    <m/>
    <n v="1"/>
  </r>
  <r>
    <x v="1"/>
    <x v="1"/>
    <x v="17"/>
    <n v="371"/>
    <n v="355"/>
    <n v="13"/>
    <n v="3"/>
    <m/>
    <m/>
    <m/>
    <m/>
  </r>
  <r>
    <x v="1"/>
    <x v="1"/>
    <x v="18"/>
    <n v="127"/>
    <n v="111"/>
    <n v="10"/>
    <n v="6"/>
    <m/>
    <m/>
    <m/>
    <m/>
  </r>
  <r>
    <x v="1"/>
    <x v="1"/>
    <x v="19"/>
    <n v="52"/>
    <n v="40"/>
    <n v="10"/>
    <n v="2"/>
    <m/>
    <m/>
    <m/>
    <m/>
  </r>
  <r>
    <x v="1"/>
    <x v="1"/>
    <x v="20"/>
    <n v="621"/>
    <n v="551"/>
    <n v="61"/>
    <n v="9"/>
    <m/>
    <m/>
    <m/>
    <m/>
  </r>
  <r>
    <x v="1"/>
    <x v="1"/>
    <x v="21"/>
    <n v="1484"/>
    <n v="1315"/>
    <n v="152"/>
    <n v="17"/>
    <m/>
    <m/>
    <m/>
    <m/>
  </r>
  <r>
    <x v="1"/>
    <x v="1"/>
    <x v="22"/>
    <n v="10"/>
    <n v="8"/>
    <n v="2"/>
    <m/>
    <m/>
    <m/>
    <m/>
    <m/>
  </r>
  <r>
    <x v="1"/>
    <x v="1"/>
    <x v="23"/>
    <n v="141"/>
    <n v="122"/>
    <n v="16"/>
    <n v="2"/>
    <n v="1"/>
    <m/>
    <m/>
    <m/>
  </r>
  <r>
    <x v="1"/>
    <x v="1"/>
    <x v="24"/>
    <n v="693"/>
    <n v="579"/>
    <n v="91"/>
    <n v="23"/>
    <m/>
    <m/>
    <m/>
    <m/>
  </r>
  <r>
    <x v="1"/>
    <x v="1"/>
    <x v="25"/>
    <n v="102"/>
    <n v="83"/>
    <n v="16"/>
    <n v="2"/>
    <m/>
    <m/>
    <m/>
    <n v="1"/>
  </r>
  <r>
    <x v="1"/>
    <x v="1"/>
    <x v="26"/>
    <n v="5"/>
    <n v="5"/>
    <m/>
    <m/>
    <m/>
    <m/>
    <m/>
    <m/>
  </r>
  <r>
    <x v="1"/>
    <x v="1"/>
    <x v="27"/>
    <n v="231"/>
    <n v="205"/>
    <n v="25"/>
    <n v="1"/>
    <m/>
    <m/>
    <m/>
    <m/>
  </r>
  <r>
    <x v="1"/>
    <x v="1"/>
    <x v="28"/>
    <n v="891"/>
    <n v="779"/>
    <n v="98"/>
    <n v="13"/>
    <m/>
    <m/>
    <m/>
    <n v="1"/>
  </r>
  <r>
    <x v="1"/>
    <x v="1"/>
    <x v="29"/>
    <n v="183"/>
    <n v="167"/>
    <n v="14"/>
    <n v="2"/>
    <m/>
    <m/>
    <m/>
    <m/>
  </r>
  <r>
    <x v="1"/>
    <x v="1"/>
    <x v="30"/>
    <n v="424"/>
    <n v="361"/>
    <n v="44"/>
    <n v="18"/>
    <m/>
    <m/>
    <m/>
    <n v="1"/>
  </r>
  <r>
    <x v="1"/>
    <x v="1"/>
    <x v="31"/>
    <n v="680"/>
    <n v="632"/>
    <n v="44"/>
    <n v="4"/>
    <m/>
    <m/>
    <m/>
    <m/>
  </r>
  <r>
    <x v="1"/>
    <x v="2"/>
    <x v="0"/>
    <n v="340"/>
    <n v="316"/>
    <n v="18"/>
    <n v="6"/>
    <m/>
    <m/>
    <m/>
    <m/>
  </r>
  <r>
    <x v="1"/>
    <x v="2"/>
    <x v="1"/>
    <n v="214"/>
    <n v="183"/>
    <n v="26"/>
    <n v="5"/>
    <m/>
    <m/>
    <m/>
    <m/>
  </r>
  <r>
    <x v="1"/>
    <x v="2"/>
    <x v="2"/>
    <n v="179"/>
    <n v="161"/>
    <n v="11"/>
    <n v="7"/>
    <m/>
    <m/>
    <m/>
    <m/>
  </r>
  <r>
    <x v="1"/>
    <x v="2"/>
    <x v="3"/>
    <n v="81"/>
    <n v="57"/>
    <n v="22"/>
    <n v="2"/>
    <m/>
    <m/>
    <m/>
    <m/>
  </r>
  <r>
    <x v="1"/>
    <x v="2"/>
    <x v="4"/>
    <n v="108"/>
    <n v="94"/>
    <n v="13"/>
    <n v="1"/>
    <m/>
    <m/>
    <m/>
    <m/>
  </r>
  <r>
    <x v="1"/>
    <x v="2"/>
    <x v="5"/>
    <n v="177"/>
    <n v="140"/>
    <n v="29"/>
    <n v="3"/>
    <m/>
    <m/>
    <m/>
    <n v="5"/>
  </r>
  <r>
    <x v="1"/>
    <x v="2"/>
    <x v="6"/>
    <n v="772"/>
    <n v="742"/>
    <n v="24"/>
    <n v="5"/>
    <m/>
    <m/>
    <m/>
    <n v="1"/>
  </r>
  <r>
    <x v="1"/>
    <x v="2"/>
    <x v="7"/>
    <n v="591"/>
    <n v="512"/>
    <n v="76"/>
    <n v="3"/>
    <m/>
    <m/>
    <m/>
    <m/>
  </r>
  <r>
    <x v="1"/>
    <x v="2"/>
    <x v="8"/>
    <n v="175"/>
    <n v="157"/>
    <n v="17"/>
    <n v="1"/>
    <m/>
    <m/>
    <m/>
    <m/>
  </r>
  <r>
    <x v="1"/>
    <x v="2"/>
    <x v="9"/>
    <n v="243"/>
    <n v="224"/>
    <n v="19"/>
    <m/>
    <m/>
    <m/>
    <m/>
    <m/>
  </r>
  <r>
    <x v="1"/>
    <x v="2"/>
    <x v="10"/>
    <n v="165"/>
    <n v="129"/>
    <n v="28"/>
    <n v="8"/>
    <m/>
    <m/>
    <m/>
    <m/>
  </r>
  <r>
    <x v="1"/>
    <x v="2"/>
    <x v="11"/>
    <n v="1784"/>
    <n v="1670"/>
    <n v="85"/>
    <n v="28"/>
    <m/>
    <m/>
    <m/>
    <n v="1"/>
  </r>
  <r>
    <x v="1"/>
    <x v="2"/>
    <x v="12"/>
    <n v="427"/>
    <n v="384"/>
    <n v="37"/>
    <n v="5"/>
    <m/>
    <m/>
    <m/>
    <n v="1"/>
  </r>
  <r>
    <x v="1"/>
    <x v="2"/>
    <x v="13"/>
    <n v="942"/>
    <n v="813"/>
    <n v="118"/>
    <n v="10"/>
    <m/>
    <m/>
    <m/>
    <n v="1"/>
  </r>
  <r>
    <x v="1"/>
    <x v="2"/>
    <x v="14"/>
    <n v="2350"/>
    <n v="2009"/>
    <n v="220"/>
    <n v="120"/>
    <m/>
    <m/>
    <m/>
    <n v="1"/>
  </r>
  <r>
    <x v="1"/>
    <x v="2"/>
    <x v="15"/>
    <n v="468"/>
    <n v="369"/>
    <n v="72"/>
    <n v="27"/>
    <m/>
    <m/>
    <m/>
    <m/>
  </r>
  <r>
    <x v="1"/>
    <x v="2"/>
    <x v="16"/>
    <n v="348"/>
    <n v="306"/>
    <n v="37"/>
    <n v="5"/>
    <m/>
    <m/>
    <m/>
    <m/>
  </r>
  <r>
    <x v="1"/>
    <x v="2"/>
    <x v="17"/>
    <n v="389"/>
    <n v="367"/>
    <n v="21"/>
    <n v="1"/>
    <m/>
    <m/>
    <m/>
    <m/>
  </r>
  <r>
    <x v="1"/>
    <x v="2"/>
    <x v="18"/>
    <n v="82"/>
    <n v="66"/>
    <n v="12"/>
    <n v="4"/>
    <m/>
    <m/>
    <m/>
    <m/>
  </r>
  <r>
    <x v="1"/>
    <x v="2"/>
    <x v="19"/>
    <n v="65"/>
    <n v="50"/>
    <n v="11"/>
    <n v="4"/>
    <m/>
    <m/>
    <m/>
    <m/>
  </r>
  <r>
    <x v="1"/>
    <x v="2"/>
    <x v="20"/>
    <n v="569"/>
    <n v="500"/>
    <n v="56"/>
    <n v="13"/>
    <m/>
    <m/>
    <m/>
    <m/>
  </r>
  <r>
    <x v="1"/>
    <x v="2"/>
    <x v="21"/>
    <n v="1206"/>
    <n v="1036"/>
    <n v="145"/>
    <n v="25"/>
    <m/>
    <m/>
    <m/>
    <m/>
  </r>
  <r>
    <x v="1"/>
    <x v="2"/>
    <x v="22"/>
    <n v="9"/>
    <n v="9"/>
    <m/>
    <m/>
    <m/>
    <m/>
    <m/>
    <m/>
  </r>
  <r>
    <x v="1"/>
    <x v="2"/>
    <x v="23"/>
    <n v="177"/>
    <n v="163"/>
    <n v="11"/>
    <n v="3"/>
    <m/>
    <m/>
    <m/>
    <m/>
  </r>
  <r>
    <x v="1"/>
    <x v="2"/>
    <x v="24"/>
    <n v="502"/>
    <n v="409"/>
    <n v="73"/>
    <n v="20"/>
    <m/>
    <m/>
    <m/>
    <m/>
  </r>
  <r>
    <x v="1"/>
    <x v="2"/>
    <x v="25"/>
    <n v="131"/>
    <n v="111"/>
    <n v="17"/>
    <n v="3"/>
    <m/>
    <m/>
    <m/>
    <m/>
  </r>
  <r>
    <x v="1"/>
    <x v="2"/>
    <x v="26"/>
    <n v="11"/>
    <n v="9"/>
    <n v="2"/>
    <m/>
    <m/>
    <m/>
    <m/>
    <m/>
  </r>
  <r>
    <x v="1"/>
    <x v="2"/>
    <x v="27"/>
    <n v="250"/>
    <n v="229"/>
    <n v="18"/>
    <n v="2"/>
    <m/>
    <m/>
    <m/>
    <n v="1"/>
  </r>
  <r>
    <x v="1"/>
    <x v="2"/>
    <x v="28"/>
    <n v="796"/>
    <n v="667"/>
    <n v="115"/>
    <n v="14"/>
    <m/>
    <m/>
    <m/>
    <m/>
  </r>
  <r>
    <x v="1"/>
    <x v="2"/>
    <x v="29"/>
    <n v="165"/>
    <n v="150"/>
    <n v="11"/>
    <n v="4"/>
    <m/>
    <m/>
    <m/>
    <m/>
  </r>
  <r>
    <x v="1"/>
    <x v="2"/>
    <x v="30"/>
    <n v="241"/>
    <n v="207"/>
    <n v="31"/>
    <n v="3"/>
    <m/>
    <m/>
    <m/>
    <m/>
  </r>
  <r>
    <x v="1"/>
    <x v="2"/>
    <x v="31"/>
    <n v="716"/>
    <n v="665"/>
    <n v="45"/>
    <n v="6"/>
    <m/>
    <m/>
    <m/>
    <m/>
  </r>
</pivotCacheRecords>
</file>

<file path=xl/pivotCache/pivotCacheRecords26.xml><?xml version="1.0" encoding="utf-8"?>
<pivotCacheRecords xmlns="http://schemas.openxmlformats.org/spreadsheetml/2006/main" xmlns:r="http://schemas.openxmlformats.org/officeDocument/2006/relationships" count="97">
  <r>
    <x v="0"/>
    <x v="0"/>
    <n v="2230"/>
    <n v="230350"/>
  </r>
  <r>
    <x v="0"/>
    <x v="1"/>
    <n v="1106"/>
    <n v="261960"/>
  </r>
  <r>
    <x v="0"/>
    <x v="2"/>
    <n v="1060"/>
    <n v="116900"/>
  </r>
  <r>
    <x v="0"/>
    <x v="3"/>
    <n v="1018"/>
    <n v="86890"/>
  </r>
  <r>
    <x v="0"/>
    <x v="4"/>
    <n v="407"/>
    <n v="51360"/>
  </r>
  <r>
    <x v="0"/>
    <x v="5"/>
    <n v="912"/>
    <n v="149670"/>
  </r>
  <r>
    <x v="0"/>
    <x v="6"/>
    <n v="2107"/>
    <n v="148210"/>
  </r>
  <r>
    <x v="0"/>
    <x v="7"/>
    <n v="1200"/>
    <n v="122060"/>
  </r>
  <r>
    <x v="0"/>
    <x v="8"/>
    <n v="523"/>
    <n v="106960"/>
  </r>
  <r>
    <x v="0"/>
    <x v="9"/>
    <n v="831"/>
    <n v="103050"/>
  </r>
  <r>
    <x v="0"/>
    <x v="10"/>
    <n v="489"/>
    <n v="92940"/>
  </r>
  <r>
    <x v="0"/>
    <x v="11"/>
    <n v="6777"/>
    <n v="498810"/>
  </r>
  <r>
    <x v="0"/>
    <x v="12"/>
    <n v="1032"/>
    <n v="158460"/>
  </r>
  <r>
    <x v="0"/>
    <x v="13"/>
    <n v="2594"/>
    <n v="368080"/>
  </r>
  <r>
    <x v="0"/>
    <x v="14"/>
    <n v="8041"/>
    <n v="606340"/>
  </r>
  <r>
    <x v="0"/>
    <x v="15"/>
    <n v="2052"/>
    <n v="234110"/>
  </r>
  <r>
    <x v="0"/>
    <x v="16"/>
    <n v="745"/>
    <n v="79500"/>
  </r>
  <r>
    <x v="0"/>
    <x v="17"/>
    <n v="559"/>
    <n v="87390"/>
  </r>
  <r>
    <x v="0"/>
    <x v="18"/>
    <n v="552"/>
    <n v="95510"/>
  </r>
  <r>
    <x v="0"/>
    <x v="19"/>
    <n v="244"/>
    <n v="27070"/>
  </r>
  <r>
    <x v="0"/>
    <x v="20"/>
    <n v="1124"/>
    <n v="136130"/>
  </r>
  <r>
    <x v="0"/>
    <x v="21"/>
    <n v="2608"/>
    <n v="338260"/>
  </r>
  <r>
    <x v="0"/>
    <x v="22"/>
    <n v="109"/>
    <n v="21670"/>
  </r>
  <r>
    <x v="0"/>
    <x v="23"/>
    <n v="1143"/>
    <n v="149930"/>
  </r>
  <r>
    <x v="0"/>
    <x v="24"/>
    <n v="1395"/>
    <n v="174560"/>
  </r>
  <r>
    <x v="0"/>
    <x v="25"/>
    <n v="788"/>
    <n v="114030"/>
  </r>
  <r>
    <x v="0"/>
    <x v="26"/>
    <n v="125"/>
    <n v="23200"/>
  </r>
  <r>
    <x v="0"/>
    <x v="27"/>
    <n v="1005"/>
    <n v="112400"/>
  </r>
  <r>
    <x v="0"/>
    <x v="28"/>
    <n v="2743"/>
    <n v="316230"/>
  </r>
  <r>
    <x v="0"/>
    <x v="29"/>
    <n v="765"/>
    <n v="92830"/>
  </r>
  <r>
    <x v="0"/>
    <x v="30"/>
    <n v="558"/>
    <n v="89590"/>
  </r>
  <r>
    <x v="0"/>
    <x v="31"/>
    <n v="2003"/>
    <n v="178550"/>
  </r>
  <r>
    <x v="1"/>
    <x v="0"/>
    <n v="2547"/>
    <n v="229840"/>
  </r>
  <r>
    <x v="1"/>
    <x v="1"/>
    <n v="1159"/>
    <n v="262190"/>
  </r>
  <r>
    <x v="1"/>
    <x v="2"/>
    <n v="1001"/>
    <n v="116520"/>
  </r>
  <r>
    <x v="1"/>
    <x v="3"/>
    <n v="960"/>
    <n v="87130"/>
  </r>
  <r>
    <x v="1"/>
    <x v="4"/>
    <n v="458"/>
    <n v="51350"/>
  </r>
  <r>
    <x v="1"/>
    <x v="5"/>
    <n v="972"/>
    <n v="149520"/>
  </r>
  <r>
    <x v="1"/>
    <x v="6"/>
    <n v="2232"/>
    <n v="148270"/>
  </r>
  <r>
    <x v="1"/>
    <x v="7"/>
    <n v="1212"/>
    <n v="122200"/>
  </r>
  <r>
    <x v="1"/>
    <x v="8"/>
    <n v="534"/>
    <n v="107540"/>
  </r>
  <r>
    <x v="1"/>
    <x v="9"/>
    <n v="813"/>
    <n v="104090"/>
  </r>
  <r>
    <x v="1"/>
    <x v="10"/>
    <n v="555"/>
    <n v="93810"/>
  </r>
  <r>
    <x v="1"/>
    <x v="11"/>
    <n v="6561"/>
    <n v="507170"/>
  </r>
  <r>
    <x v="1"/>
    <x v="12"/>
    <n v="1156"/>
    <n v="159380"/>
  </r>
  <r>
    <x v="1"/>
    <x v="13"/>
    <n v="2866"/>
    <n v="370330"/>
  </r>
  <r>
    <x v="1"/>
    <x v="14"/>
    <n v="8235"/>
    <n v="615070"/>
  </r>
  <r>
    <x v="1"/>
    <x v="15"/>
    <n v="2085"/>
    <n v="234770"/>
  </r>
  <r>
    <x v="1"/>
    <x v="16"/>
    <n v="826"/>
    <n v="79160"/>
  </r>
  <r>
    <x v="1"/>
    <x v="17"/>
    <n v="656"/>
    <n v="88610"/>
  </r>
  <r>
    <x v="1"/>
    <x v="18"/>
    <n v="536"/>
    <n v="96070"/>
  </r>
  <r>
    <x v="1"/>
    <x v="19"/>
    <n v="255"/>
    <n v="26900"/>
  </r>
  <r>
    <x v="1"/>
    <x v="20"/>
    <n v="1310"/>
    <n v="135890"/>
  </r>
  <r>
    <x v="1"/>
    <x v="21"/>
    <n v="2732"/>
    <n v="339390"/>
  </r>
  <r>
    <x v="1"/>
    <x v="22"/>
    <n v="103"/>
    <n v="21850"/>
  </r>
  <r>
    <x v="1"/>
    <x v="23"/>
    <n v="1103"/>
    <n v="150680"/>
  </r>
  <r>
    <x v="1"/>
    <x v="24"/>
    <n v="1437"/>
    <n v="175930"/>
  </r>
  <r>
    <x v="1"/>
    <x v="25"/>
    <n v="874"/>
    <n v="114530"/>
  </r>
  <r>
    <x v="1"/>
    <x v="26"/>
    <n v="116"/>
    <n v="23200"/>
  </r>
  <r>
    <x v="1"/>
    <x v="27"/>
    <n v="1074"/>
    <n v="112470"/>
  </r>
  <r>
    <x v="1"/>
    <x v="28"/>
    <n v="2869"/>
    <n v="317100"/>
  </r>
  <r>
    <x v="1"/>
    <x v="29"/>
    <n v="923"/>
    <n v="93750"/>
  </r>
  <r>
    <x v="1"/>
    <x v="30"/>
    <n v="644"/>
    <n v="89860"/>
  </r>
  <r>
    <x v="1"/>
    <x v="31"/>
    <n v="2058"/>
    <n v="180130"/>
  </r>
  <r>
    <x v="1"/>
    <x v="32"/>
    <n v="1"/>
    <m/>
  </r>
  <r>
    <x v="2"/>
    <x v="0"/>
    <n v="2582"/>
    <n v="228800"/>
  </r>
  <r>
    <x v="2"/>
    <x v="1"/>
    <n v="1212"/>
    <n v="261800"/>
  </r>
  <r>
    <x v="2"/>
    <x v="2"/>
    <n v="1003"/>
    <n v="116280"/>
  </r>
  <r>
    <x v="2"/>
    <x v="3"/>
    <n v="1087"/>
    <n v="86810"/>
  </r>
  <r>
    <x v="2"/>
    <x v="4"/>
    <n v="488"/>
    <n v="51450"/>
  </r>
  <r>
    <x v="2"/>
    <x v="5"/>
    <n v="1015"/>
    <n v="149200"/>
  </r>
  <r>
    <x v="2"/>
    <x v="6"/>
    <n v="2211"/>
    <n v="148710"/>
  </r>
  <r>
    <x v="2"/>
    <x v="7"/>
    <n v="1197"/>
    <n v="121940"/>
  </r>
  <r>
    <x v="2"/>
    <x v="8"/>
    <n v="648"/>
    <n v="108130"/>
  </r>
  <r>
    <x v="2"/>
    <x v="9"/>
    <n v="925"/>
    <n v="104840"/>
  </r>
  <r>
    <x v="2"/>
    <x v="10"/>
    <n v="630"/>
    <n v="94760"/>
  </r>
  <r>
    <x v="2"/>
    <x v="11"/>
    <n v="6414"/>
    <n v="513210"/>
  </r>
  <r>
    <x v="2"/>
    <x v="12"/>
    <n v="1197"/>
    <n v="160130"/>
  </r>
  <r>
    <x v="2"/>
    <x v="13"/>
    <n v="2824"/>
    <n v="371410"/>
  </r>
  <r>
    <x v="2"/>
    <x v="14"/>
    <n v="8352"/>
    <n v="621020"/>
  </r>
  <r>
    <x v="2"/>
    <x v="15"/>
    <n v="2195"/>
    <n v="235180"/>
  </r>
  <r>
    <x v="2"/>
    <x v="16"/>
    <n v="784"/>
    <n v="78760"/>
  </r>
  <r>
    <x v="2"/>
    <x v="17"/>
    <n v="646"/>
    <n v="90090"/>
  </r>
  <r>
    <x v="2"/>
    <x v="18"/>
    <n v="571"/>
    <n v="95780"/>
  </r>
  <r>
    <x v="2"/>
    <x v="19"/>
    <n v="233"/>
    <n v="26950"/>
  </r>
  <r>
    <x v="2"/>
    <x v="20"/>
    <n v="1296"/>
    <n v="135790"/>
  </r>
  <r>
    <x v="2"/>
    <x v="21"/>
    <n v="2856"/>
    <n v="339960"/>
  </r>
  <r>
    <x v="2"/>
    <x v="22"/>
    <n v="83"/>
    <n v="22000"/>
  </r>
  <r>
    <x v="2"/>
    <x v="23"/>
    <n v="1091"/>
    <n v="151100"/>
  </r>
  <r>
    <x v="2"/>
    <x v="24"/>
    <n v="1658"/>
    <n v="176830"/>
  </r>
  <r>
    <x v="2"/>
    <x v="25"/>
    <n v="890"/>
    <n v="115020"/>
  </r>
  <r>
    <x v="2"/>
    <x v="26"/>
    <n v="131"/>
    <n v="23080"/>
  </r>
  <r>
    <x v="2"/>
    <x v="27"/>
    <n v="1231"/>
    <n v="112680"/>
  </r>
  <r>
    <x v="2"/>
    <x v="28"/>
    <n v="2770"/>
    <n v="318170"/>
  </r>
  <r>
    <x v="2"/>
    <x v="29"/>
    <n v="886"/>
    <n v="94000"/>
  </r>
  <r>
    <x v="2"/>
    <x v="30"/>
    <n v="691"/>
    <n v="89610"/>
  </r>
  <r>
    <x v="2"/>
    <x v="31"/>
    <n v="1990"/>
    <n v="181310"/>
  </r>
</pivotCacheRecords>
</file>

<file path=xl/pivotCache/pivotCacheRecords27.xml><?xml version="1.0" encoding="utf-8"?>
<pivotCacheRecords xmlns="http://schemas.openxmlformats.org/spreadsheetml/2006/main" xmlns:r="http://schemas.openxmlformats.org/officeDocument/2006/relationships" count="35">
  <r>
    <x v="0"/>
    <x v="0"/>
    <x v="0"/>
    <n v="1"/>
    <n v="0"/>
    <n v="1"/>
    <n v="0"/>
    <n v="0"/>
    <n v="0"/>
  </r>
  <r>
    <x v="0"/>
    <x v="0"/>
    <x v="1"/>
    <n v="7"/>
    <n v="0"/>
    <n v="1"/>
    <n v="5"/>
    <n v="0"/>
    <n v="1"/>
  </r>
  <r>
    <x v="0"/>
    <x v="0"/>
    <x v="2"/>
    <n v="1"/>
    <n v="0"/>
    <n v="0"/>
    <n v="1"/>
    <n v="0"/>
    <n v="0"/>
  </r>
  <r>
    <x v="0"/>
    <x v="0"/>
    <x v="3"/>
    <n v="1"/>
    <n v="0"/>
    <n v="0"/>
    <n v="1"/>
    <n v="0"/>
    <n v="0"/>
  </r>
  <r>
    <x v="0"/>
    <x v="1"/>
    <x v="0"/>
    <n v="156"/>
    <n v="14"/>
    <n v="34"/>
    <n v="68"/>
    <n v="35"/>
    <n v="5"/>
  </r>
  <r>
    <x v="0"/>
    <x v="1"/>
    <x v="4"/>
    <n v="37"/>
    <n v="0"/>
    <n v="8"/>
    <n v="19"/>
    <n v="7"/>
    <n v="3"/>
  </r>
  <r>
    <x v="0"/>
    <x v="1"/>
    <x v="5"/>
    <n v="708"/>
    <n v="46"/>
    <n v="102"/>
    <n v="303"/>
    <n v="221"/>
    <n v="36"/>
  </r>
  <r>
    <x v="0"/>
    <x v="1"/>
    <x v="1"/>
    <n v="60"/>
    <n v="4"/>
    <n v="13"/>
    <n v="28"/>
    <n v="11"/>
    <n v="4"/>
  </r>
  <r>
    <x v="0"/>
    <x v="1"/>
    <x v="6"/>
    <n v="29"/>
    <n v="1"/>
    <n v="2"/>
    <n v="14"/>
    <n v="9"/>
    <n v="3"/>
  </r>
  <r>
    <x v="0"/>
    <x v="1"/>
    <x v="2"/>
    <n v="167"/>
    <n v="2"/>
    <n v="21"/>
    <n v="73"/>
    <n v="67"/>
    <n v="4"/>
  </r>
  <r>
    <x v="0"/>
    <x v="1"/>
    <x v="3"/>
    <n v="109"/>
    <n v="10"/>
    <n v="24"/>
    <n v="37"/>
    <n v="31"/>
    <n v="7"/>
  </r>
  <r>
    <x v="1"/>
    <x v="0"/>
    <x v="1"/>
    <n v="8"/>
    <n v="0"/>
    <n v="0"/>
    <n v="6"/>
    <n v="0"/>
    <n v="2"/>
  </r>
  <r>
    <x v="1"/>
    <x v="0"/>
    <x v="2"/>
    <n v="6"/>
    <n v="0"/>
    <n v="1"/>
    <n v="4"/>
    <n v="0"/>
    <n v="1"/>
  </r>
  <r>
    <x v="1"/>
    <x v="0"/>
    <x v="3"/>
    <n v="4"/>
    <n v="0"/>
    <n v="0"/>
    <n v="3"/>
    <n v="0"/>
    <n v="1"/>
  </r>
  <r>
    <x v="1"/>
    <x v="1"/>
    <x v="0"/>
    <n v="129"/>
    <n v="5"/>
    <n v="25"/>
    <n v="72"/>
    <n v="22"/>
    <n v="5"/>
  </r>
  <r>
    <x v="1"/>
    <x v="1"/>
    <x v="4"/>
    <n v="26"/>
    <n v="0"/>
    <n v="4"/>
    <n v="15"/>
    <n v="7"/>
    <n v="0"/>
  </r>
  <r>
    <x v="1"/>
    <x v="1"/>
    <x v="5"/>
    <n v="752"/>
    <n v="54"/>
    <n v="122"/>
    <n v="349"/>
    <n v="190"/>
    <n v="37"/>
  </r>
  <r>
    <x v="1"/>
    <x v="1"/>
    <x v="1"/>
    <n v="41"/>
    <n v="3"/>
    <n v="9"/>
    <n v="19"/>
    <n v="7"/>
    <n v="3"/>
  </r>
  <r>
    <x v="1"/>
    <x v="1"/>
    <x v="6"/>
    <n v="33"/>
    <n v="2"/>
    <n v="5"/>
    <n v="12"/>
    <n v="12"/>
    <n v="2"/>
  </r>
  <r>
    <x v="1"/>
    <x v="1"/>
    <x v="2"/>
    <n v="132"/>
    <n v="5"/>
    <n v="15"/>
    <n v="49"/>
    <n v="56"/>
    <n v="7"/>
  </r>
  <r>
    <x v="1"/>
    <x v="1"/>
    <x v="3"/>
    <n v="135"/>
    <n v="9"/>
    <n v="21"/>
    <n v="58"/>
    <n v="40"/>
    <n v="7"/>
  </r>
  <r>
    <x v="2"/>
    <x v="0"/>
    <x v="0"/>
    <n v="4"/>
    <n v="0"/>
    <n v="2"/>
    <n v="1"/>
    <n v="0"/>
    <n v="1"/>
  </r>
  <r>
    <x v="2"/>
    <x v="0"/>
    <x v="1"/>
    <n v="13"/>
    <n v="0"/>
    <n v="1"/>
    <n v="6"/>
    <n v="1"/>
    <n v="5"/>
  </r>
  <r>
    <x v="2"/>
    <x v="0"/>
    <x v="2"/>
    <n v="7"/>
    <n v="0"/>
    <n v="1"/>
    <n v="5"/>
    <n v="0"/>
    <n v="1"/>
  </r>
  <r>
    <x v="2"/>
    <x v="0"/>
    <x v="3"/>
    <n v="3"/>
    <n v="0"/>
    <n v="0"/>
    <n v="1"/>
    <n v="0"/>
    <n v="2"/>
  </r>
  <r>
    <x v="2"/>
    <x v="1"/>
    <x v="0"/>
    <n v="114"/>
    <n v="5"/>
    <n v="29"/>
    <n v="61"/>
    <n v="14"/>
    <n v="5"/>
  </r>
  <r>
    <x v="2"/>
    <x v="1"/>
    <x v="4"/>
    <n v="16"/>
    <n v="1"/>
    <n v="1"/>
    <n v="8"/>
    <n v="6"/>
    <n v="0"/>
  </r>
  <r>
    <x v="2"/>
    <x v="1"/>
    <x v="5"/>
    <n v="659"/>
    <n v="61"/>
    <n v="102"/>
    <n v="278"/>
    <n v="164"/>
    <n v="54"/>
  </r>
  <r>
    <x v="2"/>
    <x v="1"/>
    <x v="1"/>
    <n v="35"/>
    <n v="2"/>
    <n v="10"/>
    <n v="16"/>
    <n v="7"/>
    <n v="0"/>
  </r>
  <r>
    <x v="2"/>
    <x v="1"/>
    <x v="6"/>
    <n v="17"/>
    <n v="0"/>
    <n v="4"/>
    <n v="7"/>
    <n v="4"/>
    <n v="2"/>
  </r>
  <r>
    <x v="2"/>
    <x v="1"/>
    <x v="2"/>
    <n v="141"/>
    <n v="4"/>
    <n v="19"/>
    <n v="63"/>
    <n v="47"/>
    <n v="8"/>
  </r>
  <r>
    <x v="2"/>
    <x v="1"/>
    <x v="3"/>
    <n v="104"/>
    <n v="14"/>
    <n v="17"/>
    <n v="42"/>
    <n v="28"/>
    <n v="3"/>
  </r>
  <r>
    <x v="0"/>
    <x v="1"/>
    <x v="7"/>
    <m/>
    <n v="971022"/>
    <n v="920189"/>
    <n v="2181793"/>
    <n v="1299996"/>
    <m/>
  </r>
  <r>
    <x v="1"/>
    <x v="1"/>
    <x v="7"/>
    <m/>
    <n v="972780"/>
    <n v="924449"/>
    <n v="2187067"/>
    <n v="1320404"/>
    <m/>
  </r>
  <r>
    <x v="2"/>
    <x v="1"/>
    <x v="7"/>
    <m/>
    <n v="973036"/>
    <n v="920015"/>
    <n v="2190171"/>
    <n v="1341578"/>
    <m/>
  </r>
</pivotCacheRecords>
</file>

<file path=xl/pivotCache/pivotCacheRecords28.xml><?xml version="1.0" encoding="utf-8"?>
<pivotCacheRecords xmlns="http://schemas.openxmlformats.org/spreadsheetml/2006/main" xmlns:r="http://schemas.openxmlformats.org/officeDocument/2006/relationships" count="96">
  <r>
    <x v="0"/>
    <x v="0"/>
    <n v="114234"/>
  </r>
  <r>
    <x v="0"/>
    <x v="1"/>
    <n v="115223"/>
  </r>
  <r>
    <x v="0"/>
    <x v="2"/>
    <n v="55619"/>
  </r>
  <r>
    <x v="0"/>
    <x v="3"/>
    <n v="47712"/>
  </r>
  <r>
    <x v="0"/>
    <x v="4"/>
    <n v="24114"/>
  </r>
  <r>
    <x v="0"/>
    <x v="5"/>
    <n v="74190"/>
  </r>
  <r>
    <x v="0"/>
    <x v="6"/>
    <n v="73689"/>
  </r>
  <r>
    <x v="0"/>
    <x v="7"/>
    <n v="57654"/>
  </r>
  <r>
    <x v="0"/>
    <x v="8"/>
    <n v="45678"/>
  </r>
  <r>
    <x v="0"/>
    <x v="9"/>
    <n v="46332"/>
  </r>
  <r>
    <x v="0"/>
    <x v="10"/>
    <n v="38061"/>
  </r>
  <r>
    <x v="0"/>
    <x v="11"/>
    <n v="241433"/>
  </r>
  <r>
    <x v="0"/>
    <x v="12"/>
    <n v="73290"/>
  </r>
  <r>
    <x v="0"/>
    <x v="13"/>
    <n v="173366"/>
  </r>
  <r>
    <x v="0"/>
    <x v="14"/>
    <n v="304013"/>
  </r>
  <r>
    <x v="0"/>
    <x v="15"/>
    <n v="115538"/>
  </r>
  <r>
    <x v="0"/>
    <x v="16"/>
    <n v="38787"/>
  </r>
  <r>
    <x v="0"/>
    <x v="17"/>
    <n v="38675"/>
  </r>
  <r>
    <x v="0"/>
    <x v="18"/>
    <n v="44096"/>
  </r>
  <r>
    <x v="0"/>
    <x v="19"/>
    <n v="14577"/>
  </r>
  <r>
    <x v="0"/>
    <x v="20"/>
    <n v="67590"/>
  </r>
  <r>
    <x v="0"/>
    <x v="21"/>
    <n v="152293"/>
  </r>
  <r>
    <x v="0"/>
    <x v="22"/>
    <n v="10924"/>
  </r>
  <r>
    <x v="0"/>
    <x v="23"/>
    <n v="70828"/>
  </r>
  <r>
    <x v="0"/>
    <x v="24"/>
    <n v="84997"/>
  </r>
  <r>
    <x v="0"/>
    <x v="25"/>
    <n v="57628"/>
  </r>
  <r>
    <x v="0"/>
    <x v="26"/>
    <n v="11021"/>
  </r>
  <r>
    <x v="0"/>
    <x v="27"/>
    <n v="54635"/>
  </r>
  <r>
    <x v="0"/>
    <x v="28"/>
    <n v="147849"/>
  </r>
  <r>
    <x v="0"/>
    <x v="29"/>
    <n v="40646"/>
  </r>
  <r>
    <x v="0"/>
    <x v="30"/>
    <n v="45056"/>
  </r>
  <r>
    <x v="0"/>
    <x v="31"/>
    <n v="77834"/>
  </r>
  <r>
    <x v="1"/>
    <x v="0"/>
    <n v="115080"/>
  </r>
  <r>
    <x v="1"/>
    <x v="1"/>
    <n v="116421"/>
  </r>
  <r>
    <x v="1"/>
    <x v="2"/>
    <n v="55872"/>
  </r>
  <r>
    <x v="1"/>
    <x v="3"/>
    <n v="47780"/>
  </r>
  <r>
    <x v="1"/>
    <x v="4"/>
    <n v="24221"/>
  </r>
  <r>
    <x v="1"/>
    <x v="5"/>
    <n v="74453"/>
  </r>
  <r>
    <x v="1"/>
    <x v="6"/>
    <n v="74026"/>
  </r>
  <r>
    <x v="1"/>
    <x v="7"/>
    <n v="57873"/>
  </r>
  <r>
    <x v="1"/>
    <x v="8"/>
    <n v="46026"/>
  </r>
  <r>
    <x v="1"/>
    <x v="9"/>
    <n v="46672"/>
  </r>
  <r>
    <x v="1"/>
    <x v="10"/>
    <n v="38389"/>
  </r>
  <r>
    <x v="1"/>
    <x v="11"/>
    <n v="244131"/>
  </r>
  <r>
    <x v="1"/>
    <x v="12"/>
    <n v="73767"/>
  </r>
  <r>
    <x v="1"/>
    <x v="13"/>
    <n v="174528"/>
  </r>
  <r>
    <x v="1"/>
    <x v="14"/>
    <n v="306000"/>
  </r>
  <r>
    <x v="1"/>
    <x v="15"/>
    <n v="116453"/>
  </r>
  <r>
    <x v="1"/>
    <x v="16"/>
    <n v="38835"/>
  </r>
  <r>
    <x v="1"/>
    <x v="17"/>
    <n v="39297"/>
  </r>
  <r>
    <x v="1"/>
    <x v="18"/>
    <n v="44454"/>
  </r>
  <r>
    <x v="1"/>
    <x v="19"/>
    <n v="14599"/>
  </r>
  <r>
    <x v="1"/>
    <x v="20"/>
    <n v="67800"/>
  </r>
  <r>
    <x v="1"/>
    <x v="21"/>
    <n v="153388"/>
  </r>
  <r>
    <x v="1"/>
    <x v="22"/>
    <n v="11063"/>
  </r>
  <r>
    <x v="1"/>
    <x v="23"/>
    <n v="71347"/>
  </r>
  <r>
    <x v="1"/>
    <x v="24"/>
    <n v="85724"/>
  </r>
  <r>
    <x v="1"/>
    <x v="25"/>
    <n v="57940"/>
  </r>
  <r>
    <x v="1"/>
    <x v="26"/>
    <n v="11109"/>
  </r>
  <r>
    <x v="1"/>
    <x v="27"/>
    <n v="54942"/>
  </r>
  <r>
    <x v="1"/>
    <x v="28"/>
    <n v="148771"/>
  </r>
  <r>
    <x v="1"/>
    <x v="29"/>
    <n v="40998"/>
  </r>
  <r>
    <x v="1"/>
    <x v="30"/>
    <n v="45104"/>
  </r>
  <r>
    <x v="1"/>
    <x v="31"/>
    <n v="78604"/>
  </r>
  <r>
    <x v="2"/>
    <x v="0"/>
    <n v="116821"/>
  </r>
  <r>
    <x v="2"/>
    <x v="1"/>
    <n v="117363"/>
  </r>
  <r>
    <x v="2"/>
    <x v="2"/>
    <n v="56135"/>
  </r>
  <r>
    <x v="2"/>
    <x v="3"/>
    <n v="47884"/>
  </r>
  <r>
    <x v="2"/>
    <x v="4"/>
    <n v="24377"/>
  </r>
  <r>
    <x v="2"/>
    <x v="5"/>
    <n v="74687"/>
  </r>
  <r>
    <x v="2"/>
    <x v="6"/>
    <n v="74354"/>
  </r>
  <r>
    <x v="2"/>
    <x v="7"/>
    <n v="58158"/>
  </r>
  <r>
    <x v="2"/>
    <x v="8"/>
    <n v="46430"/>
  </r>
  <r>
    <x v="2"/>
    <x v="9"/>
    <n v="47407"/>
  </r>
  <r>
    <x v="2"/>
    <x v="10"/>
    <n v="38677"/>
  </r>
  <r>
    <x v="2"/>
    <x v="11"/>
    <n v="246818"/>
  </r>
  <r>
    <x v="2"/>
    <x v="12"/>
    <n v="74361"/>
  </r>
  <r>
    <x v="2"/>
    <x v="13"/>
    <n v="175915"/>
  </r>
  <r>
    <x v="2"/>
    <x v="14"/>
    <n v="308293"/>
  </r>
  <r>
    <x v="2"/>
    <x v="15"/>
    <n v="117291"/>
  </r>
  <r>
    <x v="2"/>
    <x v="16"/>
    <n v="38848"/>
  </r>
  <r>
    <x v="2"/>
    <x v="17"/>
    <n v="39937"/>
  </r>
  <r>
    <x v="2"/>
    <x v="18"/>
    <n v="44838"/>
  </r>
  <r>
    <x v="2"/>
    <x v="19"/>
    <n v="14714"/>
  </r>
  <r>
    <x v="2"/>
    <x v="20"/>
    <n v="67960"/>
  </r>
  <r>
    <x v="2"/>
    <x v="21"/>
    <n v="154286"/>
  </r>
  <r>
    <x v="2"/>
    <x v="22"/>
    <n v="11192"/>
  </r>
  <r>
    <x v="2"/>
    <x v="23"/>
    <n v="71810"/>
  </r>
  <r>
    <x v="2"/>
    <x v="24"/>
    <n v="86449"/>
  </r>
  <r>
    <x v="2"/>
    <x v="25"/>
    <n v="58167"/>
  </r>
  <r>
    <x v="2"/>
    <x v="26"/>
    <n v="11180"/>
  </r>
  <r>
    <x v="2"/>
    <x v="27"/>
    <n v="55252"/>
  </r>
  <r>
    <x v="2"/>
    <x v="28"/>
    <n v="149972"/>
  </r>
  <r>
    <x v="2"/>
    <x v="29"/>
    <n v="41250"/>
  </r>
  <r>
    <x v="2"/>
    <x v="30"/>
    <n v="45093"/>
  </r>
  <r>
    <x v="2"/>
    <x v="31"/>
    <n v="79112"/>
  </r>
</pivotCacheRecords>
</file>

<file path=xl/pivotCache/pivotCacheRecords3.xml><?xml version="1.0" encoding="utf-8"?>
<pivotCacheRecords xmlns="http://schemas.openxmlformats.org/spreadsheetml/2006/main" xmlns:r="http://schemas.openxmlformats.org/officeDocument/2006/relationships" count="94">
  <r>
    <x v="0"/>
    <x v="0"/>
    <n v="27"/>
    <n v="3"/>
    <n v="24"/>
  </r>
  <r>
    <x v="0"/>
    <x v="1"/>
    <n v="7"/>
    <n v="2"/>
    <n v="5"/>
  </r>
  <r>
    <x v="0"/>
    <x v="2"/>
    <n v="4"/>
    <n v="0"/>
    <n v="4"/>
  </r>
  <r>
    <x v="0"/>
    <x v="3"/>
    <n v="14"/>
    <n v="0"/>
    <n v="14"/>
  </r>
  <r>
    <x v="0"/>
    <x v="4"/>
    <n v="3"/>
    <n v="0"/>
    <n v="3"/>
  </r>
  <r>
    <x v="0"/>
    <x v="5"/>
    <n v="15"/>
    <n v="0"/>
    <n v="15"/>
  </r>
  <r>
    <x v="0"/>
    <x v="6"/>
    <n v="9"/>
    <n v="0"/>
    <n v="9"/>
  </r>
  <r>
    <x v="0"/>
    <x v="7"/>
    <n v="9"/>
    <n v="1"/>
    <n v="8"/>
  </r>
  <r>
    <x v="0"/>
    <x v="8"/>
    <n v="8"/>
    <n v="0"/>
    <n v="8"/>
  </r>
  <r>
    <x v="0"/>
    <x v="9"/>
    <n v="7"/>
    <n v="0"/>
    <n v="7"/>
  </r>
  <r>
    <x v="0"/>
    <x v="10"/>
    <n v="10"/>
    <n v="0"/>
    <n v="10"/>
  </r>
  <r>
    <x v="0"/>
    <x v="11"/>
    <n v="56"/>
    <n v="4"/>
    <n v="52"/>
  </r>
  <r>
    <x v="0"/>
    <x v="12"/>
    <n v="15"/>
    <n v="0"/>
    <n v="15"/>
  </r>
  <r>
    <x v="0"/>
    <x v="13"/>
    <n v="22"/>
    <n v="0"/>
    <n v="22"/>
  </r>
  <r>
    <x v="0"/>
    <x v="14"/>
    <n v="86"/>
    <n v="8"/>
    <n v="78"/>
  </r>
  <r>
    <x v="0"/>
    <x v="15"/>
    <n v="53"/>
    <n v="0"/>
    <n v="53"/>
  </r>
  <r>
    <x v="0"/>
    <x v="16"/>
    <n v="8"/>
    <n v="0"/>
    <n v="8"/>
  </r>
  <r>
    <x v="0"/>
    <x v="17"/>
    <n v="6"/>
    <n v="0"/>
    <n v="6"/>
  </r>
  <r>
    <x v="0"/>
    <x v="18"/>
    <n v="5"/>
    <n v="0"/>
    <n v="5"/>
  </r>
  <r>
    <x v="0"/>
    <x v="19"/>
    <n v="5"/>
    <n v="0"/>
    <n v="5"/>
  </r>
  <r>
    <x v="0"/>
    <x v="20"/>
    <n v="16"/>
    <n v="0"/>
    <n v="16"/>
  </r>
  <r>
    <x v="0"/>
    <x v="21"/>
    <n v="42"/>
    <n v="3"/>
    <n v="39"/>
  </r>
  <r>
    <x v="0"/>
    <x v="22"/>
    <n v="15"/>
    <n v="0"/>
    <n v="15"/>
  </r>
  <r>
    <x v="0"/>
    <x v="23"/>
    <n v="8"/>
    <n v="0"/>
    <n v="8"/>
  </r>
  <r>
    <x v="0"/>
    <x v="24"/>
    <n v="19"/>
    <n v="0"/>
    <n v="19"/>
  </r>
  <r>
    <x v="0"/>
    <x v="25"/>
    <n v="12"/>
    <n v="0"/>
    <n v="12"/>
  </r>
  <r>
    <x v="0"/>
    <x v="26"/>
    <n v="2"/>
    <n v="0"/>
    <n v="2"/>
  </r>
  <r>
    <x v="0"/>
    <x v="27"/>
    <n v="19"/>
    <n v="2"/>
    <n v="17"/>
  </r>
  <r>
    <x v="0"/>
    <x v="28"/>
    <n v="26"/>
    <n v="0"/>
    <n v="26"/>
  </r>
  <r>
    <x v="0"/>
    <x v="29"/>
    <n v="10"/>
    <n v="0"/>
    <n v="10"/>
  </r>
  <r>
    <x v="0"/>
    <x v="30"/>
    <n v="10"/>
    <n v="1"/>
    <n v="9"/>
  </r>
  <r>
    <x v="0"/>
    <x v="31"/>
    <n v="8"/>
    <n v="0"/>
    <n v="8"/>
  </r>
  <r>
    <x v="1"/>
    <x v="0"/>
    <n v="25"/>
    <n v="2"/>
    <n v="23"/>
  </r>
  <r>
    <x v="1"/>
    <x v="1"/>
    <n v="14"/>
    <n v="0"/>
    <n v="14"/>
  </r>
  <r>
    <x v="1"/>
    <x v="2"/>
    <n v="5"/>
    <n v="0"/>
    <n v="5"/>
  </r>
  <r>
    <x v="1"/>
    <x v="3"/>
    <n v="12"/>
    <n v="0"/>
    <n v="12"/>
  </r>
  <r>
    <x v="1"/>
    <x v="4"/>
    <n v="5"/>
    <n v="0"/>
    <n v="5"/>
  </r>
  <r>
    <x v="1"/>
    <x v="5"/>
    <n v="14"/>
    <n v="1"/>
    <n v="13"/>
  </r>
  <r>
    <x v="1"/>
    <x v="6"/>
    <n v="14"/>
    <n v="0"/>
    <n v="14"/>
  </r>
  <r>
    <x v="1"/>
    <x v="7"/>
    <n v="13"/>
    <n v="1"/>
    <n v="12"/>
  </r>
  <r>
    <x v="1"/>
    <x v="8"/>
    <n v="7"/>
    <n v="0"/>
    <n v="7"/>
  </r>
  <r>
    <x v="1"/>
    <x v="9"/>
    <n v="6"/>
    <n v="1"/>
    <n v="5"/>
  </r>
  <r>
    <x v="1"/>
    <x v="10"/>
    <n v="3"/>
    <n v="0"/>
    <n v="3"/>
  </r>
  <r>
    <x v="1"/>
    <x v="11"/>
    <n v="107"/>
    <n v="3"/>
    <n v="104"/>
  </r>
  <r>
    <x v="1"/>
    <x v="12"/>
    <n v="27"/>
    <n v="1"/>
    <n v="26"/>
  </r>
  <r>
    <x v="1"/>
    <x v="13"/>
    <n v="52"/>
    <n v="2"/>
    <n v="50"/>
  </r>
  <r>
    <x v="1"/>
    <x v="14"/>
    <n v="111"/>
    <n v="2"/>
    <n v="109"/>
  </r>
  <r>
    <x v="1"/>
    <x v="15"/>
    <n v="45"/>
    <n v="0"/>
    <n v="45"/>
  </r>
  <r>
    <x v="1"/>
    <x v="16"/>
    <n v="6"/>
    <n v="0"/>
    <n v="6"/>
  </r>
  <r>
    <x v="1"/>
    <x v="17"/>
    <n v="11"/>
    <n v="0"/>
    <n v="11"/>
  </r>
  <r>
    <x v="1"/>
    <x v="18"/>
    <n v="3"/>
    <n v="1"/>
    <n v="2"/>
  </r>
  <r>
    <x v="1"/>
    <x v="19"/>
    <n v="10"/>
    <n v="0"/>
    <n v="10"/>
  </r>
  <r>
    <x v="1"/>
    <x v="20"/>
    <n v="23"/>
    <n v="0"/>
    <n v="23"/>
  </r>
  <r>
    <x v="1"/>
    <x v="21"/>
    <n v="45"/>
    <n v="2"/>
    <n v="43"/>
  </r>
  <r>
    <x v="1"/>
    <x v="22"/>
    <n v="22"/>
    <n v="0"/>
    <n v="22"/>
  </r>
  <r>
    <x v="1"/>
    <x v="23"/>
    <n v="9"/>
    <n v="0"/>
    <n v="9"/>
  </r>
  <r>
    <x v="1"/>
    <x v="24"/>
    <n v="26"/>
    <n v="0"/>
    <n v="26"/>
  </r>
  <r>
    <x v="1"/>
    <x v="25"/>
    <n v="5"/>
    <n v="0"/>
    <n v="5"/>
  </r>
  <r>
    <x v="1"/>
    <x v="26"/>
    <n v="2"/>
    <n v="0"/>
    <n v="2"/>
  </r>
  <r>
    <x v="1"/>
    <x v="27"/>
    <n v="12"/>
    <n v="0"/>
    <n v="12"/>
  </r>
  <r>
    <x v="1"/>
    <x v="28"/>
    <n v="34"/>
    <n v="1"/>
    <n v="33"/>
  </r>
  <r>
    <x v="1"/>
    <x v="29"/>
    <n v="12"/>
    <n v="0"/>
    <n v="12"/>
  </r>
  <r>
    <x v="1"/>
    <x v="30"/>
    <n v="4"/>
    <n v="0"/>
    <n v="4"/>
  </r>
  <r>
    <x v="1"/>
    <x v="31"/>
    <n v="33"/>
    <n v="2"/>
    <n v="31"/>
  </r>
  <r>
    <x v="2"/>
    <x v="0"/>
    <n v="22"/>
    <n v="1"/>
    <n v="21"/>
  </r>
  <r>
    <x v="2"/>
    <x v="1"/>
    <n v="16"/>
    <n v="0"/>
    <n v="16"/>
  </r>
  <r>
    <x v="2"/>
    <x v="2"/>
    <n v="9"/>
    <n v="0"/>
    <n v="9"/>
  </r>
  <r>
    <x v="2"/>
    <x v="3"/>
    <n v="22"/>
    <n v="0"/>
    <n v="22"/>
  </r>
  <r>
    <x v="2"/>
    <x v="4"/>
    <n v="5"/>
    <n v="0"/>
    <n v="5"/>
  </r>
  <r>
    <x v="2"/>
    <x v="5"/>
    <n v="18"/>
    <n v="1"/>
    <n v="17"/>
  </r>
  <r>
    <x v="2"/>
    <x v="6"/>
    <n v="14"/>
    <n v="0"/>
    <n v="14"/>
  </r>
  <r>
    <x v="2"/>
    <x v="7"/>
    <n v="14"/>
    <n v="0"/>
    <n v="14"/>
  </r>
  <r>
    <x v="2"/>
    <x v="8"/>
    <n v="5"/>
    <n v="0"/>
    <n v="5"/>
  </r>
  <r>
    <x v="2"/>
    <x v="9"/>
    <n v="6"/>
    <n v="0"/>
    <n v="6"/>
  </r>
  <r>
    <x v="2"/>
    <x v="10"/>
    <n v="6"/>
    <n v="1"/>
    <n v="5"/>
  </r>
  <r>
    <x v="2"/>
    <x v="11"/>
    <n v="93"/>
    <n v="4"/>
    <n v="89"/>
  </r>
  <r>
    <x v="2"/>
    <x v="12"/>
    <n v="26"/>
    <n v="2"/>
    <n v="24"/>
  </r>
  <r>
    <x v="2"/>
    <x v="13"/>
    <n v="54"/>
    <n v="1"/>
    <n v="53"/>
  </r>
  <r>
    <x v="2"/>
    <x v="14"/>
    <n v="97"/>
    <n v="3"/>
    <n v="94"/>
  </r>
  <r>
    <x v="2"/>
    <x v="15"/>
    <n v="46"/>
    <n v="2"/>
    <n v="44"/>
  </r>
  <r>
    <x v="2"/>
    <x v="16"/>
    <n v="11"/>
    <n v="0"/>
    <n v="11"/>
  </r>
  <r>
    <x v="2"/>
    <x v="17"/>
    <n v="11"/>
    <n v="0"/>
    <n v="11"/>
  </r>
  <r>
    <x v="2"/>
    <x v="18"/>
    <n v="2"/>
    <n v="0"/>
    <n v="2"/>
  </r>
  <r>
    <x v="2"/>
    <x v="20"/>
    <n v="16"/>
    <n v="0"/>
    <n v="16"/>
  </r>
  <r>
    <x v="2"/>
    <x v="21"/>
    <n v="37"/>
    <n v="1"/>
    <n v="36"/>
  </r>
  <r>
    <x v="2"/>
    <x v="22"/>
    <n v="12"/>
    <n v="0"/>
    <n v="12"/>
  </r>
  <r>
    <x v="2"/>
    <x v="23"/>
    <n v="7"/>
    <n v="0"/>
    <n v="7"/>
  </r>
  <r>
    <x v="2"/>
    <x v="24"/>
    <n v="24"/>
    <n v="0"/>
    <n v="24"/>
  </r>
  <r>
    <x v="2"/>
    <x v="25"/>
    <n v="10"/>
    <n v="0"/>
    <n v="10"/>
  </r>
  <r>
    <x v="2"/>
    <x v="27"/>
    <n v="12"/>
    <n v="1"/>
    <n v="11"/>
  </r>
  <r>
    <x v="2"/>
    <x v="28"/>
    <n v="25"/>
    <n v="0"/>
    <n v="25"/>
  </r>
  <r>
    <x v="2"/>
    <x v="29"/>
    <n v="12"/>
    <n v="0"/>
    <n v="12"/>
  </r>
  <r>
    <x v="2"/>
    <x v="30"/>
    <n v="7"/>
    <n v="1"/>
    <n v="6"/>
  </r>
  <r>
    <x v="2"/>
    <x v="31"/>
    <n v="26"/>
    <n v="1"/>
    <n v="25"/>
  </r>
</pivotCacheRecords>
</file>

<file path=xl/pivotCache/pivotCacheRecords4.xml><?xml version="1.0" encoding="utf-8"?>
<pivotCacheRecords xmlns="http://schemas.openxmlformats.org/spreadsheetml/2006/main" xmlns:r="http://schemas.openxmlformats.org/officeDocument/2006/relationships" count="96">
  <r>
    <x v="0"/>
    <x v="0"/>
    <n v="553"/>
    <n v="334"/>
    <n v="121"/>
    <n v="80"/>
    <n v="18"/>
    <n v="441"/>
    <n v="10"/>
    <n v="230350"/>
  </r>
  <r>
    <x v="0"/>
    <x v="1"/>
    <n v="404"/>
    <n v="192"/>
    <n v="83"/>
    <n v="90"/>
    <n v="39"/>
    <n v="184"/>
    <n v="77"/>
    <n v="261960"/>
  </r>
  <r>
    <x v="0"/>
    <x v="2"/>
    <n v="181"/>
    <n v="95"/>
    <n v="42"/>
    <n v="32"/>
    <n v="12"/>
    <n v="147"/>
    <n v="21"/>
    <n v="116900"/>
  </r>
  <r>
    <x v="0"/>
    <x v="3"/>
    <n v="137"/>
    <n v="64"/>
    <n v="38"/>
    <n v="21"/>
    <n v="14"/>
    <n v="68"/>
    <n v="67"/>
    <n v="86890"/>
  </r>
  <r>
    <x v="0"/>
    <x v="4"/>
    <n v="112"/>
    <n v="75"/>
    <n v="23"/>
    <n v="4"/>
    <n v="10"/>
    <n v="102"/>
    <n v="4"/>
    <n v="51360"/>
  </r>
  <r>
    <x v="0"/>
    <x v="5"/>
    <n v="229"/>
    <n v="94"/>
    <n v="45"/>
    <n v="67"/>
    <n v="23"/>
    <n v="155"/>
    <n v="57"/>
    <n v="149670"/>
  </r>
  <r>
    <x v="0"/>
    <x v="6"/>
    <n v="383"/>
    <n v="256"/>
    <n v="78"/>
    <n v="40"/>
    <n v="9"/>
    <n v="680"/>
    <n v="3"/>
    <n v="148210"/>
  </r>
  <r>
    <x v="0"/>
    <x v="7"/>
    <n v="219"/>
    <n v="104"/>
    <n v="54"/>
    <n v="42"/>
    <n v="19"/>
    <n v="616"/>
    <n v="13"/>
    <n v="122060"/>
  </r>
  <r>
    <x v="0"/>
    <x v="8"/>
    <n v="147"/>
    <n v="77"/>
    <n v="29"/>
    <n v="31"/>
    <n v="10"/>
    <n v="171"/>
    <n v="1"/>
    <n v="106960"/>
  </r>
  <r>
    <x v="0"/>
    <x v="9"/>
    <n v="197"/>
    <n v="85"/>
    <n v="35"/>
    <n v="50"/>
    <n v="27"/>
    <n v="195"/>
    <n v="27"/>
    <n v="103050"/>
  </r>
  <r>
    <x v="0"/>
    <x v="10"/>
    <n v="131"/>
    <n v="71"/>
    <n v="33"/>
    <n v="16"/>
    <n v="11"/>
    <n v="147"/>
    <n v="3"/>
    <n v="92940"/>
  </r>
  <r>
    <x v="0"/>
    <x v="11"/>
    <n v="1224"/>
    <n v="633"/>
    <n v="289"/>
    <n v="203"/>
    <n v="99"/>
    <n v="1893"/>
    <n v="8"/>
    <n v="498810"/>
  </r>
  <r>
    <x v="0"/>
    <x v="12"/>
    <n v="307"/>
    <n v="134"/>
    <n v="71"/>
    <n v="55"/>
    <n v="47"/>
    <n v="343"/>
    <n v="5"/>
    <n v="158460"/>
  </r>
  <r>
    <x v="0"/>
    <x v="13"/>
    <n v="578"/>
    <n v="279"/>
    <n v="134"/>
    <n v="117"/>
    <n v="48"/>
    <n v="740"/>
    <n v="28"/>
    <n v="368080"/>
  </r>
  <r>
    <x v="0"/>
    <x v="14"/>
    <n v="1738"/>
    <n v="960"/>
    <n v="408"/>
    <n v="291"/>
    <n v="79"/>
    <n v="2436"/>
    <n v="10"/>
    <n v="606340"/>
  </r>
  <r>
    <x v="0"/>
    <x v="15"/>
    <n v="377"/>
    <n v="131"/>
    <n v="103"/>
    <n v="87"/>
    <n v="56"/>
    <n v="342"/>
    <n v="238"/>
    <n v="234110"/>
  </r>
  <r>
    <x v="0"/>
    <x v="16"/>
    <n v="215"/>
    <n v="129"/>
    <n v="37"/>
    <n v="32"/>
    <n v="17"/>
    <n v="405"/>
    <n v="2"/>
    <n v="79500"/>
  </r>
  <r>
    <x v="0"/>
    <x v="17"/>
    <n v="170"/>
    <n v="69"/>
    <n v="32"/>
    <n v="29"/>
    <n v="40"/>
    <n v="301"/>
    <n v="14"/>
    <n v="87390"/>
  </r>
  <r>
    <x v="0"/>
    <x v="18"/>
    <n v="125"/>
    <n v="50"/>
    <n v="36"/>
    <n v="28"/>
    <n v="11"/>
    <n v="95"/>
    <n v="29"/>
    <n v="95510"/>
  </r>
  <r>
    <x v="0"/>
    <x v="19"/>
    <n v="41"/>
    <n v="20"/>
    <n v="7"/>
    <n v="9"/>
    <n v="5"/>
    <n v="30"/>
    <n v="38"/>
    <n v="27070"/>
  </r>
  <r>
    <x v="0"/>
    <x v="20"/>
    <n v="284"/>
    <n v="176"/>
    <n v="63"/>
    <n v="34"/>
    <n v="11"/>
    <n v="507"/>
    <n v="16"/>
    <n v="136130"/>
  </r>
  <r>
    <x v="0"/>
    <x v="21"/>
    <n v="655"/>
    <n v="336"/>
    <n v="140"/>
    <n v="146"/>
    <n v="33"/>
    <n v="1540"/>
    <n v="4"/>
    <n v="338260"/>
  </r>
  <r>
    <x v="0"/>
    <x v="22"/>
    <n v="37"/>
    <n v="11"/>
    <n v="9"/>
    <n v="11"/>
    <n v="6"/>
    <n v="13"/>
    <n v="13"/>
    <n v="21670"/>
  </r>
  <r>
    <x v="0"/>
    <x v="23"/>
    <n v="270"/>
    <n v="123"/>
    <n v="74"/>
    <n v="50"/>
    <n v="23"/>
    <n v="144"/>
    <n v="66"/>
    <n v="149930"/>
  </r>
  <r>
    <x v="0"/>
    <x v="24"/>
    <n v="406"/>
    <n v="242"/>
    <n v="89"/>
    <n v="56"/>
    <n v="19"/>
    <n v="566"/>
    <n v="5"/>
    <n v="174560"/>
  </r>
  <r>
    <x v="0"/>
    <x v="25"/>
    <n v="226"/>
    <n v="109"/>
    <n v="48"/>
    <n v="32"/>
    <n v="37"/>
    <n v="92"/>
    <n v="55"/>
    <n v="114030"/>
  </r>
  <r>
    <x v="0"/>
    <x v="26"/>
    <n v="37"/>
    <n v="19"/>
    <n v="4"/>
    <n v="7"/>
    <n v="7"/>
    <n v="11"/>
    <n v="11"/>
    <n v="23200"/>
  </r>
  <r>
    <x v="0"/>
    <x v="27"/>
    <n v="189"/>
    <n v="101"/>
    <n v="54"/>
    <n v="30"/>
    <n v="4"/>
    <n v="211"/>
    <n v="16"/>
    <n v="112400"/>
  </r>
  <r>
    <x v="0"/>
    <x v="28"/>
    <n v="539"/>
    <n v="294"/>
    <n v="99"/>
    <n v="123"/>
    <n v="23"/>
    <n v="906"/>
    <n v="14"/>
    <n v="316230"/>
  </r>
  <r>
    <x v="0"/>
    <x v="29"/>
    <n v="232"/>
    <n v="108"/>
    <n v="72"/>
    <n v="34"/>
    <n v="18"/>
    <n v="209"/>
    <n v="23"/>
    <n v="92830"/>
  </r>
  <r>
    <x v="0"/>
    <x v="30"/>
    <n v="270"/>
    <n v="156"/>
    <n v="59"/>
    <n v="40"/>
    <n v="15"/>
    <n v="312"/>
    <n v="1"/>
    <n v="89590"/>
  </r>
  <r>
    <x v="0"/>
    <x v="31"/>
    <n v="400"/>
    <n v="150"/>
    <n v="88"/>
    <n v="78"/>
    <n v="84"/>
    <n v="730"/>
    <n v="4"/>
    <n v="178550"/>
  </r>
  <r>
    <x v="1"/>
    <x v="0"/>
    <n v="564"/>
    <n v="350"/>
    <n v="108"/>
    <n v="84"/>
    <n v="22"/>
    <n v="315"/>
    <n v="13"/>
    <n v="229840"/>
  </r>
  <r>
    <x v="1"/>
    <x v="1"/>
    <n v="399"/>
    <n v="184"/>
    <n v="88"/>
    <n v="89"/>
    <n v="38"/>
    <n v="264"/>
    <n v="80"/>
    <n v="262190"/>
  </r>
  <r>
    <x v="1"/>
    <x v="2"/>
    <n v="186"/>
    <n v="98"/>
    <n v="28"/>
    <n v="47"/>
    <n v="13"/>
    <n v="126"/>
    <n v="9"/>
    <n v="116520"/>
  </r>
  <r>
    <x v="1"/>
    <x v="3"/>
    <n v="150"/>
    <n v="80"/>
    <n v="31"/>
    <n v="26"/>
    <n v="13"/>
    <n v="122"/>
    <n v="43"/>
    <n v="87130"/>
  </r>
  <r>
    <x v="1"/>
    <x v="4"/>
    <n v="109"/>
    <n v="72"/>
    <n v="20"/>
    <n v="13"/>
    <n v="4"/>
    <n v="84"/>
    <n v="3"/>
    <n v="51350"/>
  </r>
  <r>
    <x v="1"/>
    <x v="5"/>
    <n v="247"/>
    <n v="118"/>
    <n v="55"/>
    <n v="54"/>
    <n v="20"/>
    <n v="169"/>
    <n v="46"/>
    <n v="149520"/>
  </r>
  <r>
    <x v="1"/>
    <x v="6"/>
    <n v="382"/>
    <n v="257"/>
    <n v="67"/>
    <n v="39"/>
    <n v="19"/>
    <n v="818"/>
    <n v="2"/>
    <n v="148270"/>
  </r>
  <r>
    <x v="1"/>
    <x v="7"/>
    <n v="255"/>
    <n v="146"/>
    <n v="55"/>
    <n v="46"/>
    <n v="8"/>
    <n v="640"/>
    <n v="12"/>
    <n v="122200"/>
  </r>
  <r>
    <x v="1"/>
    <x v="8"/>
    <n v="166"/>
    <n v="82"/>
    <n v="36"/>
    <n v="38"/>
    <n v="10"/>
    <n v="180"/>
    <n v="2"/>
    <n v="107540"/>
  </r>
  <r>
    <x v="1"/>
    <x v="9"/>
    <n v="155"/>
    <n v="59"/>
    <n v="44"/>
    <n v="27"/>
    <n v="25"/>
    <n v="255"/>
    <n v="19"/>
    <n v="104090"/>
  </r>
  <r>
    <x v="1"/>
    <x v="10"/>
    <n v="106"/>
    <n v="64"/>
    <n v="18"/>
    <n v="16"/>
    <n v="8"/>
    <n v="152"/>
    <n v="5"/>
    <n v="93810"/>
  </r>
  <r>
    <x v="1"/>
    <x v="11"/>
    <n v="1171"/>
    <n v="581"/>
    <n v="259"/>
    <n v="213"/>
    <n v="118"/>
    <n v="1874"/>
    <n v="8"/>
    <n v="507170"/>
  </r>
  <r>
    <x v="1"/>
    <x v="12"/>
    <n v="281"/>
    <n v="117"/>
    <n v="65"/>
    <n v="50"/>
    <n v="49"/>
    <n v="412"/>
    <n v="5"/>
    <n v="159380"/>
  </r>
  <r>
    <x v="1"/>
    <x v="13"/>
    <n v="631"/>
    <n v="272"/>
    <n v="145"/>
    <n v="103"/>
    <n v="111"/>
    <n v="737"/>
    <n v="16"/>
    <n v="370330"/>
  </r>
  <r>
    <x v="1"/>
    <x v="14"/>
    <n v="1708"/>
    <n v="929"/>
    <n v="395"/>
    <n v="319"/>
    <n v="65"/>
    <n v="2559"/>
    <n v="5"/>
    <n v="615070"/>
  </r>
  <r>
    <x v="1"/>
    <x v="15"/>
    <n v="377"/>
    <n v="161"/>
    <n v="91"/>
    <n v="89"/>
    <n v="36"/>
    <n v="360"/>
    <n v="183"/>
    <n v="234770"/>
  </r>
  <r>
    <x v="1"/>
    <x v="16"/>
    <n v="215"/>
    <n v="131"/>
    <n v="32"/>
    <n v="43"/>
    <n v="9"/>
    <n v="569"/>
    <n v="2"/>
    <n v="79160"/>
  </r>
  <r>
    <x v="1"/>
    <x v="17"/>
    <n v="205"/>
    <n v="78"/>
    <n v="32"/>
    <n v="45"/>
    <n v="50"/>
    <n v="371"/>
    <n v="9"/>
    <n v="88610"/>
  </r>
  <r>
    <x v="1"/>
    <x v="18"/>
    <n v="128"/>
    <n v="55"/>
    <n v="29"/>
    <n v="36"/>
    <n v="8"/>
    <n v="127"/>
    <n v="35"/>
    <n v="96070"/>
  </r>
  <r>
    <x v="1"/>
    <x v="19"/>
    <n v="36"/>
    <n v="23"/>
    <n v="5"/>
    <n v="1"/>
    <n v="7"/>
    <n v="52"/>
    <n v="38"/>
    <n v="26900"/>
  </r>
  <r>
    <x v="1"/>
    <x v="20"/>
    <n v="269"/>
    <n v="167"/>
    <n v="43"/>
    <n v="32"/>
    <n v="27"/>
    <n v="621"/>
    <n v="11"/>
    <n v="135890"/>
  </r>
  <r>
    <x v="1"/>
    <x v="21"/>
    <n v="687"/>
    <n v="353"/>
    <n v="112"/>
    <n v="177"/>
    <n v="45"/>
    <n v="1484"/>
    <n v="8"/>
    <n v="339390"/>
  </r>
  <r>
    <x v="1"/>
    <x v="22"/>
    <n v="23"/>
    <n v="7"/>
    <n v="5"/>
    <n v="8"/>
    <n v="3"/>
    <n v="10"/>
    <n v="10"/>
    <n v="21850"/>
  </r>
  <r>
    <x v="1"/>
    <x v="23"/>
    <n v="288"/>
    <n v="146"/>
    <n v="70"/>
    <n v="49"/>
    <n v="23"/>
    <n v="143"/>
    <n v="33"/>
    <n v="150680"/>
  </r>
  <r>
    <x v="1"/>
    <x v="24"/>
    <n v="385"/>
    <n v="205"/>
    <n v="78"/>
    <n v="75"/>
    <n v="27"/>
    <n v="693"/>
    <n v="4"/>
    <n v="175930"/>
  </r>
  <r>
    <x v="1"/>
    <x v="25"/>
    <n v="195"/>
    <n v="91"/>
    <n v="42"/>
    <n v="36"/>
    <n v="26"/>
    <n v="102"/>
    <n v="48"/>
    <n v="114530"/>
  </r>
  <r>
    <x v="1"/>
    <x v="26"/>
    <n v="26"/>
    <n v="9"/>
    <n v="8"/>
    <n v="3"/>
    <n v="6"/>
    <n v="5"/>
    <n v="9"/>
    <n v="23200"/>
  </r>
  <r>
    <x v="1"/>
    <x v="27"/>
    <n v="188"/>
    <n v="97"/>
    <n v="44"/>
    <n v="30"/>
    <n v="17"/>
    <n v="231"/>
    <n v="19"/>
    <n v="112470"/>
  </r>
  <r>
    <x v="1"/>
    <x v="28"/>
    <n v="557"/>
    <n v="250"/>
    <n v="111"/>
    <n v="166"/>
    <n v="30"/>
    <n v="891"/>
    <n v="7"/>
    <n v="317100"/>
  </r>
  <r>
    <x v="1"/>
    <x v="29"/>
    <n v="203"/>
    <n v="85"/>
    <n v="44"/>
    <n v="44"/>
    <n v="30"/>
    <n v="185"/>
    <n v="15"/>
    <n v="93750"/>
  </r>
  <r>
    <x v="1"/>
    <x v="30"/>
    <n v="260"/>
    <n v="143"/>
    <n v="44"/>
    <n v="50"/>
    <n v="23"/>
    <n v="425"/>
    <n v="3"/>
    <n v="89860"/>
  </r>
  <r>
    <x v="1"/>
    <x v="31"/>
    <n v="352"/>
    <n v="138"/>
    <n v="75"/>
    <n v="71"/>
    <n v="68"/>
    <n v="681"/>
    <n v="8"/>
    <n v="180130"/>
  </r>
  <r>
    <x v="2"/>
    <x v="0"/>
    <n v="455"/>
    <n v="277"/>
    <n v="98"/>
    <n v="64"/>
    <n v="16"/>
    <n v="342"/>
    <n v="9"/>
    <n v="228800"/>
  </r>
  <r>
    <x v="2"/>
    <x v="1"/>
    <n v="394"/>
    <n v="168"/>
    <n v="107"/>
    <n v="78"/>
    <n v="41"/>
    <n v="214"/>
    <n v="76"/>
    <n v="261800"/>
  </r>
  <r>
    <x v="2"/>
    <x v="2"/>
    <n v="163"/>
    <n v="81"/>
    <n v="34"/>
    <n v="30"/>
    <n v="18"/>
    <n v="181"/>
    <n v="23"/>
    <n v="116280"/>
  </r>
  <r>
    <x v="2"/>
    <x v="3"/>
    <n v="184"/>
    <n v="86"/>
    <n v="50"/>
    <n v="33"/>
    <n v="15"/>
    <n v="81"/>
    <n v="46"/>
    <n v="86810"/>
  </r>
  <r>
    <x v="2"/>
    <x v="4"/>
    <n v="93"/>
    <n v="51"/>
    <n v="21"/>
    <n v="10"/>
    <n v="11"/>
    <n v="109"/>
    <n v="2"/>
    <n v="51450"/>
  </r>
  <r>
    <x v="2"/>
    <x v="5"/>
    <n v="236"/>
    <n v="104"/>
    <n v="49"/>
    <n v="60"/>
    <n v="23"/>
    <n v="178"/>
    <n v="62"/>
    <n v="149200"/>
  </r>
  <r>
    <x v="2"/>
    <x v="6"/>
    <n v="344"/>
    <n v="214"/>
    <n v="60"/>
    <n v="46"/>
    <n v="24"/>
    <n v="773"/>
    <n v="1"/>
    <n v="148710"/>
  </r>
  <r>
    <x v="2"/>
    <x v="7"/>
    <n v="180"/>
    <n v="87"/>
    <n v="33"/>
    <n v="49"/>
    <n v="11"/>
    <n v="592"/>
    <n v="11"/>
    <n v="121940"/>
  </r>
  <r>
    <x v="2"/>
    <x v="8"/>
    <n v="158"/>
    <n v="67"/>
    <n v="34"/>
    <n v="47"/>
    <n v="10"/>
    <n v="175"/>
    <n v="4"/>
    <n v="108130"/>
  </r>
  <r>
    <x v="2"/>
    <x v="9"/>
    <n v="189"/>
    <n v="76"/>
    <n v="38"/>
    <n v="30"/>
    <n v="45"/>
    <n v="243"/>
    <n v="22"/>
    <n v="104840"/>
  </r>
  <r>
    <x v="2"/>
    <x v="10"/>
    <n v="130"/>
    <n v="84"/>
    <n v="23"/>
    <n v="19"/>
    <n v="4"/>
    <n v="165"/>
    <n v="6"/>
    <n v="94760"/>
  </r>
  <r>
    <x v="2"/>
    <x v="11"/>
    <n v="1038"/>
    <n v="523"/>
    <n v="239"/>
    <n v="182"/>
    <n v="94"/>
    <n v="1786"/>
    <n v="5"/>
    <n v="513210"/>
  </r>
  <r>
    <x v="2"/>
    <x v="12"/>
    <n v="343"/>
    <n v="122"/>
    <n v="96"/>
    <n v="52"/>
    <n v="73"/>
    <n v="428"/>
    <n v="1"/>
    <n v="160130"/>
  </r>
  <r>
    <x v="2"/>
    <x v="13"/>
    <n v="661"/>
    <n v="302"/>
    <n v="156"/>
    <n v="93"/>
    <n v="110"/>
    <n v="944"/>
    <n v="23"/>
    <n v="371410"/>
  </r>
  <r>
    <x v="2"/>
    <x v="14"/>
    <n v="1709"/>
    <n v="962"/>
    <n v="367"/>
    <n v="300"/>
    <n v="80"/>
    <n v="2350"/>
    <n v="9"/>
    <n v="621020"/>
  </r>
  <r>
    <x v="2"/>
    <x v="15"/>
    <n v="360"/>
    <n v="153"/>
    <n v="88"/>
    <n v="72"/>
    <n v="47"/>
    <n v="471"/>
    <n v="181"/>
    <n v="235180"/>
  </r>
  <r>
    <x v="2"/>
    <x v="16"/>
    <n v="189"/>
    <n v="103"/>
    <n v="33"/>
    <n v="42"/>
    <n v="11"/>
    <n v="348"/>
    <m/>
    <n v="78760"/>
  </r>
  <r>
    <x v="2"/>
    <x v="17"/>
    <n v="211"/>
    <n v="70"/>
    <n v="37"/>
    <n v="43"/>
    <n v="61"/>
    <n v="390"/>
    <n v="7"/>
    <n v="90090"/>
  </r>
  <r>
    <x v="2"/>
    <x v="18"/>
    <n v="114"/>
    <n v="39"/>
    <n v="36"/>
    <n v="24"/>
    <n v="15"/>
    <n v="83"/>
    <n v="28"/>
    <n v="95780"/>
  </r>
  <r>
    <x v="2"/>
    <x v="19"/>
    <n v="39"/>
    <n v="17"/>
    <n v="8"/>
    <n v="9"/>
    <n v="5"/>
    <n v="65"/>
    <n v="43"/>
    <n v="26950"/>
  </r>
  <r>
    <x v="2"/>
    <x v="20"/>
    <n v="272"/>
    <n v="162"/>
    <n v="52"/>
    <n v="41"/>
    <n v="17"/>
    <n v="569"/>
    <n v="15"/>
    <n v="135790"/>
  </r>
  <r>
    <x v="2"/>
    <x v="21"/>
    <n v="657"/>
    <n v="307"/>
    <n v="127"/>
    <n v="190"/>
    <n v="33"/>
    <n v="1206"/>
    <m/>
    <n v="339960"/>
  </r>
  <r>
    <x v="2"/>
    <x v="22"/>
    <n v="15"/>
    <n v="7"/>
    <n v="2"/>
    <n v="5"/>
    <n v="1"/>
    <n v="9"/>
    <n v="12"/>
    <n v="22000"/>
  </r>
  <r>
    <x v="2"/>
    <x v="23"/>
    <n v="234"/>
    <n v="116"/>
    <n v="57"/>
    <n v="43"/>
    <n v="18"/>
    <n v="177"/>
    <n v="52"/>
    <n v="151100"/>
  </r>
  <r>
    <x v="2"/>
    <x v="24"/>
    <n v="396"/>
    <n v="223"/>
    <n v="70"/>
    <n v="71"/>
    <n v="32"/>
    <n v="503"/>
    <n v="7"/>
    <n v="176830"/>
  </r>
  <r>
    <x v="2"/>
    <x v="25"/>
    <n v="204"/>
    <n v="100"/>
    <n v="35"/>
    <n v="23"/>
    <n v="46"/>
    <n v="133"/>
    <n v="54"/>
    <n v="115020"/>
  </r>
  <r>
    <x v="2"/>
    <x v="26"/>
    <n v="33"/>
    <n v="13"/>
    <n v="7"/>
    <n v="5"/>
    <n v="8"/>
    <n v="11"/>
    <n v="12"/>
    <n v="23080"/>
  </r>
  <r>
    <x v="2"/>
    <x v="27"/>
    <n v="204"/>
    <n v="105"/>
    <n v="44"/>
    <n v="40"/>
    <n v="15"/>
    <n v="250"/>
    <n v="15"/>
    <n v="112680"/>
  </r>
  <r>
    <x v="2"/>
    <x v="28"/>
    <n v="583"/>
    <n v="278"/>
    <n v="114"/>
    <n v="150"/>
    <n v="41"/>
    <n v="796"/>
    <n v="7"/>
    <n v="318170"/>
  </r>
  <r>
    <x v="2"/>
    <x v="29"/>
    <n v="175"/>
    <n v="86"/>
    <n v="45"/>
    <n v="27"/>
    <n v="17"/>
    <n v="167"/>
    <n v="21"/>
    <n v="94000"/>
  </r>
  <r>
    <x v="2"/>
    <x v="30"/>
    <n v="269"/>
    <n v="158"/>
    <n v="47"/>
    <n v="53"/>
    <n v="11"/>
    <n v="241"/>
    <n v="4"/>
    <n v="89610"/>
  </r>
  <r>
    <x v="2"/>
    <x v="31"/>
    <n v="422"/>
    <n v="169"/>
    <n v="74"/>
    <n v="77"/>
    <n v="102"/>
    <n v="718"/>
    <n v="5"/>
    <n v="181310"/>
  </r>
</pivotCacheRecords>
</file>

<file path=xl/pivotCache/pivotCacheRecords5.xml><?xml version="1.0" encoding="utf-8"?>
<pivotCacheRecords xmlns="http://schemas.openxmlformats.org/spreadsheetml/2006/main" xmlns:r="http://schemas.openxmlformats.org/officeDocument/2006/relationships" count="256">
  <r>
    <x v="0"/>
    <x v="0"/>
    <x v="0"/>
    <n v="65"/>
    <n v="54"/>
    <n v="9"/>
    <m/>
    <n v="2"/>
  </r>
  <r>
    <x v="0"/>
    <x v="0"/>
    <x v="1"/>
    <n v="37"/>
    <n v="19"/>
    <n v="6"/>
    <n v="9"/>
    <n v="3"/>
  </r>
  <r>
    <x v="0"/>
    <x v="0"/>
    <x v="2"/>
    <n v="24"/>
    <n v="23"/>
    <m/>
    <n v="1"/>
    <m/>
  </r>
  <r>
    <x v="0"/>
    <x v="0"/>
    <x v="3"/>
    <n v="9"/>
    <n v="3"/>
    <n v="4"/>
    <n v="1"/>
    <n v="1"/>
  </r>
  <r>
    <x v="0"/>
    <x v="0"/>
    <x v="4"/>
    <n v="9"/>
    <n v="7"/>
    <m/>
    <m/>
    <n v="2"/>
  </r>
  <r>
    <x v="0"/>
    <x v="0"/>
    <x v="5"/>
    <n v="13"/>
    <n v="6"/>
    <n v="2"/>
    <n v="4"/>
    <n v="1"/>
  </r>
  <r>
    <x v="0"/>
    <x v="0"/>
    <x v="6"/>
    <n v="50"/>
    <n v="45"/>
    <n v="4"/>
    <m/>
    <n v="1"/>
  </r>
  <r>
    <x v="0"/>
    <x v="0"/>
    <x v="7"/>
    <n v="33"/>
    <n v="23"/>
    <n v="4"/>
    <n v="5"/>
    <n v="1"/>
  </r>
  <r>
    <x v="0"/>
    <x v="0"/>
    <x v="8"/>
    <n v="13"/>
    <n v="11"/>
    <n v="2"/>
    <m/>
    <m/>
  </r>
  <r>
    <x v="0"/>
    <x v="0"/>
    <x v="9"/>
    <n v="9"/>
    <n v="7"/>
    <n v="1"/>
    <n v="1"/>
    <m/>
  </r>
  <r>
    <x v="0"/>
    <x v="0"/>
    <x v="10"/>
    <n v="9"/>
    <n v="8"/>
    <n v="1"/>
    <m/>
    <m/>
  </r>
  <r>
    <x v="0"/>
    <x v="0"/>
    <x v="11"/>
    <n v="106"/>
    <n v="97"/>
    <n v="8"/>
    <m/>
    <n v="1"/>
  </r>
  <r>
    <x v="0"/>
    <x v="0"/>
    <x v="12"/>
    <n v="33"/>
    <n v="24"/>
    <n v="2"/>
    <n v="4"/>
    <n v="3"/>
  </r>
  <r>
    <x v="0"/>
    <x v="0"/>
    <x v="13"/>
    <n v="25"/>
    <n v="20"/>
    <n v="2"/>
    <n v="1"/>
    <n v="2"/>
  </r>
  <r>
    <x v="0"/>
    <x v="0"/>
    <x v="14"/>
    <n v="159"/>
    <n v="142"/>
    <n v="10"/>
    <n v="4"/>
    <n v="3"/>
  </r>
  <r>
    <x v="0"/>
    <x v="0"/>
    <x v="15"/>
    <n v="46"/>
    <n v="26"/>
    <n v="6"/>
    <n v="12"/>
    <n v="2"/>
  </r>
  <r>
    <x v="0"/>
    <x v="0"/>
    <x v="16"/>
    <n v="31"/>
    <n v="27"/>
    <n v="3"/>
    <m/>
    <n v="1"/>
  </r>
  <r>
    <x v="0"/>
    <x v="0"/>
    <x v="17"/>
    <n v="10"/>
    <n v="9"/>
    <m/>
    <n v="1"/>
    <m/>
  </r>
  <r>
    <x v="0"/>
    <x v="0"/>
    <x v="18"/>
    <n v="14"/>
    <n v="9"/>
    <n v="2"/>
    <n v="2"/>
    <n v="1"/>
  </r>
  <r>
    <x v="0"/>
    <x v="0"/>
    <x v="19"/>
    <n v="7"/>
    <n v="6"/>
    <m/>
    <m/>
    <n v="1"/>
  </r>
  <r>
    <x v="0"/>
    <x v="0"/>
    <x v="20"/>
    <n v="36"/>
    <n v="31"/>
    <n v="5"/>
    <m/>
    <m/>
  </r>
  <r>
    <x v="0"/>
    <x v="0"/>
    <x v="21"/>
    <n v="59"/>
    <n v="51"/>
    <n v="7"/>
    <n v="1"/>
    <m/>
  </r>
  <r>
    <x v="0"/>
    <x v="0"/>
    <x v="22"/>
    <n v="1"/>
    <n v="1"/>
    <m/>
    <m/>
    <m/>
  </r>
  <r>
    <x v="0"/>
    <x v="0"/>
    <x v="23"/>
    <n v="21"/>
    <n v="12"/>
    <n v="2"/>
    <n v="6"/>
    <n v="1"/>
  </r>
  <r>
    <x v="0"/>
    <x v="0"/>
    <x v="24"/>
    <n v="26"/>
    <n v="25"/>
    <n v="1"/>
    <m/>
    <m/>
  </r>
  <r>
    <x v="0"/>
    <x v="0"/>
    <x v="25"/>
    <n v="17"/>
    <n v="14"/>
    <n v="3"/>
    <m/>
    <m/>
  </r>
  <r>
    <x v="0"/>
    <x v="0"/>
    <x v="26"/>
    <n v="1"/>
    <n v="1"/>
    <m/>
    <m/>
    <m/>
  </r>
  <r>
    <x v="0"/>
    <x v="0"/>
    <x v="27"/>
    <n v="22"/>
    <n v="18"/>
    <n v="3"/>
    <n v="1"/>
    <m/>
  </r>
  <r>
    <x v="0"/>
    <x v="0"/>
    <x v="28"/>
    <n v="55"/>
    <n v="47"/>
    <n v="5"/>
    <n v="2"/>
    <n v="1"/>
  </r>
  <r>
    <x v="0"/>
    <x v="0"/>
    <x v="29"/>
    <n v="15"/>
    <n v="8"/>
    <n v="5"/>
    <n v="1"/>
    <n v="1"/>
  </r>
  <r>
    <x v="0"/>
    <x v="0"/>
    <x v="30"/>
    <n v="27"/>
    <n v="27"/>
    <m/>
    <m/>
    <m/>
  </r>
  <r>
    <x v="0"/>
    <x v="0"/>
    <x v="31"/>
    <n v="31"/>
    <n v="24"/>
    <n v="6"/>
    <m/>
    <n v="1"/>
  </r>
  <r>
    <x v="0"/>
    <x v="1"/>
    <x v="0"/>
    <n v="34"/>
    <n v="31"/>
    <n v="1"/>
    <n v="2"/>
    <m/>
  </r>
  <r>
    <x v="0"/>
    <x v="1"/>
    <x v="1"/>
    <n v="27"/>
    <n v="20"/>
    <n v="3"/>
    <n v="3"/>
    <n v="1"/>
  </r>
  <r>
    <x v="0"/>
    <x v="1"/>
    <x v="2"/>
    <n v="15"/>
    <n v="12"/>
    <n v="1"/>
    <m/>
    <n v="2"/>
  </r>
  <r>
    <x v="0"/>
    <x v="1"/>
    <x v="3"/>
    <n v="13"/>
    <n v="12"/>
    <n v="1"/>
    <m/>
    <m/>
  </r>
  <r>
    <x v="0"/>
    <x v="1"/>
    <x v="4"/>
    <n v="18"/>
    <n v="16"/>
    <n v="1"/>
    <n v="1"/>
    <m/>
  </r>
  <r>
    <x v="0"/>
    <x v="1"/>
    <x v="5"/>
    <n v="8"/>
    <n v="7"/>
    <m/>
    <n v="1"/>
    <m/>
  </r>
  <r>
    <x v="0"/>
    <x v="1"/>
    <x v="6"/>
    <n v="42"/>
    <n v="38"/>
    <n v="1"/>
    <n v="2"/>
    <n v="1"/>
  </r>
  <r>
    <x v="0"/>
    <x v="1"/>
    <x v="7"/>
    <n v="24"/>
    <n v="21"/>
    <n v="3"/>
    <m/>
    <m/>
  </r>
  <r>
    <x v="0"/>
    <x v="1"/>
    <x v="8"/>
    <n v="20"/>
    <n v="20"/>
    <m/>
    <m/>
    <m/>
  </r>
  <r>
    <x v="0"/>
    <x v="1"/>
    <x v="9"/>
    <n v="8"/>
    <n v="8"/>
    <m/>
    <m/>
    <m/>
  </r>
  <r>
    <x v="0"/>
    <x v="1"/>
    <x v="10"/>
    <n v="5"/>
    <n v="5"/>
    <m/>
    <m/>
    <m/>
  </r>
  <r>
    <x v="0"/>
    <x v="1"/>
    <x v="11"/>
    <n v="121"/>
    <n v="109"/>
    <n v="8"/>
    <m/>
    <n v="4"/>
  </r>
  <r>
    <x v="0"/>
    <x v="1"/>
    <x v="12"/>
    <n v="23"/>
    <n v="22"/>
    <m/>
    <m/>
    <n v="1"/>
  </r>
  <r>
    <x v="0"/>
    <x v="1"/>
    <x v="13"/>
    <n v="60"/>
    <n v="53"/>
    <n v="1"/>
    <n v="3"/>
    <n v="3"/>
  </r>
  <r>
    <x v="0"/>
    <x v="1"/>
    <x v="14"/>
    <n v="139"/>
    <n v="131"/>
    <n v="6"/>
    <m/>
    <n v="2"/>
  </r>
  <r>
    <x v="0"/>
    <x v="1"/>
    <x v="15"/>
    <n v="42"/>
    <n v="25"/>
    <n v="3"/>
    <n v="9"/>
    <n v="5"/>
  </r>
  <r>
    <x v="0"/>
    <x v="1"/>
    <x v="16"/>
    <n v="28"/>
    <n v="26"/>
    <n v="1"/>
    <n v="1"/>
    <m/>
  </r>
  <r>
    <x v="0"/>
    <x v="1"/>
    <x v="17"/>
    <n v="11"/>
    <n v="9"/>
    <n v="1"/>
    <m/>
    <n v="1"/>
  </r>
  <r>
    <x v="0"/>
    <x v="1"/>
    <x v="18"/>
    <n v="15"/>
    <n v="13"/>
    <n v="1"/>
    <n v="1"/>
    <m/>
  </r>
  <r>
    <x v="0"/>
    <x v="1"/>
    <x v="19"/>
    <n v="3"/>
    <n v="3"/>
    <m/>
    <m/>
    <m/>
  </r>
  <r>
    <x v="0"/>
    <x v="1"/>
    <x v="20"/>
    <n v="20"/>
    <n v="18"/>
    <n v="2"/>
    <m/>
    <m/>
  </r>
  <r>
    <x v="0"/>
    <x v="1"/>
    <x v="21"/>
    <n v="61"/>
    <n v="53"/>
    <n v="2"/>
    <n v="5"/>
    <n v="1"/>
  </r>
  <r>
    <x v="0"/>
    <x v="1"/>
    <x v="22"/>
    <n v="2"/>
    <m/>
    <n v="2"/>
    <m/>
    <m/>
  </r>
  <r>
    <x v="0"/>
    <x v="1"/>
    <x v="23"/>
    <n v="22"/>
    <n v="19"/>
    <n v="1"/>
    <n v="1"/>
    <n v="1"/>
  </r>
  <r>
    <x v="0"/>
    <x v="1"/>
    <x v="24"/>
    <n v="29"/>
    <n v="24"/>
    <n v="3"/>
    <n v="2"/>
    <m/>
  </r>
  <r>
    <x v="0"/>
    <x v="1"/>
    <x v="25"/>
    <n v="26"/>
    <n v="25"/>
    <n v="1"/>
    <m/>
    <m/>
  </r>
  <r>
    <x v="0"/>
    <x v="1"/>
    <x v="26"/>
    <n v="3"/>
    <m/>
    <n v="3"/>
    <m/>
    <m/>
  </r>
  <r>
    <x v="0"/>
    <x v="1"/>
    <x v="27"/>
    <n v="24"/>
    <n v="18"/>
    <n v="3"/>
    <n v="3"/>
    <m/>
  </r>
  <r>
    <x v="0"/>
    <x v="1"/>
    <x v="28"/>
    <n v="35"/>
    <n v="26"/>
    <n v="1"/>
    <n v="5"/>
    <n v="3"/>
  </r>
  <r>
    <x v="0"/>
    <x v="1"/>
    <x v="29"/>
    <n v="13"/>
    <n v="9"/>
    <n v="2"/>
    <n v="1"/>
    <n v="1"/>
  </r>
  <r>
    <x v="0"/>
    <x v="1"/>
    <x v="30"/>
    <n v="13"/>
    <n v="12"/>
    <n v="1"/>
    <m/>
    <m/>
  </r>
  <r>
    <x v="0"/>
    <x v="1"/>
    <x v="31"/>
    <n v="32"/>
    <n v="29"/>
    <n v="3"/>
    <m/>
    <m/>
  </r>
  <r>
    <x v="0"/>
    <x v="2"/>
    <x v="0"/>
    <n v="28"/>
    <n v="26"/>
    <n v="1"/>
    <m/>
    <n v="1"/>
  </r>
  <r>
    <x v="0"/>
    <x v="2"/>
    <x v="1"/>
    <n v="41"/>
    <n v="28"/>
    <n v="4"/>
    <n v="4"/>
    <n v="5"/>
  </r>
  <r>
    <x v="0"/>
    <x v="2"/>
    <x v="2"/>
    <n v="19"/>
    <n v="16"/>
    <n v="2"/>
    <n v="1"/>
    <m/>
  </r>
  <r>
    <x v="0"/>
    <x v="2"/>
    <x v="3"/>
    <n v="13"/>
    <n v="13"/>
    <m/>
    <m/>
    <m/>
  </r>
  <r>
    <x v="0"/>
    <x v="2"/>
    <x v="4"/>
    <n v="5"/>
    <n v="5"/>
    <m/>
    <m/>
    <m/>
  </r>
  <r>
    <x v="0"/>
    <x v="2"/>
    <x v="5"/>
    <n v="6"/>
    <n v="4"/>
    <n v="2"/>
    <m/>
    <m/>
  </r>
  <r>
    <x v="0"/>
    <x v="2"/>
    <x v="6"/>
    <n v="33"/>
    <n v="29"/>
    <n v="2"/>
    <n v="1"/>
    <n v="1"/>
  </r>
  <r>
    <x v="0"/>
    <x v="2"/>
    <x v="7"/>
    <n v="25"/>
    <n v="22"/>
    <n v="1"/>
    <n v="2"/>
    <m/>
  </r>
  <r>
    <x v="0"/>
    <x v="2"/>
    <x v="8"/>
    <n v="13"/>
    <n v="9"/>
    <n v="4"/>
    <m/>
    <m/>
  </r>
  <r>
    <x v="0"/>
    <x v="2"/>
    <x v="9"/>
    <n v="12"/>
    <n v="7"/>
    <n v="1"/>
    <n v="4"/>
    <m/>
  </r>
  <r>
    <x v="0"/>
    <x v="2"/>
    <x v="10"/>
    <n v="9"/>
    <n v="9"/>
    <m/>
    <m/>
    <m/>
  </r>
  <r>
    <x v="0"/>
    <x v="2"/>
    <x v="11"/>
    <n v="86"/>
    <n v="75"/>
    <n v="10"/>
    <n v="1"/>
    <m/>
  </r>
  <r>
    <x v="0"/>
    <x v="2"/>
    <x v="12"/>
    <n v="24"/>
    <n v="16"/>
    <n v="7"/>
    <m/>
    <n v="1"/>
  </r>
  <r>
    <x v="0"/>
    <x v="2"/>
    <x v="13"/>
    <n v="35"/>
    <n v="29"/>
    <n v="3"/>
    <n v="2"/>
    <n v="1"/>
  </r>
  <r>
    <x v="0"/>
    <x v="2"/>
    <x v="14"/>
    <n v="153"/>
    <n v="137"/>
    <n v="12"/>
    <n v="2"/>
    <n v="2"/>
  </r>
  <r>
    <x v="0"/>
    <x v="2"/>
    <x v="15"/>
    <n v="28"/>
    <n v="21"/>
    <n v="1"/>
    <n v="4"/>
    <n v="2"/>
  </r>
  <r>
    <x v="0"/>
    <x v="2"/>
    <x v="16"/>
    <n v="10"/>
    <n v="9"/>
    <m/>
    <m/>
    <n v="1"/>
  </r>
  <r>
    <x v="0"/>
    <x v="2"/>
    <x v="17"/>
    <n v="15"/>
    <n v="15"/>
    <m/>
    <m/>
    <m/>
  </r>
  <r>
    <x v="0"/>
    <x v="2"/>
    <x v="18"/>
    <n v="18"/>
    <n v="13"/>
    <n v="3"/>
    <n v="2"/>
    <m/>
  </r>
  <r>
    <x v="0"/>
    <x v="2"/>
    <x v="19"/>
    <n v="2"/>
    <n v="2"/>
    <m/>
    <m/>
    <m/>
  </r>
  <r>
    <x v="0"/>
    <x v="2"/>
    <x v="20"/>
    <n v="14"/>
    <n v="12"/>
    <n v="2"/>
    <m/>
    <m/>
  </r>
  <r>
    <x v="0"/>
    <x v="2"/>
    <x v="21"/>
    <n v="67"/>
    <n v="56"/>
    <n v="9"/>
    <n v="2"/>
    <m/>
  </r>
  <r>
    <x v="0"/>
    <x v="2"/>
    <x v="22"/>
    <n v="1"/>
    <m/>
    <m/>
    <n v="1"/>
    <m/>
  </r>
  <r>
    <x v="0"/>
    <x v="2"/>
    <x v="23"/>
    <n v="18"/>
    <n v="16"/>
    <n v="2"/>
    <m/>
    <m/>
  </r>
  <r>
    <x v="0"/>
    <x v="2"/>
    <x v="24"/>
    <n v="35"/>
    <n v="30"/>
    <n v="1"/>
    <n v="4"/>
    <m/>
  </r>
  <r>
    <x v="0"/>
    <x v="2"/>
    <x v="25"/>
    <n v="16"/>
    <n v="15"/>
    <m/>
    <m/>
    <n v="1"/>
  </r>
  <r>
    <x v="0"/>
    <x v="2"/>
    <x v="26"/>
    <n v="6"/>
    <n v="5"/>
    <n v="1"/>
    <m/>
    <m/>
  </r>
  <r>
    <x v="0"/>
    <x v="2"/>
    <x v="27"/>
    <n v="18"/>
    <n v="14"/>
    <n v="2"/>
    <n v="2"/>
    <m/>
  </r>
  <r>
    <x v="0"/>
    <x v="2"/>
    <x v="28"/>
    <n v="51"/>
    <n v="44"/>
    <n v="5"/>
    <m/>
    <n v="2"/>
  </r>
  <r>
    <x v="0"/>
    <x v="2"/>
    <x v="29"/>
    <n v="19"/>
    <n v="11"/>
    <n v="6"/>
    <n v="2"/>
    <m/>
  </r>
  <r>
    <x v="0"/>
    <x v="2"/>
    <x v="30"/>
    <n v="20"/>
    <n v="18"/>
    <n v="1"/>
    <m/>
    <n v="1"/>
  </r>
  <r>
    <x v="0"/>
    <x v="2"/>
    <x v="31"/>
    <n v="39"/>
    <n v="31"/>
    <n v="6"/>
    <n v="1"/>
    <n v="1"/>
  </r>
  <r>
    <x v="1"/>
    <x v="0"/>
    <x v="0"/>
    <n v="1"/>
    <n v="1"/>
    <m/>
    <m/>
    <m/>
  </r>
  <r>
    <x v="1"/>
    <x v="0"/>
    <x v="1"/>
    <n v="2"/>
    <n v="2"/>
    <m/>
    <m/>
    <m/>
  </r>
  <r>
    <x v="1"/>
    <x v="0"/>
    <x v="2"/>
    <n v="1"/>
    <m/>
    <n v="1"/>
    <m/>
    <m/>
  </r>
  <r>
    <x v="1"/>
    <x v="0"/>
    <x v="3"/>
    <n v="1"/>
    <m/>
    <n v="1"/>
    <m/>
    <m/>
  </r>
  <r>
    <x v="1"/>
    <x v="0"/>
    <x v="5"/>
    <n v="3"/>
    <n v="2"/>
    <m/>
    <n v="1"/>
    <m/>
  </r>
  <r>
    <x v="1"/>
    <x v="0"/>
    <x v="6"/>
    <n v="2"/>
    <n v="2"/>
    <m/>
    <m/>
    <m/>
  </r>
  <r>
    <x v="1"/>
    <x v="0"/>
    <x v="9"/>
    <n v="1"/>
    <n v="1"/>
    <m/>
    <m/>
    <m/>
  </r>
  <r>
    <x v="1"/>
    <x v="0"/>
    <x v="10"/>
    <n v="2"/>
    <n v="1"/>
    <n v="1"/>
    <m/>
    <m/>
  </r>
  <r>
    <x v="1"/>
    <x v="0"/>
    <x v="11"/>
    <n v="4"/>
    <n v="4"/>
    <m/>
    <m/>
    <m/>
  </r>
  <r>
    <x v="1"/>
    <x v="0"/>
    <x v="12"/>
    <n v="2"/>
    <n v="2"/>
    <m/>
    <m/>
    <m/>
  </r>
  <r>
    <x v="1"/>
    <x v="0"/>
    <x v="13"/>
    <n v="1"/>
    <n v="1"/>
    <m/>
    <m/>
    <m/>
  </r>
  <r>
    <x v="1"/>
    <x v="0"/>
    <x v="14"/>
    <n v="4"/>
    <n v="4"/>
    <m/>
    <m/>
    <m/>
  </r>
  <r>
    <x v="1"/>
    <x v="0"/>
    <x v="15"/>
    <n v="6"/>
    <n v="5"/>
    <m/>
    <n v="1"/>
    <m/>
  </r>
  <r>
    <x v="1"/>
    <x v="0"/>
    <x v="16"/>
    <n v="1"/>
    <n v="1"/>
    <m/>
    <m/>
    <m/>
  </r>
  <r>
    <x v="1"/>
    <x v="0"/>
    <x v="20"/>
    <n v="1"/>
    <n v="1"/>
    <m/>
    <m/>
    <m/>
  </r>
  <r>
    <x v="1"/>
    <x v="0"/>
    <x v="21"/>
    <n v="4"/>
    <n v="4"/>
    <m/>
    <m/>
    <m/>
  </r>
  <r>
    <x v="1"/>
    <x v="0"/>
    <x v="25"/>
    <n v="1"/>
    <n v="1"/>
    <m/>
    <m/>
    <m/>
  </r>
  <r>
    <x v="1"/>
    <x v="0"/>
    <x v="26"/>
    <n v="1"/>
    <n v="1"/>
    <m/>
    <m/>
    <m/>
  </r>
  <r>
    <x v="1"/>
    <x v="0"/>
    <x v="27"/>
    <n v="1"/>
    <m/>
    <m/>
    <n v="1"/>
    <m/>
  </r>
  <r>
    <x v="1"/>
    <x v="0"/>
    <x v="28"/>
    <n v="4"/>
    <n v="4"/>
    <m/>
    <m/>
    <m/>
  </r>
  <r>
    <x v="1"/>
    <x v="0"/>
    <x v="29"/>
    <n v="1"/>
    <n v="1"/>
    <m/>
    <m/>
    <m/>
  </r>
  <r>
    <x v="1"/>
    <x v="0"/>
    <x v="31"/>
    <n v="1"/>
    <n v="1"/>
    <m/>
    <m/>
    <m/>
  </r>
  <r>
    <x v="1"/>
    <x v="1"/>
    <x v="0"/>
    <n v="2"/>
    <n v="2"/>
    <m/>
    <m/>
    <m/>
  </r>
  <r>
    <x v="1"/>
    <x v="1"/>
    <x v="1"/>
    <n v="2"/>
    <n v="2"/>
    <m/>
    <m/>
    <m/>
  </r>
  <r>
    <x v="1"/>
    <x v="1"/>
    <x v="5"/>
    <n v="1"/>
    <n v="1"/>
    <m/>
    <m/>
    <m/>
  </r>
  <r>
    <x v="1"/>
    <x v="1"/>
    <x v="6"/>
    <n v="1"/>
    <m/>
    <m/>
    <n v="1"/>
    <m/>
  </r>
  <r>
    <x v="1"/>
    <x v="1"/>
    <x v="7"/>
    <n v="3"/>
    <n v="2"/>
    <n v="1"/>
    <m/>
    <m/>
  </r>
  <r>
    <x v="1"/>
    <x v="1"/>
    <x v="8"/>
    <n v="2"/>
    <n v="2"/>
    <m/>
    <m/>
    <m/>
  </r>
  <r>
    <x v="1"/>
    <x v="1"/>
    <x v="11"/>
    <n v="3"/>
    <n v="3"/>
    <m/>
    <m/>
    <m/>
  </r>
  <r>
    <x v="1"/>
    <x v="1"/>
    <x v="12"/>
    <n v="2"/>
    <n v="2"/>
    <m/>
    <m/>
    <m/>
  </r>
  <r>
    <x v="1"/>
    <x v="1"/>
    <x v="13"/>
    <n v="4"/>
    <n v="4"/>
    <m/>
    <m/>
    <m/>
  </r>
  <r>
    <x v="1"/>
    <x v="1"/>
    <x v="14"/>
    <n v="8"/>
    <n v="6"/>
    <n v="2"/>
    <m/>
    <m/>
  </r>
  <r>
    <x v="1"/>
    <x v="1"/>
    <x v="15"/>
    <n v="3"/>
    <n v="2"/>
    <m/>
    <n v="1"/>
    <m/>
  </r>
  <r>
    <x v="1"/>
    <x v="1"/>
    <x v="16"/>
    <n v="1"/>
    <n v="1"/>
    <m/>
    <m/>
    <m/>
  </r>
  <r>
    <x v="1"/>
    <x v="1"/>
    <x v="17"/>
    <n v="1"/>
    <m/>
    <m/>
    <n v="1"/>
    <m/>
  </r>
  <r>
    <x v="1"/>
    <x v="1"/>
    <x v="18"/>
    <n v="1"/>
    <n v="1"/>
    <m/>
    <m/>
    <m/>
  </r>
  <r>
    <x v="1"/>
    <x v="1"/>
    <x v="19"/>
    <n v="3"/>
    <n v="3"/>
    <m/>
    <m/>
    <m/>
  </r>
  <r>
    <x v="1"/>
    <x v="1"/>
    <x v="20"/>
    <n v="1"/>
    <m/>
    <m/>
    <n v="1"/>
    <m/>
  </r>
  <r>
    <x v="1"/>
    <x v="1"/>
    <x v="21"/>
    <n v="1"/>
    <n v="1"/>
    <m/>
    <m/>
    <m/>
  </r>
  <r>
    <x v="1"/>
    <x v="1"/>
    <x v="23"/>
    <n v="1"/>
    <n v="1"/>
    <m/>
    <m/>
    <m/>
  </r>
  <r>
    <x v="1"/>
    <x v="1"/>
    <x v="24"/>
    <n v="1"/>
    <n v="1"/>
    <m/>
    <m/>
    <m/>
  </r>
  <r>
    <x v="1"/>
    <x v="1"/>
    <x v="25"/>
    <n v="1"/>
    <n v="1"/>
    <m/>
    <m/>
    <m/>
  </r>
  <r>
    <x v="1"/>
    <x v="1"/>
    <x v="28"/>
    <n v="1"/>
    <m/>
    <m/>
    <n v="1"/>
    <m/>
  </r>
  <r>
    <x v="1"/>
    <x v="1"/>
    <x v="29"/>
    <n v="1"/>
    <n v="1"/>
    <m/>
    <m/>
    <m/>
  </r>
  <r>
    <x v="1"/>
    <x v="2"/>
    <x v="0"/>
    <n v="3"/>
    <n v="3"/>
    <m/>
    <m/>
    <m/>
  </r>
  <r>
    <x v="1"/>
    <x v="2"/>
    <x v="1"/>
    <n v="1"/>
    <n v="1"/>
    <m/>
    <m/>
    <m/>
  </r>
  <r>
    <x v="1"/>
    <x v="2"/>
    <x v="3"/>
    <n v="1"/>
    <n v="1"/>
    <m/>
    <m/>
    <m/>
  </r>
  <r>
    <x v="1"/>
    <x v="2"/>
    <x v="5"/>
    <n v="5"/>
    <n v="3"/>
    <m/>
    <n v="2"/>
    <m/>
  </r>
  <r>
    <x v="1"/>
    <x v="2"/>
    <x v="7"/>
    <n v="1"/>
    <n v="1"/>
    <m/>
    <m/>
    <m/>
  </r>
  <r>
    <x v="1"/>
    <x v="2"/>
    <x v="9"/>
    <n v="2"/>
    <n v="2"/>
    <m/>
    <m/>
    <m/>
  </r>
  <r>
    <x v="1"/>
    <x v="2"/>
    <x v="11"/>
    <n v="1"/>
    <n v="1"/>
    <m/>
    <m/>
    <m/>
  </r>
  <r>
    <x v="1"/>
    <x v="2"/>
    <x v="12"/>
    <n v="2"/>
    <n v="2"/>
    <m/>
    <m/>
    <m/>
  </r>
  <r>
    <x v="1"/>
    <x v="2"/>
    <x v="13"/>
    <n v="2"/>
    <n v="2"/>
    <m/>
    <m/>
    <m/>
  </r>
  <r>
    <x v="1"/>
    <x v="2"/>
    <x v="14"/>
    <n v="5"/>
    <n v="5"/>
    <m/>
    <m/>
    <m/>
  </r>
  <r>
    <x v="1"/>
    <x v="2"/>
    <x v="15"/>
    <n v="2"/>
    <n v="2"/>
    <m/>
    <m/>
    <m/>
  </r>
  <r>
    <x v="1"/>
    <x v="2"/>
    <x v="18"/>
    <n v="1"/>
    <m/>
    <m/>
    <m/>
    <n v="1"/>
  </r>
  <r>
    <x v="1"/>
    <x v="2"/>
    <x v="19"/>
    <n v="1"/>
    <n v="1"/>
    <m/>
    <m/>
    <m/>
  </r>
  <r>
    <x v="1"/>
    <x v="2"/>
    <x v="21"/>
    <n v="2"/>
    <n v="1"/>
    <n v="1"/>
    <m/>
    <m/>
  </r>
  <r>
    <x v="1"/>
    <x v="2"/>
    <x v="24"/>
    <n v="1"/>
    <n v="1"/>
    <m/>
    <m/>
    <m/>
  </r>
  <r>
    <x v="1"/>
    <x v="2"/>
    <x v="25"/>
    <n v="1"/>
    <n v="1"/>
    <m/>
    <m/>
    <m/>
  </r>
  <r>
    <x v="1"/>
    <x v="2"/>
    <x v="27"/>
    <n v="4"/>
    <n v="3"/>
    <m/>
    <n v="1"/>
    <m/>
  </r>
  <r>
    <x v="1"/>
    <x v="2"/>
    <x v="28"/>
    <n v="4"/>
    <n v="4"/>
    <m/>
    <m/>
    <m/>
  </r>
  <r>
    <x v="1"/>
    <x v="2"/>
    <x v="29"/>
    <n v="2"/>
    <n v="2"/>
    <m/>
    <m/>
    <m/>
  </r>
  <r>
    <x v="1"/>
    <x v="2"/>
    <x v="30"/>
    <n v="3"/>
    <n v="1"/>
    <n v="2"/>
    <m/>
    <m/>
  </r>
  <r>
    <x v="2"/>
    <x v="0"/>
    <x v="0"/>
    <n v="71"/>
    <n v="60"/>
    <n v="9"/>
    <m/>
    <n v="2"/>
  </r>
  <r>
    <x v="2"/>
    <x v="0"/>
    <x v="1"/>
    <n v="40"/>
    <n v="20"/>
    <n v="7"/>
    <n v="10"/>
    <n v="3"/>
  </r>
  <r>
    <x v="2"/>
    <x v="0"/>
    <x v="2"/>
    <n v="38"/>
    <n v="35"/>
    <m/>
    <n v="1"/>
    <n v="2"/>
  </r>
  <r>
    <x v="2"/>
    <x v="0"/>
    <x v="3"/>
    <n v="16"/>
    <n v="7"/>
    <n v="5"/>
    <n v="1"/>
    <n v="3"/>
  </r>
  <r>
    <x v="2"/>
    <x v="0"/>
    <x v="4"/>
    <n v="13"/>
    <n v="11"/>
    <m/>
    <m/>
    <n v="2"/>
  </r>
  <r>
    <x v="2"/>
    <x v="0"/>
    <x v="5"/>
    <n v="13"/>
    <n v="6"/>
    <n v="2"/>
    <n v="4"/>
    <n v="1"/>
  </r>
  <r>
    <x v="2"/>
    <x v="0"/>
    <x v="6"/>
    <n v="77"/>
    <n v="71"/>
    <n v="4"/>
    <m/>
    <n v="2"/>
  </r>
  <r>
    <x v="2"/>
    <x v="0"/>
    <x v="7"/>
    <n v="41"/>
    <n v="30"/>
    <n v="4"/>
    <n v="6"/>
    <n v="1"/>
  </r>
  <r>
    <x v="2"/>
    <x v="0"/>
    <x v="8"/>
    <n v="14"/>
    <n v="12"/>
    <n v="2"/>
    <m/>
    <m/>
  </r>
  <r>
    <x v="2"/>
    <x v="0"/>
    <x v="9"/>
    <n v="9"/>
    <n v="7"/>
    <n v="1"/>
    <n v="1"/>
    <m/>
  </r>
  <r>
    <x v="2"/>
    <x v="0"/>
    <x v="10"/>
    <n v="13"/>
    <n v="12"/>
    <n v="1"/>
    <m/>
    <m/>
  </r>
  <r>
    <x v="2"/>
    <x v="0"/>
    <x v="11"/>
    <n v="116"/>
    <n v="106"/>
    <n v="9"/>
    <m/>
    <n v="1"/>
  </r>
  <r>
    <x v="2"/>
    <x v="0"/>
    <x v="12"/>
    <n v="34"/>
    <n v="25"/>
    <n v="2"/>
    <n v="4"/>
    <n v="3"/>
  </r>
  <r>
    <x v="2"/>
    <x v="0"/>
    <x v="13"/>
    <n v="34"/>
    <n v="28"/>
    <n v="3"/>
    <n v="1"/>
    <n v="2"/>
  </r>
  <r>
    <x v="2"/>
    <x v="0"/>
    <x v="14"/>
    <n v="201"/>
    <n v="182"/>
    <n v="12"/>
    <n v="4"/>
    <n v="3"/>
  </r>
  <r>
    <x v="2"/>
    <x v="0"/>
    <x v="15"/>
    <n v="55"/>
    <n v="35"/>
    <n v="6"/>
    <n v="12"/>
    <n v="2"/>
  </r>
  <r>
    <x v="2"/>
    <x v="0"/>
    <x v="16"/>
    <n v="45"/>
    <n v="41"/>
    <n v="3"/>
    <m/>
    <n v="1"/>
  </r>
  <r>
    <x v="2"/>
    <x v="0"/>
    <x v="17"/>
    <n v="10"/>
    <n v="9"/>
    <m/>
    <n v="1"/>
    <m/>
  </r>
  <r>
    <x v="2"/>
    <x v="0"/>
    <x v="18"/>
    <n v="16"/>
    <n v="11"/>
    <n v="2"/>
    <n v="2"/>
    <n v="1"/>
  </r>
  <r>
    <x v="2"/>
    <x v="0"/>
    <x v="19"/>
    <n v="8"/>
    <n v="7"/>
    <m/>
    <m/>
    <n v="1"/>
  </r>
  <r>
    <x v="2"/>
    <x v="0"/>
    <x v="20"/>
    <n v="48"/>
    <n v="43"/>
    <n v="5"/>
    <m/>
    <m/>
  </r>
  <r>
    <x v="2"/>
    <x v="0"/>
    <x v="21"/>
    <n v="85"/>
    <n v="75"/>
    <n v="8"/>
    <n v="2"/>
    <m/>
  </r>
  <r>
    <x v="2"/>
    <x v="0"/>
    <x v="22"/>
    <n v="2"/>
    <n v="2"/>
    <m/>
    <m/>
    <m/>
  </r>
  <r>
    <x v="2"/>
    <x v="0"/>
    <x v="23"/>
    <n v="33"/>
    <n v="23"/>
    <n v="2"/>
    <n v="6"/>
    <n v="2"/>
  </r>
  <r>
    <x v="2"/>
    <x v="0"/>
    <x v="24"/>
    <n v="39"/>
    <n v="38"/>
    <n v="1"/>
    <m/>
    <m/>
  </r>
  <r>
    <x v="2"/>
    <x v="0"/>
    <x v="25"/>
    <n v="17"/>
    <n v="14"/>
    <n v="3"/>
    <m/>
    <m/>
  </r>
  <r>
    <x v="2"/>
    <x v="0"/>
    <x v="26"/>
    <n v="2"/>
    <n v="2"/>
    <m/>
    <m/>
    <m/>
  </r>
  <r>
    <x v="2"/>
    <x v="0"/>
    <x v="27"/>
    <n v="24"/>
    <n v="20"/>
    <n v="3"/>
    <n v="1"/>
    <m/>
  </r>
  <r>
    <x v="2"/>
    <x v="0"/>
    <x v="28"/>
    <n v="73"/>
    <n v="62"/>
    <n v="7"/>
    <n v="3"/>
    <n v="1"/>
  </r>
  <r>
    <x v="2"/>
    <x v="0"/>
    <x v="29"/>
    <n v="17"/>
    <n v="8"/>
    <n v="7"/>
    <n v="1"/>
    <n v="1"/>
  </r>
  <r>
    <x v="2"/>
    <x v="0"/>
    <x v="30"/>
    <n v="35"/>
    <n v="35"/>
    <m/>
    <m/>
    <m/>
  </r>
  <r>
    <x v="2"/>
    <x v="0"/>
    <x v="31"/>
    <n v="37"/>
    <n v="26"/>
    <n v="9"/>
    <n v="1"/>
    <n v="1"/>
  </r>
  <r>
    <x v="2"/>
    <x v="1"/>
    <x v="0"/>
    <n v="38"/>
    <n v="33"/>
    <n v="2"/>
    <n v="3"/>
    <m/>
  </r>
  <r>
    <x v="2"/>
    <x v="1"/>
    <x v="1"/>
    <n v="27"/>
    <n v="20"/>
    <n v="3"/>
    <n v="3"/>
    <n v="1"/>
  </r>
  <r>
    <x v="2"/>
    <x v="1"/>
    <x v="2"/>
    <n v="21"/>
    <n v="18"/>
    <n v="1"/>
    <m/>
    <n v="2"/>
  </r>
  <r>
    <x v="2"/>
    <x v="1"/>
    <x v="3"/>
    <n v="14"/>
    <n v="13"/>
    <n v="1"/>
    <m/>
    <m/>
  </r>
  <r>
    <x v="2"/>
    <x v="1"/>
    <x v="4"/>
    <n v="22"/>
    <n v="20"/>
    <n v="1"/>
    <n v="1"/>
    <m/>
  </r>
  <r>
    <x v="2"/>
    <x v="1"/>
    <x v="5"/>
    <n v="8"/>
    <n v="7"/>
    <m/>
    <n v="1"/>
    <m/>
  </r>
  <r>
    <x v="2"/>
    <x v="1"/>
    <x v="6"/>
    <n v="59"/>
    <n v="53"/>
    <n v="3"/>
    <n v="2"/>
    <n v="1"/>
  </r>
  <r>
    <x v="2"/>
    <x v="1"/>
    <x v="7"/>
    <n v="33"/>
    <n v="29"/>
    <n v="3"/>
    <n v="1"/>
    <m/>
  </r>
  <r>
    <x v="2"/>
    <x v="1"/>
    <x v="8"/>
    <n v="25"/>
    <n v="23"/>
    <n v="1"/>
    <n v="1"/>
    <m/>
  </r>
  <r>
    <x v="2"/>
    <x v="1"/>
    <x v="9"/>
    <n v="8"/>
    <n v="8"/>
    <m/>
    <m/>
    <m/>
  </r>
  <r>
    <x v="2"/>
    <x v="1"/>
    <x v="10"/>
    <n v="7"/>
    <n v="7"/>
    <m/>
    <m/>
    <m/>
  </r>
  <r>
    <x v="2"/>
    <x v="1"/>
    <x v="11"/>
    <n v="143"/>
    <n v="130"/>
    <n v="9"/>
    <m/>
    <n v="4"/>
  </r>
  <r>
    <x v="2"/>
    <x v="1"/>
    <x v="12"/>
    <n v="32"/>
    <n v="30"/>
    <m/>
    <m/>
    <n v="2"/>
  </r>
  <r>
    <x v="2"/>
    <x v="1"/>
    <x v="13"/>
    <n v="73"/>
    <n v="65"/>
    <n v="2"/>
    <n v="3"/>
    <n v="3"/>
  </r>
  <r>
    <x v="2"/>
    <x v="1"/>
    <x v="14"/>
    <n v="219"/>
    <n v="209"/>
    <n v="7"/>
    <n v="1"/>
    <n v="2"/>
  </r>
  <r>
    <x v="2"/>
    <x v="1"/>
    <x v="15"/>
    <n v="64"/>
    <n v="43"/>
    <n v="5"/>
    <n v="10"/>
    <n v="6"/>
  </r>
  <r>
    <x v="2"/>
    <x v="1"/>
    <x v="16"/>
    <n v="42"/>
    <n v="40"/>
    <n v="1"/>
    <n v="1"/>
    <m/>
  </r>
  <r>
    <x v="2"/>
    <x v="1"/>
    <x v="17"/>
    <n v="16"/>
    <n v="12"/>
    <n v="2"/>
    <m/>
    <n v="2"/>
  </r>
  <r>
    <x v="2"/>
    <x v="1"/>
    <x v="18"/>
    <n v="18"/>
    <n v="16"/>
    <n v="1"/>
    <n v="1"/>
    <m/>
  </r>
  <r>
    <x v="2"/>
    <x v="1"/>
    <x v="19"/>
    <n v="8"/>
    <n v="8"/>
    <m/>
    <m/>
    <m/>
  </r>
  <r>
    <x v="2"/>
    <x v="1"/>
    <x v="20"/>
    <n v="26"/>
    <n v="24"/>
    <n v="2"/>
    <m/>
    <m/>
  </r>
  <r>
    <x v="2"/>
    <x v="1"/>
    <x v="21"/>
    <n v="96"/>
    <n v="85"/>
    <n v="3"/>
    <n v="6"/>
    <n v="2"/>
  </r>
  <r>
    <x v="2"/>
    <x v="1"/>
    <x v="22"/>
    <n v="5"/>
    <n v="3"/>
    <n v="2"/>
    <m/>
    <m/>
  </r>
  <r>
    <x v="2"/>
    <x v="1"/>
    <x v="23"/>
    <n v="32"/>
    <n v="29"/>
    <n v="1"/>
    <n v="1"/>
    <n v="1"/>
  </r>
  <r>
    <x v="2"/>
    <x v="1"/>
    <x v="24"/>
    <n v="37"/>
    <n v="30"/>
    <n v="3"/>
    <n v="4"/>
    <m/>
  </r>
  <r>
    <x v="2"/>
    <x v="1"/>
    <x v="25"/>
    <n v="26"/>
    <n v="25"/>
    <n v="1"/>
    <m/>
    <m/>
  </r>
  <r>
    <x v="2"/>
    <x v="1"/>
    <x v="26"/>
    <n v="4"/>
    <n v="1"/>
    <n v="3"/>
    <m/>
    <m/>
  </r>
  <r>
    <x v="2"/>
    <x v="1"/>
    <x v="27"/>
    <n v="29"/>
    <n v="23"/>
    <n v="3"/>
    <n v="3"/>
    <m/>
  </r>
  <r>
    <x v="2"/>
    <x v="1"/>
    <x v="28"/>
    <n v="58"/>
    <n v="46"/>
    <n v="3"/>
    <n v="5"/>
    <n v="4"/>
  </r>
  <r>
    <x v="2"/>
    <x v="1"/>
    <x v="29"/>
    <n v="18"/>
    <n v="11"/>
    <n v="5"/>
    <n v="1"/>
    <n v="1"/>
  </r>
  <r>
    <x v="2"/>
    <x v="1"/>
    <x v="30"/>
    <n v="21"/>
    <n v="20"/>
    <n v="1"/>
    <m/>
    <m/>
  </r>
  <r>
    <x v="2"/>
    <x v="1"/>
    <x v="31"/>
    <n v="37"/>
    <n v="34"/>
    <n v="3"/>
    <m/>
    <m/>
  </r>
  <r>
    <x v="2"/>
    <x v="2"/>
    <x v="0"/>
    <n v="32"/>
    <n v="29"/>
    <n v="2"/>
    <m/>
    <n v="1"/>
  </r>
  <r>
    <x v="2"/>
    <x v="2"/>
    <x v="1"/>
    <n v="46"/>
    <n v="32"/>
    <n v="4"/>
    <n v="5"/>
    <n v="5"/>
  </r>
  <r>
    <x v="2"/>
    <x v="2"/>
    <x v="2"/>
    <n v="21"/>
    <n v="18"/>
    <n v="2"/>
    <n v="1"/>
    <m/>
  </r>
  <r>
    <x v="2"/>
    <x v="2"/>
    <x v="3"/>
    <n v="20"/>
    <n v="18"/>
    <n v="1"/>
    <m/>
    <n v="1"/>
  </r>
  <r>
    <x v="2"/>
    <x v="2"/>
    <x v="4"/>
    <n v="9"/>
    <n v="8"/>
    <n v="1"/>
    <m/>
    <m/>
  </r>
  <r>
    <x v="2"/>
    <x v="2"/>
    <x v="5"/>
    <n v="6"/>
    <n v="4"/>
    <n v="2"/>
    <m/>
    <m/>
  </r>
  <r>
    <x v="2"/>
    <x v="2"/>
    <x v="6"/>
    <n v="38"/>
    <n v="34"/>
    <n v="2"/>
    <n v="1"/>
    <n v="1"/>
  </r>
  <r>
    <x v="2"/>
    <x v="2"/>
    <x v="7"/>
    <n v="31"/>
    <n v="26"/>
    <n v="3"/>
    <n v="2"/>
    <m/>
  </r>
  <r>
    <x v="2"/>
    <x v="2"/>
    <x v="8"/>
    <n v="17"/>
    <n v="13"/>
    <n v="4"/>
    <m/>
    <m/>
  </r>
  <r>
    <x v="2"/>
    <x v="2"/>
    <x v="9"/>
    <n v="12"/>
    <n v="7"/>
    <n v="1"/>
    <n v="4"/>
    <m/>
  </r>
  <r>
    <x v="2"/>
    <x v="2"/>
    <x v="10"/>
    <n v="9"/>
    <n v="9"/>
    <m/>
    <m/>
    <m/>
  </r>
  <r>
    <x v="2"/>
    <x v="2"/>
    <x v="11"/>
    <n v="91"/>
    <n v="79"/>
    <n v="11"/>
    <n v="1"/>
    <m/>
  </r>
  <r>
    <x v="2"/>
    <x v="2"/>
    <x v="12"/>
    <n v="29"/>
    <n v="20"/>
    <n v="8"/>
    <m/>
    <n v="1"/>
  </r>
  <r>
    <x v="2"/>
    <x v="2"/>
    <x v="13"/>
    <n v="40"/>
    <n v="32"/>
    <n v="5"/>
    <n v="2"/>
    <n v="1"/>
  </r>
  <r>
    <x v="2"/>
    <x v="2"/>
    <x v="14"/>
    <n v="213"/>
    <n v="185"/>
    <n v="16"/>
    <n v="10"/>
    <n v="2"/>
  </r>
  <r>
    <x v="2"/>
    <x v="2"/>
    <x v="15"/>
    <n v="41"/>
    <n v="31"/>
    <n v="2"/>
    <n v="5"/>
    <n v="3"/>
  </r>
  <r>
    <x v="2"/>
    <x v="2"/>
    <x v="16"/>
    <n v="23"/>
    <n v="14"/>
    <n v="8"/>
    <m/>
    <n v="1"/>
  </r>
  <r>
    <x v="2"/>
    <x v="2"/>
    <x v="17"/>
    <n v="15"/>
    <n v="15"/>
    <m/>
    <m/>
    <m/>
  </r>
  <r>
    <x v="2"/>
    <x v="2"/>
    <x v="18"/>
    <n v="21"/>
    <n v="13"/>
    <n v="3"/>
    <n v="3"/>
    <n v="2"/>
  </r>
  <r>
    <x v="2"/>
    <x v="2"/>
    <x v="19"/>
    <n v="2"/>
    <n v="2"/>
    <m/>
    <m/>
    <m/>
  </r>
  <r>
    <x v="2"/>
    <x v="2"/>
    <x v="20"/>
    <n v="20"/>
    <n v="18"/>
    <n v="2"/>
    <m/>
    <m/>
  </r>
  <r>
    <x v="2"/>
    <x v="2"/>
    <x v="21"/>
    <n v="98"/>
    <n v="84"/>
    <n v="10"/>
    <n v="3"/>
    <n v="1"/>
  </r>
  <r>
    <x v="2"/>
    <x v="2"/>
    <x v="22"/>
    <n v="4"/>
    <n v="3"/>
    <m/>
    <n v="1"/>
    <m/>
  </r>
  <r>
    <x v="2"/>
    <x v="2"/>
    <x v="23"/>
    <n v="22"/>
    <n v="20"/>
    <n v="2"/>
    <m/>
    <m/>
  </r>
  <r>
    <x v="2"/>
    <x v="2"/>
    <x v="24"/>
    <n v="42"/>
    <n v="37"/>
    <n v="1"/>
    <n v="4"/>
    <m/>
  </r>
  <r>
    <x v="2"/>
    <x v="2"/>
    <x v="25"/>
    <n v="17"/>
    <n v="16"/>
    <m/>
    <m/>
    <n v="1"/>
  </r>
  <r>
    <x v="2"/>
    <x v="2"/>
    <x v="26"/>
    <n v="6"/>
    <n v="5"/>
    <n v="1"/>
    <m/>
    <m/>
  </r>
  <r>
    <x v="2"/>
    <x v="2"/>
    <x v="27"/>
    <n v="29"/>
    <n v="20"/>
    <n v="4"/>
    <n v="5"/>
    <m/>
  </r>
  <r>
    <x v="2"/>
    <x v="2"/>
    <x v="28"/>
    <n v="69"/>
    <n v="60"/>
    <n v="6"/>
    <n v="1"/>
    <n v="2"/>
  </r>
  <r>
    <x v="2"/>
    <x v="2"/>
    <x v="29"/>
    <n v="24"/>
    <n v="15"/>
    <n v="7"/>
    <n v="2"/>
    <m/>
  </r>
  <r>
    <x v="2"/>
    <x v="2"/>
    <x v="30"/>
    <n v="25"/>
    <n v="22"/>
    <n v="2"/>
    <m/>
    <n v="1"/>
  </r>
  <r>
    <x v="2"/>
    <x v="2"/>
    <x v="31"/>
    <n v="41"/>
    <n v="32"/>
    <n v="7"/>
    <n v="1"/>
    <n v="1"/>
  </r>
</pivotCacheRecords>
</file>

<file path=xl/pivotCache/pivotCacheRecords6.xml><?xml version="1.0" encoding="utf-8"?>
<pivotCacheRecords xmlns="http://schemas.openxmlformats.org/spreadsheetml/2006/main" xmlns:r="http://schemas.openxmlformats.org/officeDocument/2006/relationships" count="96">
  <r>
    <x v="0"/>
    <x v="0"/>
    <n v="299"/>
    <n v="1"/>
    <n v="50"/>
    <n v="114234"/>
  </r>
  <r>
    <x v="0"/>
    <x v="1"/>
    <n v="180"/>
    <m/>
    <n v="18"/>
    <n v="115223"/>
  </r>
  <r>
    <x v="0"/>
    <x v="2"/>
    <n v="88"/>
    <m/>
    <n v="28"/>
    <n v="55619"/>
  </r>
  <r>
    <x v="0"/>
    <x v="3"/>
    <n v="60"/>
    <m/>
    <n v="7"/>
    <n v="47712"/>
  </r>
  <r>
    <x v="0"/>
    <x v="4"/>
    <n v="71"/>
    <m/>
    <n v="10"/>
    <n v="24114"/>
  </r>
  <r>
    <x v="0"/>
    <x v="5"/>
    <n v="82"/>
    <n v="1"/>
    <n v="6"/>
    <n v="74190"/>
  </r>
  <r>
    <x v="0"/>
    <x v="6"/>
    <n v="227"/>
    <n v="2"/>
    <n v="71"/>
    <n v="73689"/>
  </r>
  <r>
    <x v="0"/>
    <x v="7"/>
    <n v="92"/>
    <m/>
    <n v="28"/>
    <n v="57654"/>
  </r>
  <r>
    <x v="0"/>
    <x v="8"/>
    <n v="71"/>
    <m/>
    <n v="12"/>
    <n v="45678"/>
  </r>
  <r>
    <x v="0"/>
    <x v="9"/>
    <n v="80"/>
    <n v="1"/>
    <n v="6"/>
    <n v="46332"/>
  </r>
  <r>
    <x v="0"/>
    <x v="10"/>
    <n v="63"/>
    <n v="1"/>
    <n v="11"/>
    <n v="38061"/>
  </r>
  <r>
    <x v="0"/>
    <x v="11"/>
    <n v="545"/>
    <n v="4"/>
    <n v="85"/>
    <n v="241433"/>
  </r>
  <r>
    <x v="0"/>
    <x v="12"/>
    <n v="123"/>
    <n v="2"/>
    <n v="23"/>
    <n v="73290"/>
  </r>
  <r>
    <x v="0"/>
    <x v="13"/>
    <n v="255"/>
    <n v="1"/>
    <n v="26"/>
    <n v="173366"/>
  </r>
  <r>
    <x v="0"/>
    <x v="14"/>
    <n v="833"/>
    <n v="3"/>
    <n v="155"/>
    <n v="304013"/>
  </r>
  <r>
    <x v="0"/>
    <x v="15"/>
    <n v="122"/>
    <n v="5"/>
    <n v="34"/>
    <n v="115538"/>
  </r>
  <r>
    <x v="0"/>
    <x v="16"/>
    <n v="111"/>
    <n v="1"/>
    <n v="35"/>
    <n v="38787"/>
  </r>
  <r>
    <x v="0"/>
    <x v="17"/>
    <n v="60"/>
    <m/>
    <n v="9"/>
    <n v="38675"/>
  </r>
  <r>
    <x v="0"/>
    <x v="18"/>
    <n v="47"/>
    <m/>
    <n v="11"/>
    <n v="44096"/>
  </r>
  <r>
    <x v="0"/>
    <x v="19"/>
    <n v="20"/>
    <m/>
    <n v="7"/>
    <n v="14577"/>
  </r>
  <r>
    <x v="0"/>
    <x v="20"/>
    <n v="160"/>
    <n v="1"/>
    <n v="37"/>
    <n v="67590"/>
  </r>
  <r>
    <x v="0"/>
    <x v="21"/>
    <n v="294"/>
    <n v="4"/>
    <n v="61"/>
    <n v="152293"/>
  </r>
  <r>
    <x v="0"/>
    <x v="22"/>
    <n v="11"/>
    <m/>
    <n v="2"/>
    <n v="10924"/>
  </r>
  <r>
    <x v="0"/>
    <x v="23"/>
    <n v="120"/>
    <m/>
    <n v="23"/>
    <n v="70828"/>
  </r>
  <r>
    <x v="0"/>
    <x v="24"/>
    <n v="207"/>
    <m/>
    <n v="30"/>
    <n v="84997"/>
  </r>
  <r>
    <x v="0"/>
    <x v="25"/>
    <n v="104"/>
    <n v="1"/>
    <n v="13"/>
    <n v="57628"/>
  </r>
  <r>
    <x v="0"/>
    <x v="26"/>
    <n v="17"/>
    <m/>
    <n v="2"/>
    <n v="11021"/>
  </r>
  <r>
    <x v="0"/>
    <x v="27"/>
    <n v="89"/>
    <m/>
    <n v="20"/>
    <n v="54635"/>
  </r>
  <r>
    <x v="0"/>
    <x v="28"/>
    <n v="259"/>
    <n v="4"/>
    <n v="50"/>
    <n v="147849"/>
  </r>
  <r>
    <x v="0"/>
    <x v="29"/>
    <n v="107"/>
    <n v="1"/>
    <n v="8"/>
    <n v="40646"/>
  </r>
  <r>
    <x v="0"/>
    <x v="30"/>
    <n v="144"/>
    <m/>
    <n v="25"/>
    <n v="45056"/>
  </r>
  <r>
    <x v="0"/>
    <x v="31"/>
    <n v="131"/>
    <m/>
    <n v="22"/>
    <n v="77834"/>
  </r>
  <r>
    <x v="1"/>
    <x v="0"/>
    <n v="300"/>
    <n v="2"/>
    <n v="29"/>
    <n v="115080"/>
  </r>
  <r>
    <x v="1"/>
    <x v="1"/>
    <n v="170"/>
    <n v="2"/>
    <n v="17"/>
    <n v="116421"/>
  </r>
  <r>
    <x v="1"/>
    <x v="2"/>
    <n v="93"/>
    <m/>
    <n v="18"/>
    <n v="55872"/>
  </r>
  <r>
    <x v="1"/>
    <x v="3"/>
    <n v="77"/>
    <m/>
    <n v="8"/>
    <n v="47780"/>
  </r>
  <r>
    <x v="1"/>
    <x v="4"/>
    <n v="67"/>
    <m/>
    <n v="20"/>
    <n v="24221"/>
  </r>
  <r>
    <x v="1"/>
    <x v="5"/>
    <n v="105"/>
    <m/>
    <n v="7"/>
    <n v="74453"/>
  </r>
  <r>
    <x v="1"/>
    <x v="6"/>
    <n v="225"/>
    <m/>
    <n v="46"/>
    <n v="74026"/>
  </r>
  <r>
    <x v="1"/>
    <x v="7"/>
    <n v="138"/>
    <n v="1"/>
    <n v="25"/>
    <n v="57873"/>
  </r>
  <r>
    <x v="1"/>
    <x v="8"/>
    <n v="75"/>
    <n v="1"/>
    <n v="21"/>
    <n v="46026"/>
  </r>
  <r>
    <x v="1"/>
    <x v="9"/>
    <n v="52"/>
    <m/>
    <n v="6"/>
    <n v="46672"/>
  </r>
  <r>
    <x v="1"/>
    <x v="10"/>
    <n v="57"/>
    <m/>
    <n v="6"/>
    <n v="38389"/>
  </r>
  <r>
    <x v="1"/>
    <x v="11"/>
    <n v="492"/>
    <n v="3"/>
    <n v="106"/>
    <n v="244131"/>
  </r>
  <r>
    <x v="1"/>
    <x v="12"/>
    <n v="107"/>
    <n v="1"/>
    <n v="30"/>
    <n v="73767"/>
  </r>
  <r>
    <x v="1"/>
    <x v="13"/>
    <n v="246"/>
    <n v="4"/>
    <n v="58"/>
    <n v="174528"/>
  </r>
  <r>
    <x v="1"/>
    <x v="14"/>
    <n v="811"/>
    <n v="5"/>
    <n v="167"/>
    <n v="306000"/>
  </r>
  <r>
    <x v="1"/>
    <x v="15"/>
    <n v="152"/>
    <n v="2"/>
    <n v="41"/>
    <n v="116453"/>
  </r>
  <r>
    <x v="1"/>
    <x v="16"/>
    <n v="119"/>
    <n v="1"/>
    <n v="36"/>
    <n v="38835"/>
  </r>
  <r>
    <x v="1"/>
    <x v="17"/>
    <n v="75"/>
    <m/>
    <n v="12"/>
    <n v="39297"/>
  </r>
  <r>
    <x v="1"/>
    <x v="18"/>
    <n v="51"/>
    <n v="1"/>
    <n v="14"/>
    <n v="44454"/>
  </r>
  <r>
    <x v="1"/>
    <x v="19"/>
    <n v="23"/>
    <n v="3"/>
    <n v="8"/>
    <n v="14599"/>
  </r>
  <r>
    <x v="1"/>
    <x v="20"/>
    <n v="156"/>
    <m/>
    <n v="23"/>
    <n v="67800"/>
  </r>
  <r>
    <x v="1"/>
    <x v="21"/>
    <n v="290"/>
    <n v="1"/>
    <n v="60"/>
    <n v="153388"/>
  </r>
  <r>
    <x v="1"/>
    <x v="22"/>
    <n v="7"/>
    <m/>
    <n v="3"/>
    <n v="11063"/>
  </r>
  <r>
    <x v="1"/>
    <x v="23"/>
    <n v="137"/>
    <n v="1"/>
    <n v="20"/>
    <n v="71347"/>
  </r>
  <r>
    <x v="1"/>
    <x v="24"/>
    <n v="178"/>
    <n v="1"/>
    <n v="22"/>
    <n v="85724"/>
  </r>
  <r>
    <x v="1"/>
    <x v="25"/>
    <n v="87"/>
    <n v="1"/>
    <n v="25"/>
    <n v="57940"/>
  </r>
  <r>
    <x v="1"/>
    <x v="26"/>
    <n v="7"/>
    <m/>
    <n v="1"/>
    <n v="11109"/>
  </r>
  <r>
    <x v="1"/>
    <x v="27"/>
    <n v="82"/>
    <m/>
    <n v="18"/>
    <n v="54942"/>
  </r>
  <r>
    <x v="1"/>
    <x v="28"/>
    <n v="222"/>
    <m/>
    <n v="37"/>
    <n v="148771"/>
  </r>
  <r>
    <x v="1"/>
    <x v="29"/>
    <n v="75"/>
    <n v="1"/>
    <n v="11"/>
    <n v="40998"/>
  </r>
  <r>
    <x v="1"/>
    <x v="30"/>
    <n v="130"/>
    <m/>
    <n v="19"/>
    <n v="45104"/>
  </r>
  <r>
    <x v="1"/>
    <x v="31"/>
    <n v="124"/>
    <m/>
    <n v="26"/>
    <n v="78604"/>
  </r>
  <r>
    <x v="2"/>
    <x v="0"/>
    <n v="240"/>
    <n v="3"/>
    <n v="20"/>
    <n v="116821"/>
  </r>
  <r>
    <x v="2"/>
    <x v="1"/>
    <n v="163"/>
    <n v="1"/>
    <n v="31"/>
    <n v="117363"/>
  </r>
  <r>
    <x v="2"/>
    <x v="2"/>
    <n v="78"/>
    <m/>
    <n v="18"/>
    <n v="56135"/>
  </r>
  <r>
    <x v="2"/>
    <x v="3"/>
    <n v="76"/>
    <n v="1"/>
    <n v="16"/>
    <n v="47884"/>
  </r>
  <r>
    <x v="2"/>
    <x v="4"/>
    <n v="47"/>
    <m/>
    <n v="8"/>
    <n v="24377"/>
  </r>
  <r>
    <x v="2"/>
    <x v="5"/>
    <n v="91"/>
    <n v="3"/>
    <n v="4"/>
    <n v="74687"/>
  </r>
  <r>
    <x v="2"/>
    <x v="6"/>
    <n v="196"/>
    <m/>
    <n v="31"/>
    <n v="74354"/>
  </r>
  <r>
    <x v="2"/>
    <x v="7"/>
    <n v="76"/>
    <n v="1"/>
    <n v="21"/>
    <n v="58158"/>
  </r>
  <r>
    <x v="2"/>
    <x v="8"/>
    <n v="65"/>
    <m/>
    <n v="13"/>
    <n v="46430"/>
  </r>
  <r>
    <x v="2"/>
    <x v="9"/>
    <n v="69"/>
    <n v="2"/>
    <n v="7"/>
    <n v="47407"/>
  </r>
  <r>
    <x v="2"/>
    <x v="10"/>
    <n v="79"/>
    <m/>
    <n v="7"/>
    <n v="38677"/>
  </r>
  <r>
    <x v="2"/>
    <x v="11"/>
    <n v="460"/>
    <n v="1"/>
    <n v="69"/>
    <n v="246818"/>
  </r>
  <r>
    <x v="2"/>
    <x v="12"/>
    <n v="106"/>
    <n v="2"/>
    <n v="18"/>
    <n v="74361"/>
  </r>
  <r>
    <x v="2"/>
    <x v="13"/>
    <n v="286"/>
    <n v="2"/>
    <n v="30"/>
    <n v="175915"/>
  </r>
  <r>
    <x v="2"/>
    <x v="14"/>
    <n v="847"/>
    <n v="4"/>
    <n v="150"/>
    <n v="308293"/>
  </r>
  <r>
    <x v="2"/>
    <x v="15"/>
    <n v="146"/>
    <n v="2"/>
    <n v="30"/>
    <n v="117291"/>
  </r>
  <r>
    <x v="2"/>
    <x v="16"/>
    <n v="84"/>
    <m/>
    <n v="14"/>
    <n v="38848"/>
  </r>
  <r>
    <x v="2"/>
    <x v="17"/>
    <n v="60"/>
    <m/>
    <n v="14"/>
    <n v="39937"/>
  </r>
  <r>
    <x v="2"/>
    <x v="18"/>
    <n v="35"/>
    <m/>
    <n v="12"/>
    <n v="44838"/>
  </r>
  <r>
    <x v="2"/>
    <x v="19"/>
    <n v="16"/>
    <m/>
    <n v="2"/>
    <n v="14714"/>
  </r>
  <r>
    <x v="2"/>
    <x v="20"/>
    <n v="147"/>
    <m/>
    <n v="18"/>
    <n v="67960"/>
  </r>
  <r>
    <x v="2"/>
    <x v="21"/>
    <n v="262"/>
    <n v="1"/>
    <n v="75"/>
    <n v="154286"/>
  </r>
  <r>
    <x v="2"/>
    <x v="22"/>
    <n v="7"/>
    <m/>
    <n v="3"/>
    <n v="11192"/>
  </r>
  <r>
    <x v="2"/>
    <x v="23"/>
    <n v="113"/>
    <m/>
    <n v="20"/>
    <n v="71810"/>
  </r>
  <r>
    <x v="2"/>
    <x v="24"/>
    <n v="191"/>
    <n v="1"/>
    <n v="27"/>
    <n v="86449"/>
  </r>
  <r>
    <x v="2"/>
    <x v="25"/>
    <n v="92"/>
    <n v="1"/>
    <n v="15"/>
    <n v="58167"/>
  </r>
  <r>
    <x v="2"/>
    <x v="26"/>
    <n v="12"/>
    <m/>
    <n v="5"/>
    <n v="11180"/>
  </r>
  <r>
    <x v="2"/>
    <x v="27"/>
    <n v="95"/>
    <n v="3"/>
    <n v="18"/>
    <n v="55252"/>
  </r>
  <r>
    <x v="2"/>
    <x v="28"/>
    <n v="244"/>
    <n v="4"/>
    <n v="47"/>
    <n v="149972"/>
  </r>
  <r>
    <x v="2"/>
    <x v="29"/>
    <n v="79"/>
    <n v="2"/>
    <n v="13"/>
    <n v="41250"/>
  </r>
  <r>
    <x v="2"/>
    <x v="30"/>
    <n v="141"/>
    <n v="1"/>
    <n v="17"/>
    <n v="45093"/>
  </r>
  <r>
    <x v="2"/>
    <x v="31"/>
    <n v="149"/>
    <m/>
    <n v="24"/>
    <n v="79112"/>
  </r>
</pivotCacheRecords>
</file>

<file path=xl/pivotCache/pivotCacheRecords7.xml><?xml version="1.0" encoding="utf-8"?>
<pivotCacheRecords xmlns="http://schemas.openxmlformats.org/spreadsheetml/2006/main" xmlns:r="http://schemas.openxmlformats.org/officeDocument/2006/relationships" count="96">
  <r>
    <x v="0"/>
    <x v="0"/>
    <n v="334"/>
    <n v="299"/>
    <n v="35"/>
    <n v="114234"/>
  </r>
  <r>
    <x v="0"/>
    <x v="1"/>
    <n v="192"/>
    <n v="180"/>
    <n v="12"/>
    <n v="115223"/>
  </r>
  <r>
    <x v="0"/>
    <x v="2"/>
    <n v="95"/>
    <n v="88"/>
    <n v="7"/>
    <n v="55619"/>
  </r>
  <r>
    <x v="0"/>
    <x v="3"/>
    <n v="64"/>
    <n v="60"/>
    <n v="4"/>
    <n v="47712"/>
  </r>
  <r>
    <x v="0"/>
    <x v="4"/>
    <n v="75"/>
    <n v="71"/>
    <n v="4"/>
    <n v="24114"/>
  </r>
  <r>
    <x v="0"/>
    <x v="5"/>
    <n v="94"/>
    <n v="82"/>
    <n v="12"/>
    <n v="74190"/>
  </r>
  <r>
    <x v="0"/>
    <x v="6"/>
    <n v="256"/>
    <n v="227"/>
    <n v="29"/>
    <n v="73689"/>
  </r>
  <r>
    <x v="0"/>
    <x v="7"/>
    <n v="104"/>
    <n v="92"/>
    <n v="12"/>
    <n v="57654"/>
  </r>
  <r>
    <x v="0"/>
    <x v="8"/>
    <n v="77"/>
    <n v="71"/>
    <n v="6"/>
    <n v="45678"/>
  </r>
  <r>
    <x v="0"/>
    <x v="9"/>
    <n v="85"/>
    <n v="80"/>
    <n v="5"/>
    <n v="46332"/>
  </r>
  <r>
    <x v="0"/>
    <x v="10"/>
    <n v="71"/>
    <n v="63"/>
    <n v="8"/>
    <n v="38061"/>
  </r>
  <r>
    <x v="0"/>
    <x v="11"/>
    <n v="633"/>
    <n v="545"/>
    <n v="88"/>
    <n v="241433"/>
  </r>
  <r>
    <x v="0"/>
    <x v="12"/>
    <n v="134"/>
    <n v="123"/>
    <n v="11"/>
    <n v="73290"/>
  </r>
  <r>
    <x v="0"/>
    <x v="13"/>
    <n v="279"/>
    <n v="255"/>
    <n v="24"/>
    <n v="173366"/>
  </r>
  <r>
    <x v="0"/>
    <x v="14"/>
    <n v="960"/>
    <n v="833"/>
    <n v="127"/>
    <n v="304013"/>
  </r>
  <r>
    <x v="0"/>
    <x v="15"/>
    <n v="131"/>
    <n v="122"/>
    <n v="9"/>
    <n v="115538"/>
  </r>
  <r>
    <x v="0"/>
    <x v="16"/>
    <n v="129"/>
    <n v="111"/>
    <n v="18"/>
    <n v="38787"/>
  </r>
  <r>
    <x v="0"/>
    <x v="17"/>
    <n v="69"/>
    <n v="60"/>
    <n v="9"/>
    <n v="38675"/>
  </r>
  <r>
    <x v="0"/>
    <x v="18"/>
    <n v="50"/>
    <n v="47"/>
    <n v="3"/>
    <n v="44096"/>
  </r>
  <r>
    <x v="0"/>
    <x v="19"/>
    <n v="20"/>
    <n v="20"/>
    <n v="0"/>
    <n v="14577"/>
  </r>
  <r>
    <x v="0"/>
    <x v="20"/>
    <n v="176"/>
    <n v="160"/>
    <n v="16"/>
    <n v="67590"/>
  </r>
  <r>
    <x v="0"/>
    <x v="21"/>
    <n v="336"/>
    <n v="294"/>
    <n v="42"/>
    <n v="152293"/>
  </r>
  <r>
    <x v="0"/>
    <x v="22"/>
    <n v="11"/>
    <n v="11"/>
    <n v="0"/>
    <n v="10924"/>
  </r>
  <r>
    <x v="0"/>
    <x v="23"/>
    <n v="123"/>
    <n v="120"/>
    <n v="3"/>
    <n v="70828"/>
  </r>
  <r>
    <x v="0"/>
    <x v="24"/>
    <n v="242"/>
    <n v="207"/>
    <n v="35"/>
    <n v="84997"/>
  </r>
  <r>
    <x v="0"/>
    <x v="25"/>
    <n v="109"/>
    <n v="104"/>
    <n v="5"/>
    <n v="57628"/>
  </r>
  <r>
    <x v="0"/>
    <x v="26"/>
    <n v="19"/>
    <n v="17"/>
    <n v="2"/>
    <n v="11021"/>
  </r>
  <r>
    <x v="0"/>
    <x v="27"/>
    <n v="101"/>
    <n v="89"/>
    <n v="12"/>
    <n v="54635"/>
  </r>
  <r>
    <x v="0"/>
    <x v="28"/>
    <n v="294"/>
    <n v="259"/>
    <n v="35"/>
    <n v="147849"/>
  </r>
  <r>
    <x v="0"/>
    <x v="29"/>
    <n v="108"/>
    <n v="107"/>
    <n v="1"/>
    <n v="40646"/>
  </r>
  <r>
    <x v="0"/>
    <x v="30"/>
    <n v="156"/>
    <n v="144"/>
    <n v="12"/>
    <n v="45056"/>
  </r>
  <r>
    <x v="0"/>
    <x v="31"/>
    <n v="150"/>
    <n v="131"/>
    <n v="19"/>
    <n v="77834"/>
  </r>
  <r>
    <x v="1"/>
    <x v="0"/>
    <n v="350"/>
    <n v="300"/>
    <n v="50"/>
    <n v="115080"/>
  </r>
  <r>
    <x v="1"/>
    <x v="1"/>
    <n v="184"/>
    <n v="170"/>
    <n v="14"/>
    <n v="116421"/>
  </r>
  <r>
    <x v="1"/>
    <x v="2"/>
    <n v="98"/>
    <n v="93"/>
    <n v="5"/>
    <n v="55872"/>
  </r>
  <r>
    <x v="1"/>
    <x v="3"/>
    <n v="80"/>
    <n v="77"/>
    <n v="3"/>
    <n v="47780"/>
  </r>
  <r>
    <x v="1"/>
    <x v="4"/>
    <n v="72"/>
    <n v="67"/>
    <n v="5"/>
    <n v="24221"/>
  </r>
  <r>
    <x v="1"/>
    <x v="5"/>
    <n v="118"/>
    <n v="105"/>
    <n v="13"/>
    <n v="74453"/>
  </r>
  <r>
    <x v="1"/>
    <x v="6"/>
    <n v="257"/>
    <n v="225"/>
    <n v="32"/>
    <n v="74026"/>
  </r>
  <r>
    <x v="1"/>
    <x v="7"/>
    <n v="146"/>
    <n v="138"/>
    <n v="8"/>
    <n v="57873"/>
  </r>
  <r>
    <x v="1"/>
    <x v="8"/>
    <n v="82"/>
    <n v="75"/>
    <n v="7"/>
    <n v="46026"/>
  </r>
  <r>
    <x v="1"/>
    <x v="9"/>
    <n v="59"/>
    <n v="52"/>
    <n v="7"/>
    <n v="46672"/>
  </r>
  <r>
    <x v="1"/>
    <x v="10"/>
    <n v="64"/>
    <n v="57"/>
    <n v="7"/>
    <n v="38389"/>
  </r>
  <r>
    <x v="1"/>
    <x v="11"/>
    <n v="581"/>
    <n v="492"/>
    <n v="89"/>
    <n v="244131"/>
  </r>
  <r>
    <x v="1"/>
    <x v="12"/>
    <n v="117"/>
    <n v="107"/>
    <n v="10"/>
    <n v="73767"/>
  </r>
  <r>
    <x v="1"/>
    <x v="13"/>
    <n v="272"/>
    <n v="246"/>
    <n v="26"/>
    <n v="174528"/>
  </r>
  <r>
    <x v="1"/>
    <x v="14"/>
    <n v="929"/>
    <n v="811"/>
    <n v="118"/>
    <n v="306000"/>
  </r>
  <r>
    <x v="1"/>
    <x v="15"/>
    <n v="161"/>
    <n v="152"/>
    <n v="9"/>
    <n v="116453"/>
  </r>
  <r>
    <x v="1"/>
    <x v="16"/>
    <n v="131"/>
    <n v="119"/>
    <n v="12"/>
    <n v="38835"/>
  </r>
  <r>
    <x v="1"/>
    <x v="17"/>
    <n v="78"/>
    <n v="75"/>
    <n v="3"/>
    <n v="39297"/>
  </r>
  <r>
    <x v="1"/>
    <x v="18"/>
    <n v="55"/>
    <n v="51"/>
    <n v="4"/>
    <n v="44454"/>
  </r>
  <r>
    <x v="1"/>
    <x v="19"/>
    <n v="23"/>
    <n v="23"/>
    <n v="0"/>
    <n v="14599"/>
  </r>
  <r>
    <x v="1"/>
    <x v="20"/>
    <n v="167"/>
    <n v="156"/>
    <n v="11"/>
    <n v="67800"/>
  </r>
  <r>
    <x v="1"/>
    <x v="21"/>
    <n v="353"/>
    <n v="290"/>
    <n v="63"/>
    <n v="153388"/>
  </r>
  <r>
    <x v="1"/>
    <x v="22"/>
    <n v="7"/>
    <n v="7"/>
    <n v="0"/>
    <n v="11063"/>
  </r>
  <r>
    <x v="1"/>
    <x v="23"/>
    <n v="146"/>
    <n v="137"/>
    <n v="9"/>
    <n v="71347"/>
  </r>
  <r>
    <x v="1"/>
    <x v="24"/>
    <n v="205"/>
    <n v="178"/>
    <n v="27"/>
    <n v="85724"/>
  </r>
  <r>
    <x v="1"/>
    <x v="25"/>
    <n v="91"/>
    <n v="87"/>
    <n v="4"/>
    <n v="57940"/>
  </r>
  <r>
    <x v="1"/>
    <x v="26"/>
    <n v="9"/>
    <n v="7"/>
    <n v="2"/>
    <n v="11109"/>
  </r>
  <r>
    <x v="1"/>
    <x v="27"/>
    <n v="97"/>
    <n v="82"/>
    <n v="15"/>
    <n v="54942"/>
  </r>
  <r>
    <x v="1"/>
    <x v="28"/>
    <n v="250"/>
    <n v="222"/>
    <n v="28"/>
    <n v="148771"/>
  </r>
  <r>
    <x v="1"/>
    <x v="29"/>
    <n v="85"/>
    <n v="75"/>
    <n v="10"/>
    <n v="40998"/>
  </r>
  <r>
    <x v="1"/>
    <x v="30"/>
    <n v="143"/>
    <n v="130"/>
    <n v="13"/>
    <n v="45104"/>
  </r>
  <r>
    <x v="1"/>
    <x v="31"/>
    <n v="138"/>
    <n v="124"/>
    <n v="14"/>
    <n v="78604"/>
  </r>
  <r>
    <x v="2"/>
    <x v="0"/>
    <n v="277"/>
    <n v="240"/>
    <n v="37"/>
    <n v="116821"/>
  </r>
  <r>
    <x v="2"/>
    <x v="1"/>
    <n v="168"/>
    <n v="163"/>
    <n v="5"/>
    <n v="117363"/>
  </r>
  <r>
    <x v="2"/>
    <x v="2"/>
    <n v="81"/>
    <n v="78"/>
    <n v="3"/>
    <n v="56135"/>
  </r>
  <r>
    <x v="2"/>
    <x v="3"/>
    <n v="86"/>
    <n v="76"/>
    <n v="10"/>
    <n v="47884"/>
  </r>
  <r>
    <x v="2"/>
    <x v="4"/>
    <n v="51"/>
    <n v="47"/>
    <n v="4"/>
    <n v="24377"/>
  </r>
  <r>
    <x v="2"/>
    <x v="5"/>
    <n v="104"/>
    <n v="91"/>
    <n v="13"/>
    <n v="74687"/>
  </r>
  <r>
    <x v="2"/>
    <x v="6"/>
    <n v="214"/>
    <n v="196"/>
    <n v="18"/>
    <n v="74354"/>
  </r>
  <r>
    <x v="2"/>
    <x v="7"/>
    <n v="87"/>
    <n v="76"/>
    <n v="11"/>
    <n v="58158"/>
  </r>
  <r>
    <x v="2"/>
    <x v="8"/>
    <n v="67"/>
    <n v="65"/>
    <n v="2"/>
    <n v="46430"/>
  </r>
  <r>
    <x v="2"/>
    <x v="9"/>
    <n v="76"/>
    <n v="69"/>
    <n v="7"/>
    <n v="47407"/>
  </r>
  <r>
    <x v="2"/>
    <x v="10"/>
    <n v="84"/>
    <n v="79"/>
    <n v="5"/>
    <n v="38677"/>
  </r>
  <r>
    <x v="2"/>
    <x v="11"/>
    <n v="523"/>
    <n v="460"/>
    <n v="63"/>
    <n v="246818"/>
  </r>
  <r>
    <x v="2"/>
    <x v="12"/>
    <n v="122"/>
    <n v="106"/>
    <n v="16"/>
    <n v="74361"/>
  </r>
  <r>
    <x v="2"/>
    <x v="13"/>
    <n v="302"/>
    <n v="286"/>
    <n v="16"/>
    <n v="175915"/>
  </r>
  <r>
    <x v="2"/>
    <x v="14"/>
    <n v="962"/>
    <n v="847"/>
    <n v="115"/>
    <n v="308293"/>
  </r>
  <r>
    <x v="2"/>
    <x v="15"/>
    <n v="153"/>
    <n v="146"/>
    <n v="7"/>
    <n v="117291"/>
  </r>
  <r>
    <x v="2"/>
    <x v="16"/>
    <n v="103"/>
    <n v="84"/>
    <n v="19"/>
    <n v="38848"/>
  </r>
  <r>
    <x v="2"/>
    <x v="17"/>
    <n v="70"/>
    <n v="60"/>
    <n v="10"/>
    <n v="39937"/>
  </r>
  <r>
    <x v="2"/>
    <x v="18"/>
    <n v="39"/>
    <n v="35"/>
    <n v="4"/>
    <n v="44838"/>
  </r>
  <r>
    <x v="2"/>
    <x v="19"/>
    <n v="17"/>
    <n v="16"/>
    <n v="1"/>
    <n v="14714"/>
  </r>
  <r>
    <x v="2"/>
    <x v="20"/>
    <n v="162"/>
    <n v="147"/>
    <n v="15"/>
    <n v="67960"/>
  </r>
  <r>
    <x v="2"/>
    <x v="21"/>
    <n v="307"/>
    <n v="262"/>
    <n v="45"/>
    <n v="154286"/>
  </r>
  <r>
    <x v="2"/>
    <x v="22"/>
    <n v="7"/>
    <n v="7"/>
    <n v="0"/>
    <n v="11192"/>
  </r>
  <r>
    <x v="2"/>
    <x v="23"/>
    <n v="116"/>
    <n v="113"/>
    <n v="3"/>
    <n v="71810"/>
  </r>
  <r>
    <x v="2"/>
    <x v="24"/>
    <n v="223"/>
    <n v="191"/>
    <n v="32"/>
    <n v="86449"/>
  </r>
  <r>
    <x v="2"/>
    <x v="25"/>
    <n v="100"/>
    <n v="92"/>
    <n v="8"/>
    <n v="58167"/>
  </r>
  <r>
    <x v="2"/>
    <x v="26"/>
    <n v="13"/>
    <n v="12"/>
    <n v="1"/>
    <n v="11180"/>
  </r>
  <r>
    <x v="2"/>
    <x v="27"/>
    <n v="105"/>
    <n v="95"/>
    <n v="10"/>
    <n v="55252"/>
  </r>
  <r>
    <x v="2"/>
    <x v="28"/>
    <n v="278"/>
    <n v="244"/>
    <n v="34"/>
    <n v="149972"/>
  </r>
  <r>
    <x v="2"/>
    <x v="29"/>
    <n v="86"/>
    <n v="79"/>
    <n v="7"/>
    <n v="41250"/>
  </r>
  <r>
    <x v="2"/>
    <x v="30"/>
    <n v="158"/>
    <n v="141"/>
    <n v="17"/>
    <n v="45093"/>
  </r>
  <r>
    <x v="2"/>
    <x v="31"/>
    <n v="169"/>
    <n v="149"/>
    <n v="20"/>
    <n v="79112"/>
  </r>
</pivotCacheRecords>
</file>

<file path=xl/pivotCache/pivotCacheRecords8.xml><?xml version="1.0" encoding="utf-8"?>
<pivotCacheRecords xmlns="http://schemas.openxmlformats.org/spreadsheetml/2006/main" xmlns:r="http://schemas.openxmlformats.org/officeDocument/2006/relationships" count="97">
  <r>
    <x v="0"/>
    <x v="0"/>
    <n v="2230"/>
    <n v="230350"/>
    <n v="113"/>
    <n v="1904"/>
    <n v="213"/>
  </r>
  <r>
    <x v="0"/>
    <x v="1"/>
    <n v="1106"/>
    <n v="261960"/>
    <n v="35"/>
    <n v="865"/>
    <n v="206"/>
  </r>
  <r>
    <x v="0"/>
    <x v="2"/>
    <n v="1060"/>
    <n v="116900"/>
    <n v="27"/>
    <n v="923"/>
    <n v="110"/>
  </r>
  <r>
    <x v="0"/>
    <x v="3"/>
    <n v="1018"/>
    <n v="86890"/>
    <n v="17"/>
    <n v="860"/>
    <n v="141"/>
  </r>
  <r>
    <x v="0"/>
    <x v="4"/>
    <n v="407"/>
    <n v="51360"/>
    <n v="26"/>
    <n v="287"/>
    <n v="94"/>
  </r>
  <r>
    <x v="0"/>
    <x v="5"/>
    <n v="912"/>
    <n v="149670"/>
    <n v="51"/>
    <n v="619"/>
    <n v="242"/>
  </r>
  <r>
    <x v="0"/>
    <x v="6"/>
    <n v="2107"/>
    <n v="148210"/>
    <n v="76"/>
    <n v="1797"/>
    <n v="234"/>
  </r>
  <r>
    <x v="0"/>
    <x v="7"/>
    <n v="1200"/>
    <n v="122060"/>
    <n v="32"/>
    <n v="871"/>
    <n v="297"/>
  </r>
  <r>
    <x v="0"/>
    <x v="8"/>
    <n v="523"/>
    <n v="106960"/>
    <n v="18"/>
    <n v="384"/>
    <n v="121"/>
  </r>
  <r>
    <x v="0"/>
    <x v="9"/>
    <n v="831"/>
    <n v="103050"/>
    <n v="27"/>
    <n v="650"/>
    <n v="154"/>
  </r>
  <r>
    <x v="0"/>
    <x v="10"/>
    <n v="489"/>
    <n v="92940"/>
    <n v="17"/>
    <n v="360"/>
    <n v="112"/>
  </r>
  <r>
    <x v="0"/>
    <x v="11"/>
    <n v="6777"/>
    <n v="498810"/>
    <n v="351"/>
    <n v="5397"/>
    <n v="1029"/>
  </r>
  <r>
    <x v="0"/>
    <x v="12"/>
    <n v="1032"/>
    <n v="158460"/>
    <n v="57"/>
    <n v="696"/>
    <n v="279"/>
  </r>
  <r>
    <x v="0"/>
    <x v="13"/>
    <n v="2594"/>
    <n v="368080"/>
    <n v="96"/>
    <n v="2134"/>
    <n v="364"/>
  </r>
  <r>
    <x v="0"/>
    <x v="14"/>
    <n v="8041"/>
    <n v="606340"/>
    <n v="571"/>
    <n v="6206"/>
    <n v="1264"/>
  </r>
  <r>
    <x v="0"/>
    <x v="15"/>
    <n v="2052"/>
    <n v="234110"/>
    <n v="113"/>
    <n v="1386"/>
    <n v="553"/>
  </r>
  <r>
    <x v="0"/>
    <x v="16"/>
    <n v="745"/>
    <n v="79500"/>
    <n v="40"/>
    <n v="505"/>
    <n v="200"/>
  </r>
  <r>
    <x v="0"/>
    <x v="17"/>
    <n v="559"/>
    <n v="87390"/>
    <n v="37"/>
    <n v="377"/>
    <n v="145"/>
  </r>
  <r>
    <x v="0"/>
    <x v="18"/>
    <n v="552"/>
    <n v="95510"/>
    <n v="14"/>
    <n v="461"/>
    <n v="77"/>
  </r>
  <r>
    <x v="0"/>
    <x v="19"/>
    <n v="244"/>
    <n v="27070"/>
    <n v="2"/>
    <n v="181"/>
    <n v="61"/>
  </r>
  <r>
    <x v="0"/>
    <x v="20"/>
    <n v="1124"/>
    <n v="136130"/>
    <n v="63"/>
    <n v="740"/>
    <n v="321"/>
  </r>
  <r>
    <x v="0"/>
    <x v="21"/>
    <n v="2608"/>
    <n v="338260"/>
    <n v="117"/>
    <n v="1978"/>
    <n v="513"/>
  </r>
  <r>
    <x v="0"/>
    <x v="22"/>
    <n v="109"/>
    <n v="21670"/>
    <m/>
    <n v="85"/>
    <n v="24"/>
  </r>
  <r>
    <x v="0"/>
    <x v="23"/>
    <n v="1143"/>
    <n v="149930"/>
    <n v="40"/>
    <n v="938"/>
    <n v="165"/>
  </r>
  <r>
    <x v="0"/>
    <x v="24"/>
    <n v="1395"/>
    <n v="174560"/>
    <n v="80"/>
    <n v="995"/>
    <n v="320"/>
  </r>
  <r>
    <x v="0"/>
    <x v="25"/>
    <n v="788"/>
    <n v="114030"/>
    <n v="33"/>
    <n v="570"/>
    <n v="185"/>
  </r>
  <r>
    <x v="0"/>
    <x v="26"/>
    <n v="125"/>
    <n v="23200"/>
    <n v="11"/>
    <n v="93"/>
    <n v="21"/>
  </r>
  <r>
    <x v="0"/>
    <x v="27"/>
    <n v="1005"/>
    <n v="112400"/>
    <n v="37"/>
    <n v="791"/>
    <n v="177"/>
  </r>
  <r>
    <x v="0"/>
    <x v="28"/>
    <n v="2743"/>
    <n v="316230"/>
    <n v="131"/>
    <n v="2057"/>
    <n v="555"/>
  </r>
  <r>
    <x v="0"/>
    <x v="29"/>
    <n v="765"/>
    <n v="92830"/>
    <n v="18"/>
    <n v="620"/>
    <n v="127"/>
  </r>
  <r>
    <x v="0"/>
    <x v="30"/>
    <n v="558"/>
    <n v="89590"/>
    <n v="40"/>
    <n v="369"/>
    <n v="149"/>
  </r>
  <r>
    <x v="0"/>
    <x v="31"/>
    <n v="2003"/>
    <n v="178550"/>
    <n v="85"/>
    <n v="1522"/>
    <n v="396"/>
  </r>
  <r>
    <x v="1"/>
    <x v="0"/>
    <n v="2547"/>
    <n v="229840"/>
    <n v="103"/>
    <n v="2232"/>
    <n v="212"/>
  </r>
  <r>
    <x v="1"/>
    <x v="1"/>
    <n v="1159"/>
    <n v="262190"/>
    <n v="32"/>
    <n v="912"/>
    <n v="215"/>
  </r>
  <r>
    <x v="1"/>
    <x v="2"/>
    <n v="1001"/>
    <n v="116520"/>
    <n v="20"/>
    <n v="846"/>
    <n v="135"/>
  </r>
  <r>
    <x v="1"/>
    <x v="3"/>
    <n v="960"/>
    <n v="87130"/>
    <n v="22"/>
    <n v="772"/>
    <n v="166"/>
  </r>
  <r>
    <x v="1"/>
    <x v="4"/>
    <n v="458"/>
    <n v="51350"/>
    <n v="16"/>
    <n v="315"/>
    <n v="127"/>
  </r>
  <r>
    <x v="1"/>
    <x v="5"/>
    <n v="972"/>
    <n v="149520"/>
    <n v="25"/>
    <n v="742"/>
    <n v="205"/>
  </r>
  <r>
    <x v="1"/>
    <x v="6"/>
    <n v="2232"/>
    <n v="148270"/>
    <n v="117"/>
    <n v="1880"/>
    <n v="235"/>
  </r>
  <r>
    <x v="1"/>
    <x v="7"/>
    <n v="1212"/>
    <n v="122200"/>
    <n v="57"/>
    <n v="915"/>
    <n v="240"/>
  </r>
  <r>
    <x v="1"/>
    <x v="8"/>
    <n v="534"/>
    <n v="107540"/>
    <n v="11"/>
    <n v="399"/>
    <n v="124"/>
  </r>
  <r>
    <x v="1"/>
    <x v="9"/>
    <n v="813"/>
    <n v="104090"/>
    <n v="37"/>
    <n v="669"/>
    <n v="107"/>
  </r>
  <r>
    <x v="1"/>
    <x v="10"/>
    <n v="555"/>
    <n v="93810"/>
    <n v="16"/>
    <n v="429"/>
    <n v="110"/>
  </r>
  <r>
    <x v="1"/>
    <x v="11"/>
    <n v="6561"/>
    <n v="507170"/>
    <n v="353"/>
    <n v="5297"/>
    <n v="911"/>
  </r>
  <r>
    <x v="1"/>
    <x v="12"/>
    <n v="1156"/>
    <n v="159380"/>
    <n v="53"/>
    <n v="773"/>
    <n v="330"/>
  </r>
  <r>
    <x v="1"/>
    <x v="13"/>
    <n v="2866"/>
    <n v="370330"/>
    <n v="96"/>
    <n v="2331"/>
    <n v="439"/>
  </r>
  <r>
    <x v="1"/>
    <x v="14"/>
    <n v="8235"/>
    <n v="615070"/>
    <n v="528"/>
    <n v="6437"/>
    <n v="1270"/>
  </r>
  <r>
    <x v="1"/>
    <x v="15"/>
    <n v="2085"/>
    <n v="234770"/>
    <n v="68"/>
    <n v="1472"/>
    <n v="545"/>
  </r>
  <r>
    <x v="1"/>
    <x v="16"/>
    <n v="826"/>
    <n v="79160"/>
    <n v="36"/>
    <n v="578"/>
    <n v="212"/>
  </r>
  <r>
    <x v="1"/>
    <x v="17"/>
    <n v="656"/>
    <n v="88610"/>
    <n v="35"/>
    <n v="455"/>
    <n v="166"/>
  </r>
  <r>
    <x v="1"/>
    <x v="18"/>
    <n v="536"/>
    <n v="96070"/>
    <n v="9"/>
    <n v="465"/>
    <n v="62"/>
  </r>
  <r>
    <x v="1"/>
    <x v="19"/>
    <n v="255"/>
    <n v="26900"/>
    <n v="2"/>
    <n v="201"/>
    <n v="52"/>
  </r>
  <r>
    <x v="1"/>
    <x v="20"/>
    <n v="1310"/>
    <n v="135890"/>
    <n v="65"/>
    <n v="917"/>
    <n v="328"/>
  </r>
  <r>
    <x v="1"/>
    <x v="21"/>
    <n v="2732"/>
    <n v="339390"/>
    <n v="129"/>
    <n v="2029"/>
    <n v="574"/>
  </r>
  <r>
    <x v="1"/>
    <x v="22"/>
    <n v="103"/>
    <n v="21850"/>
    <n v="2"/>
    <n v="81"/>
    <n v="20"/>
  </r>
  <r>
    <x v="1"/>
    <x v="23"/>
    <n v="1103"/>
    <n v="150680"/>
    <n v="29"/>
    <n v="911"/>
    <n v="163"/>
  </r>
  <r>
    <x v="1"/>
    <x v="24"/>
    <n v="1437"/>
    <n v="175930"/>
    <n v="102"/>
    <n v="955"/>
    <n v="380"/>
  </r>
  <r>
    <x v="1"/>
    <x v="25"/>
    <n v="874"/>
    <n v="114530"/>
    <n v="38"/>
    <n v="629"/>
    <n v="207"/>
  </r>
  <r>
    <x v="1"/>
    <x v="26"/>
    <n v="116"/>
    <n v="23200"/>
    <n v="6"/>
    <n v="91"/>
    <n v="19"/>
  </r>
  <r>
    <x v="1"/>
    <x v="27"/>
    <n v="1074"/>
    <n v="112470"/>
    <n v="34"/>
    <n v="884"/>
    <n v="156"/>
  </r>
  <r>
    <x v="1"/>
    <x v="28"/>
    <n v="2869"/>
    <n v="317100"/>
    <n v="100"/>
    <n v="2280"/>
    <n v="489"/>
  </r>
  <r>
    <x v="1"/>
    <x v="29"/>
    <n v="923"/>
    <n v="93750"/>
    <n v="25"/>
    <n v="688"/>
    <n v="210"/>
  </r>
  <r>
    <x v="1"/>
    <x v="30"/>
    <n v="644"/>
    <n v="89860"/>
    <n v="47"/>
    <n v="432"/>
    <n v="165"/>
  </r>
  <r>
    <x v="1"/>
    <x v="31"/>
    <n v="2058"/>
    <n v="180130"/>
    <n v="68"/>
    <n v="1609"/>
    <n v="381"/>
  </r>
  <r>
    <x v="1"/>
    <x v="32"/>
    <n v="1"/>
    <m/>
    <m/>
    <m/>
    <n v="1"/>
  </r>
  <r>
    <x v="2"/>
    <x v="0"/>
    <n v="2582"/>
    <n v="228800"/>
    <n v="179"/>
    <n v="2139"/>
    <n v="264"/>
  </r>
  <r>
    <x v="2"/>
    <x v="1"/>
    <n v="1212"/>
    <n v="261800"/>
    <n v="36"/>
    <n v="922"/>
    <n v="254"/>
  </r>
  <r>
    <x v="2"/>
    <x v="2"/>
    <n v="1003"/>
    <n v="116280"/>
    <n v="40"/>
    <n v="819"/>
    <n v="144"/>
  </r>
  <r>
    <x v="2"/>
    <x v="3"/>
    <n v="1087"/>
    <n v="86810"/>
    <n v="16"/>
    <n v="933"/>
    <n v="138"/>
  </r>
  <r>
    <x v="2"/>
    <x v="4"/>
    <n v="488"/>
    <n v="51450"/>
    <n v="23"/>
    <n v="334"/>
    <n v="131"/>
  </r>
  <r>
    <x v="2"/>
    <x v="5"/>
    <n v="1015"/>
    <n v="149200"/>
    <n v="22"/>
    <n v="749"/>
    <n v="244"/>
  </r>
  <r>
    <x v="2"/>
    <x v="6"/>
    <n v="2211"/>
    <n v="148710"/>
    <n v="139"/>
    <n v="1823"/>
    <n v="249"/>
  </r>
  <r>
    <x v="2"/>
    <x v="7"/>
    <n v="1197"/>
    <n v="121940"/>
    <n v="28"/>
    <n v="915"/>
    <n v="254"/>
  </r>
  <r>
    <x v="2"/>
    <x v="8"/>
    <n v="648"/>
    <n v="108130"/>
    <n v="10"/>
    <n v="507"/>
    <n v="131"/>
  </r>
  <r>
    <x v="2"/>
    <x v="9"/>
    <n v="925"/>
    <n v="104840"/>
    <n v="29"/>
    <n v="719"/>
    <n v="177"/>
  </r>
  <r>
    <x v="2"/>
    <x v="10"/>
    <n v="630"/>
    <n v="94760"/>
    <n v="18"/>
    <n v="502"/>
    <n v="110"/>
  </r>
  <r>
    <x v="2"/>
    <x v="11"/>
    <n v="6414"/>
    <n v="513210"/>
    <n v="319"/>
    <n v="5134"/>
    <n v="961"/>
  </r>
  <r>
    <x v="2"/>
    <x v="12"/>
    <n v="1197"/>
    <n v="160130"/>
    <n v="71"/>
    <n v="819"/>
    <n v="307"/>
  </r>
  <r>
    <x v="2"/>
    <x v="13"/>
    <n v="2824"/>
    <n v="371410"/>
    <n v="100"/>
    <n v="2323"/>
    <n v="401"/>
  </r>
  <r>
    <x v="2"/>
    <x v="14"/>
    <n v="8352"/>
    <n v="621020"/>
    <n v="498"/>
    <n v="6607"/>
    <n v="1247"/>
  </r>
  <r>
    <x v="2"/>
    <x v="15"/>
    <n v="2195"/>
    <n v="235180"/>
    <n v="90"/>
    <n v="1544"/>
    <n v="561"/>
  </r>
  <r>
    <x v="2"/>
    <x v="16"/>
    <n v="784"/>
    <n v="78760"/>
    <n v="46"/>
    <n v="556"/>
    <n v="182"/>
  </r>
  <r>
    <x v="2"/>
    <x v="17"/>
    <n v="646"/>
    <n v="90090"/>
    <n v="38"/>
    <n v="495"/>
    <n v="113"/>
  </r>
  <r>
    <x v="2"/>
    <x v="18"/>
    <n v="571"/>
    <n v="95780"/>
    <n v="16"/>
    <n v="470"/>
    <n v="85"/>
  </r>
  <r>
    <x v="2"/>
    <x v="19"/>
    <n v="233"/>
    <n v="26950"/>
    <n v="2"/>
    <n v="176"/>
    <n v="55"/>
  </r>
  <r>
    <x v="2"/>
    <x v="20"/>
    <n v="1296"/>
    <n v="135790"/>
    <n v="45"/>
    <n v="975"/>
    <n v="276"/>
  </r>
  <r>
    <x v="2"/>
    <x v="21"/>
    <n v="2856"/>
    <n v="339960"/>
    <n v="134"/>
    <n v="2125"/>
    <n v="597"/>
  </r>
  <r>
    <x v="2"/>
    <x v="22"/>
    <n v="83"/>
    <n v="22000"/>
    <n v="3"/>
    <n v="55"/>
    <n v="25"/>
  </r>
  <r>
    <x v="2"/>
    <x v="23"/>
    <n v="1091"/>
    <n v="151100"/>
    <n v="34"/>
    <n v="883"/>
    <n v="174"/>
  </r>
  <r>
    <x v="2"/>
    <x v="24"/>
    <n v="1658"/>
    <n v="176830"/>
    <n v="62"/>
    <n v="1240"/>
    <n v="356"/>
  </r>
  <r>
    <x v="2"/>
    <x v="25"/>
    <n v="890"/>
    <n v="115020"/>
    <n v="42"/>
    <n v="612"/>
    <n v="236"/>
  </r>
  <r>
    <x v="2"/>
    <x v="26"/>
    <n v="131"/>
    <n v="23080"/>
    <n v="1"/>
    <n v="102"/>
    <n v="28"/>
  </r>
  <r>
    <x v="2"/>
    <x v="27"/>
    <n v="1231"/>
    <n v="112680"/>
    <n v="46"/>
    <n v="978"/>
    <n v="207"/>
  </r>
  <r>
    <x v="2"/>
    <x v="28"/>
    <n v="2770"/>
    <n v="318170"/>
    <n v="100"/>
    <n v="2228"/>
    <n v="442"/>
  </r>
  <r>
    <x v="2"/>
    <x v="29"/>
    <n v="886"/>
    <n v="94000"/>
    <n v="18"/>
    <n v="681"/>
    <n v="187"/>
  </r>
  <r>
    <x v="2"/>
    <x v="30"/>
    <n v="691"/>
    <n v="89610"/>
    <n v="41"/>
    <n v="501"/>
    <n v="149"/>
  </r>
  <r>
    <x v="2"/>
    <x v="31"/>
    <n v="1990"/>
    <n v="181310"/>
    <n v="92"/>
    <n v="1493"/>
    <n v="405"/>
  </r>
</pivotCacheRecords>
</file>

<file path=xl/pivotCache/pivotCacheRecords9.xml><?xml version="1.0" encoding="utf-8"?>
<pivotCacheRecords xmlns="http://schemas.openxmlformats.org/spreadsheetml/2006/main" xmlns:r="http://schemas.openxmlformats.org/officeDocument/2006/relationships" count="96">
  <r>
    <x v="0"/>
    <x v="0"/>
    <n v="58"/>
    <n v="12"/>
    <n v="43"/>
    <n v="4"/>
    <n v="23"/>
    <n v="2"/>
    <n v="117"/>
    <n v="11"/>
    <n v="3"/>
    <n v="5"/>
    <n v="9"/>
    <n v="7"/>
    <n v="11"/>
    <n v="113"/>
    <n v="21"/>
    <n v="58"/>
    <n v="0"/>
    <n v="15"/>
    <n v="27"/>
    <n v="39"/>
  </r>
  <r>
    <x v="0"/>
    <x v="1"/>
    <n v="187"/>
    <n v="5"/>
    <n v="84"/>
    <n v="15"/>
    <n v="13"/>
    <n v="0"/>
    <n v="11"/>
    <n v="69"/>
    <n v="5"/>
    <n v="2"/>
    <n v="4"/>
    <n v="4"/>
    <n v="16"/>
    <n v="51"/>
    <n v="9"/>
    <n v="29"/>
    <n v="0"/>
    <n v="1"/>
    <n v="32"/>
    <n v="4"/>
  </r>
  <r>
    <x v="0"/>
    <x v="2"/>
    <n v="69"/>
    <n v="1"/>
    <n v="56"/>
    <n v="5"/>
    <n v="9"/>
    <n v="0"/>
    <n v="1"/>
    <n v="6"/>
    <n v="2"/>
    <n v="1"/>
    <n v="3"/>
    <n v="3"/>
    <n v="9"/>
    <n v="39"/>
    <n v="15"/>
    <n v="2"/>
    <n v="0"/>
    <n v="0"/>
    <n v="17"/>
    <n v="2"/>
  </r>
  <r>
    <x v="0"/>
    <x v="3"/>
    <n v="70"/>
    <n v="1"/>
    <n v="34"/>
    <n v="4"/>
    <n v="5"/>
    <n v="0"/>
    <n v="7"/>
    <n v="9"/>
    <n v="1"/>
    <n v="0"/>
    <n v="4"/>
    <n v="3"/>
    <n v="8"/>
    <n v="20"/>
    <n v="4"/>
    <n v="20"/>
    <n v="2"/>
    <n v="31"/>
    <n v="50"/>
    <n v="2"/>
  </r>
  <r>
    <x v="0"/>
    <x v="4"/>
    <n v="19"/>
    <n v="1"/>
    <n v="6"/>
    <n v="0"/>
    <n v="6"/>
    <n v="0"/>
    <n v="0"/>
    <n v="6"/>
    <n v="1"/>
    <n v="1"/>
    <n v="2"/>
    <n v="5"/>
    <n v="7"/>
    <n v="16"/>
    <n v="2"/>
    <n v="0"/>
    <n v="0"/>
    <n v="0"/>
    <n v="21"/>
    <n v="0"/>
  </r>
  <r>
    <x v="0"/>
    <x v="5"/>
    <n v="102"/>
    <n v="2"/>
    <n v="69"/>
    <n v="9"/>
    <n v="18"/>
    <n v="2"/>
    <n v="17"/>
    <n v="18"/>
    <n v="3"/>
    <n v="6"/>
    <n v="15"/>
    <n v="6"/>
    <n v="16"/>
    <n v="49"/>
    <n v="9"/>
    <n v="7"/>
    <n v="0"/>
    <n v="0"/>
    <n v="23"/>
    <n v="5"/>
  </r>
  <r>
    <x v="0"/>
    <x v="6"/>
    <n v="40"/>
    <n v="4"/>
    <n v="35"/>
    <n v="3"/>
    <n v="20"/>
    <n v="4"/>
    <n v="34"/>
    <n v="11"/>
    <n v="1"/>
    <n v="9"/>
    <n v="20"/>
    <n v="13"/>
    <n v="15"/>
    <n v="97"/>
    <n v="62"/>
    <n v="12"/>
    <n v="0"/>
    <n v="0"/>
    <n v="20"/>
    <n v="5"/>
  </r>
  <r>
    <x v="0"/>
    <x v="7"/>
    <n v="66"/>
    <n v="4"/>
    <n v="24"/>
    <n v="1"/>
    <n v="12"/>
    <n v="0"/>
    <n v="3"/>
    <n v="3"/>
    <n v="0"/>
    <n v="3"/>
    <n v="2"/>
    <n v="1"/>
    <n v="8"/>
    <n v="24"/>
    <n v="4"/>
    <n v="41"/>
    <n v="0"/>
    <n v="1"/>
    <n v="15"/>
    <n v="3"/>
  </r>
  <r>
    <x v="0"/>
    <x v="8"/>
    <n v="24"/>
    <n v="1"/>
    <n v="20"/>
    <n v="3"/>
    <n v="4"/>
    <n v="0"/>
    <n v="3"/>
    <n v="8"/>
    <n v="0"/>
    <n v="0"/>
    <n v="1"/>
    <n v="16"/>
    <n v="7"/>
    <n v="38"/>
    <n v="1"/>
    <n v="30"/>
    <n v="0"/>
    <n v="0"/>
    <n v="11"/>
    <n v="1"/>
  </r>
  <r>
    <x v="0"/>
    <x v="9"/>
    <n v="57"/>
    <n v="2"/>
    <n v="12"/>
    <n v="2"/>
    <n v="15"/>
    <n v="1"/>
    <n v="4"/>
    <n v="24"/>
    <n v="3"/>
    <n v="10"/>
    <n v="2"/>
    <n v="4"/>
    <n v="7"/>
    <n v="34"/>
    <n v="8"/>
    <n v="12"/>
    <n v="0"/>
    <n v="0"/>
    <n v="14"/>
    <n v="3"/>
  </r>
  <r>
    <x v="0"/>
    <x v="10"/>
    <n v="22"/>
    <n v="0"/>
    <n v="14"/>
    <n v="1"/>
    <n v="9"/>
    <n v="0"/>
    <n v="3"/>
    <n v="3"/>
    <n v="0"/>
    <n v="1"/>
    <n v="1"/>
    <n v="4"/>
    <n v="5"/>
    <n v="30"/>
    <n v="2"/>
    <n v="18"/>
    <n v="1"/>
    <n v="0"/>
    <n v="12"/>
    <n v="1"/>
  </r>
  <r>
    <x v="0"/>
    <x v="11"/>
    <n v="143"/>
    <n v="10"/>
    <n v="138"/>
    <n v="7"/>
    <n v="68"/>
    <n v="4"/>
    <n v="109"/>
    <n v="49"/>
    <n v="7"/>
    <n v="40"/>
    <n v="30"/>
    <n v="33"/>
    <n v="21"/>
    <n v="487"/>
    <n v="57"/>
    <n v="143"/>
    <n v="1"/>
    <n v="2"/>
    <n v="79"/>
    <n v="20"/>
  </r>
  <r>
    <x v="0"/>
    <x v="12"/>
    <n v="72"/>
    <n v="1"/>
    <n v="27"/>
    <n v="5"/>
    <n v="17"/>
    <n v="2"/>
    <n v="8"/>
    <n v="17"/>
    <n v="3"/>
    <n v="3"/>
    <n v="6"/>
    <n v="5"/>
    <n v="10"/>
    <n v="50"/>
    <n v="6"/>
    <n v="25"/>
    <n v="0"/>
    <n v="2"/>
    <n v="67"/>
    <n v="3"/>
  </r>
  <r>
    <x v="0"/>
    <x v="13"/>
    <n v="149"/>
    <n v="3"/>
    <n v="63"/>
    <n v="7"/>
    <n v="53"/>
    <n v="3"/>
    <n v="26"/>
    <n v="34"/>
    <n v="14"/>
    <n v="16"/>
    <n v="11"/>
    <n v="16"/>
    <n v="28"/>
    <n v="109"/>
    <n v="19"/>
    <n v="32"/>
    <n v="0"/>
    <n v="1"/>
    <n v="75"/>
    <n v="8"/>
  </r>
  <r>
    <x v="0"/>
    <x v="14"/>
    <n v="188"/>
    <n v="3"/>
    <n v="210"/>
    <n v="25"/>
    <n v="71"/>
    <n v="9"/>
    <n v="132"/>
    <n v="44"/>
    <n v="16"/>
    <n v="19"/>
    <n v="19"/>
    <n v="50"/>
    <n v="35"/>
    <n v="426"/>
    <n v="37"/>
    <n v="319"/>
    <n v="1"/>
    <n v="0"/>
    <n v="247"/>
    <n v="28"/>
  </r>
  <r>
    <x v="0"/>
    <x v="15"/>
    <n v="202"/>
    <n v="7"/>
    <n v="88"/>
    <n v="3"/>
    <n v="12"/>
    <n v="3"/>
    <n v="30"/>
    <n v="13"/>
    <n v="8"/>
    <n v="13"/>
    <n v="13"/>
    <n v="6"/>
    <n v="40"/>
    <n v="66"/>
    <n v="16"/>
    <n v="21"/>
    <n v="0"/>
    <n v="0"/>
    <n v="53"/>
    <n v="9"/>
  </r>
  <r>
    <x v="0"/>
    <x v="16"/>
    <n v="36"/>
    <n v="0"/>
    <n v="25"/>
    <n v="1"/>
    <n v="14"/>
    <n v="1"/>
    <n v="11"/>
    <n v="5"/>
    <n v="1"/>
    <n v="0"/>
    <n v="5"/>
    <n v="5"/>
    <n v="3"/>
    <n v="59"/>
    <n v="13"/>
    <n v="26"/>
    <n v="0"/>
    <n v="1"/>
    <n v="20"/>
    <n v="3"/>
  </r>
  <r>
    <x v="0"/>
    <x v="17"/>
    <n v="47"/>
    <n v="2"/>
    <n v="13"/>
    <n v="4"/>
    <n v="8"/>
    <n v="2"/>
    <n v="2"/>
    <n v="12"/>
    <n v="1"/>
    <n v="7"/>
    <n v="4"/>
    <n v="5"/>
    <n v="10"/>
    <n v="41"/>
    <n v="5"/>
    <n v="13"/>
    <n v="0"/>
    <n v="0"/>
    <n v="7"/>
    <n v="0"/>
  </r>
  <r>
    <x v="0"/>
    <x v="18"/>
    <n v="37"/>
    <n v="0"/>
    <n v="0"/>
    <n v="3"/>
    <n v="6"/>
    <n v="0"/>
    <n v="3"/>
    <n v="4"/>
    <n v="1"/>
    <n v="4"/>
    <n v="3"/>
    <n v="5"/>
    <n v="8"/>
    <n v="23"/>
    <n v="1"/>
    <n v="16"/>
    <n v="0"/>
    <n v="1"/>
    <n v="14"/>
    <n v="0"/>
  </r>
  <r>
    <x v="0"/>
    <x v="19"/>
    <n v="16"/>
    <n v="0"/>
    <n v="7"/>
    <n v="0"/>
    <n v="1"/>
    <n v="1"/>
    <n v="0"/>
    <n v="1"/>
    <n v="0"/>
    <n v="1"/>
    <n v="0"/>
    <n v="1"/>
    <n v="6"/>
    <n v="5"/>
    <n v="3"/>
    <n v="1"/>
    <n v="0"/>
    <n v="1"/>
    <n v="4"/>
    <n v="4"/>
  </r>
  <r>
    <x v="0"/>
    <x v="20"/>
    <n v="53"/>
    <n v="0"/>
    <n v="26"/>
    <n v="2"/>
    <n v="16"/>
    <n v="2"/>
    <n v="10"/>
    <n v="5"/>
    <n v="3"/>
    <n v="2"/>
    <n v="2"/>
    <n v="5"/>
    <n v="16"/>
    <n v="75"/>
    <n v="9"/>
    <n v="47"/>
    <n v="0"/>
    <n v="0"/>
    <n v="51"/>
    <n v="1"/>
  </r>
  <r>
    <x v="0"/>
    <x v="21"/>
    <n v="124"/>
    <n v="3"/>
    <n v="83"/>
    <n v="3"/>
    <n v="25"/>
    <n v="7"/>
    <n v="29"/>
    <n v="11"/>
    <n v="7"/>
    <n v="6"/>
    <n v="15"/>
    <n v="30"/>
    <n v="17"/>
    <n v="128"/>
    <n v="17"/>
    <n v="80"/>
    <n v="1"/>
    <n v="2"/>
    <n v="75"/>
    <n v="7"/>
  </r>
  <r>
    <x v="0"/>
    <x v="22"/>
    <n v="8"/>
    <n v="1"/>
    <n v="4"/>
    <n v="0"/>
    <n v="3"/>
    <n v="0"/>
    <n v="1"/>
    <n v="0"/>
    <n v="1"/>
    <n v="0"/>
    <n v="0"/>
    <n v="1"/>
    <n v="0"/>
    <n v="2"/>
    <n v="0"/>
    <n v="0"/>
    <n v="0"/>
    <n v="3"/>
    <n v="3"/>
    <n v="0"/>
  </r>
  <r>
    <x v="0"/>
    <x v="23"/>
    <n v="91"/>
    <n v="4"/>
    <n v="104"/>
    <n v="18"/>
    <n v="7"/>
    <n v="1"/>
    <n v="8"/>
    <n v="13"/>
    <n v="2"/>
    <n v="4"/>
    <n v="17"/>
    <n v="7"/>
    <n v="14"/>
    <n v="39"/>
    <n v="28"/>
    <n v="6"/>
    <n v="0"/>
    <n v="0"/>
    <n v="14"/>
    <n v="5"/>
  </r>
  <r>
    <x v="0"/>
    <x v="24"/>
    <n v="54"/>
    <n v="4"/>
    <n v="47"/>
    <n v="5"/>
    <n v="11"/>
    <n v="2"/>
    <n v="15"/>
    <n v="20"/>
    <n v="7"/>
    <n v="3"/>
    <n v="4"/>
    <n v="7"/>
    <n v="8"/>
    <n v="94"/>
    <n v="9"/>
    <n v="128"/>
    <n v="0"/>
    <n v="6"/>
    <n v="60"/>
    <n v="8"/>
  </r>
  <r>
    <x v="0"/>
    <x v="25"/>
    <n v="108"/>
    <n v="5"/>
    <n v="80"/>
    <n v="13"/>
    <n v="19"/>
    <n v="0"/>
    <n v="2"/>
    <n v="41"/>
    <n v="6"/>
    <n v="8"/>
    <n v="6"/>
    <n v="2"/>
    <n v="19"/>
    <n v="43"/>
    <n v="3"/>
    <n v="11"/>
    <n v="0"/>
    <n v="3"/>
    <n v="17"/>
    <n v="3"/>
  </r>
  <r>
    <x v="0"/>
    <x v="26"/>
    <n v="9"/>
    <n v="1"/>
    <n v="2"/>
    <n v="0"/>
    <n v="0"/>
    <n v="0"/>
    <n v="0"/>
    <n v="0"/>
    <n v="0"/>
    <n v="0"/>
    <n v="0"/>
    <n v="1"/>
    <n v="2"/>
    <n v="3"/>
    <n v="3"/>
    <n v="3"/>
    <n v="0"/>
    <n v="4"/>
    <n v="4"/>
    <n v="0"/>
  </r>
  <r>
    <x v="0"/>
    <x v="27"/>
    <n v="60"/>
    <n v="4"/>
    <n v="22"/>
    <n v="9"/>
    <n v="10"/>
    <n v="1"/>
    <n v="12"/>
    <n v="7"/>
    <n v="4"/>
    <n v="2"/>
    <n v="3"/>
    <n v="6"/>
    <n v="4"/>
    <n v="47"/>
    <n v="11"/>
    <n v="52"/>
    <n v="1"/>
    <n v="2"/>
    <n v="40"/>
    <n v="4"/>
  </r>
  <r>
    <x v="0"/>
    <x v="28"/>
    <n v="137"/>
    <n v="3"/>
    <n v="71"/>
    <n v="5"/>
    <n v="21"/>
    <n v="3"/>
    <n v="21"/>
    <n v="20"/>
    <n v="2"/>
    <n v="6"/>
    <n v="9"/>
    <n v="15"/>
    <n v="13"/>
    <n v="117"/>
    <n v="17"/>
    <n v="96"/>
    <n v="0"/>
    <n v="0"/>
    <n v="65"/>
    <n v="15"/>
  </r>
  <r>
    <x v="0"/>
    <x v="29"/>
    <n v="71"/>
    <n v="2"/>
    <n v="35"/>
    <n v="14"/>
    <n v="7"/>
    <n v="0"/>
    <n v="7"/>
    <n v="18"/>
    <n v="1"/>
    <n v="0"/>
    <n v="4"/>
    <n v="5"/>
    <n v="10"/>
    <n v="37"/>
    <n v="2"/>
    <n v="5"/>
    <n v="0"/>
    <n v="0"/>
    <n v="22"/>
    <n v="0"/>
  </r>
  <r>
    <x v="0"/>
    <x v="30"/>
    <n v="32"/>
    <n v="1"/>
    <n v="23"/>
    <n v="3"/>
    <n v="11"/>
    <n v="1"/>
    <n v="20"/>
    <n v="6"/>
    <n v="4"/>
    <n v="1"/>
    <n v="2"/>
    <n v="7"/>
    <n v="3"/>
    <n v="27"/>
    <n v="4"/>
    <n v="37"/>
    <n v="1"/>
    <n v="0"/>
    <n v="25"/>
    <n v="6"/>
  </r>
  <r>
    <x v="0"/>
    <x v="31"/>
    <n v="93"/>
    <n v="2"/>
    <n v="23"/>
    <n v="2"/>
    <n v="12"/>
    <n v="0"/>
    <n v="6"/>
    <n v="35"/>
    <n v="6"/>
    <n v="10"/>
    <n v="6"/>
    <n v="5"/>
    <n v="8"/>
    <n v="106"/>
    <n v="6"/>
    <n v="41"/>
    <n v="0"/>
    <n v="0"/>
    <n v="17"/>
    <n v="3"/>
  </r>
  <r>
    <x v="1"/>
    <x v="0"/>
    <n v="53"/>
    <n v="6"/>
    <n v="35"/>
    <n v="4"/>
    <n v="25"/>
    <n v="2"/>
    <n v="129"/>
    <n v="11"/>
    <n v="5"/>
    <n v="10"/>
    <n v="8"/>
    <n v="12"/>
    <n v="12"/>
    <n v="121"/>
    <n v="3"/>
    <n v="42"/>
    <n v="0"/>
    <n v="2"/>
    <n v="25"/>
    <n v="11"/>
  </r>
  <r>
    <x v="1"/>
    <x v="1"/>
    <n v="159"/>
    <n v="3"/>
    <n v="17"/>
    <n v="3"/>
    <n v="13"/>
    <n v="1"/>
    <n v="13"/>
    <n v="65"/>
    <n v="5"/>
    <n v="9"/>
    <n v="10"/>
    <n v="5"/>
    <n v="18"/>
    <n v="58"/>
    <n v="2"/>
    <n v="25"/>
    <n v="0"/>
    <n v="1"/>
    <n v="30"/>
    <n v="6"/>
  </r>
  <r>
    <x v="1"/>
    <x v="2"/>
    <n v="53"/>
    <n v="3"/>
    <n v="11"/>
    <n v="1"/>
    <n v="11"/>
    <n v="1"/>
    <n v="4"/>
    <n v="10"/>
    <n v="4"/>
    <n v="3"/>
    <n v="7"/>
    <n v="4"/>
    <n v="11"/>
    <n v="39"/>
    <n v="5"/>
    <n v="7"/>
    <n v="1"/>
    <n v="1"/>
    <n v="18"/>
    <n v="3"/>
  </r>
  <r>
    <x v="1"/>
    <x v="3"/>
    <n v="79"/>
    <n v="4"/>
    <n v="18"/>
    <n v="3"/>
    <n v="7"/>
    <n v="0"/>
    <n v="4"/>
    <n v="20"/>
    <n v="1"/>
    <n v="2"/>
    <n v="2"/>
    <n v="2"/>
    <n v="6"/>
    <n v="22"/>
    <n v="1"/>
    <n v="34"/>
    <n v="0"/>
    <n v="28"/>
    <n v="50"/>
    <n v="4"/>
  </r>
  <r>
    <x v="1"/>
    <x v="4"/>
    <n v="16"/>
    <n v="0"/>
    <n v="6"/>
    <n v="1"/>
    <n v="8"/>
    <n v="0"/>
    <n v="3"/>
    <n v="3"/>
    <n v="2"/>
    <n v="3"/>
    <n v="1"/>
    <n v="7"/>
    <n v="3"/>
    <n v="35"/>
    <n v="2"/>
    <n v="1"/>
    <n v="0"/>
    <n v="1"/>
    <n v="11"/>
    <n v="2"/>
  </r>
  <r>
    <x v="1"/>
    <x v="5"/>
    <n v="99"/>
    <n v="5"/>
    <n v="9"/>
    <n v="10"/>
    <n v="21"/>
    <n v="0"/>
    <n v="9"/>
    <n v="23"/>
    <n v="2"/>
    <n v="4"/>
    <n v="10"/>
    <n v="3"/>
    <n v="14"/>
    <n v="57"/>
    <n v="8"/>
    <n v="5"/>
    <n v="0"/>
    <n v="1"/>
    <n v="39"/>
    <n v="0"/>
  </r>
  <r>
    <x v="1"/>
    <x v="6"/>
    <n v="34"/>
    <n v="2"/>
    <n v="35"/>
    <n v="2"/>
    <n v="30"/>
    <n v="3"/>
    <n v="42"/>
    <n v="6"/>
    <n v="4"/>
    <n v="3"/>
    <n v="18"/>
    <n v="11"/>
    <n v="11"/>
    <n v="121"/>
    <n v="30"/>
    <n v="18"/>
    <n v="0"/>
    <n v="0"/>
    <n v="32"/>
    <n v="2"/>
  </r>
  <r>
    <x v="1"/>
    <x v="7"/>
    <n v="57"/>
    <n v="2"/>
    <n v="8"/>
    <n v="1"/>
    <n v="8"/>
    <n v="1"/>
    <n v="6"/>
    <n v="8"/>
    <n v="3"/>
    <n v="4"/>
    <n v="4"/>
    <n v="4"/>
    <n v="8"/>
    <n v="26"/>
    <n v="1"/>
    <n v="25"/>
    <n v="0"/>
    <n v="1"/>
    <n v="28"/>
    <n v="3"/>
  </r>
  <r>
    <x v="1"/>
    <x v="8"/>
    <n v="30"/>
    <n v="1"/>
    <n v="14"/>
    <n v="1"/>
    <n v="5"/>
    <n v="1"/>
    <n v="4"/>
    <n v="2"/>
    <n v="0"/>
    <n v="0"/>
    <n v="4"/>
    <n v="35"/>
    <n v="10"/>
    <n v="41"/>
    <n v="4"/>
    <n v="14"/>
    <n v="0"/>
    <n v="0"/>
    <n v="17"/>
    <n v="2"/>
  </r>
  <r>
    <x v="1"/>
    <x v="9"/>
    <n v="50"/>
    <n v="1"/>
    <n v="15"/>
    <n v="3"/>
    <n v="20"/>
    <n v="2"/>
    <n v="4"/>
    <n v="27"/>
    <n v="1"/>
    <n v="3"/>
    <n v="7"/>
    <n v="8"/>
    <n v="9"/>
    <n v="46"/>
    <n v="0"/>
    <n v="13"/>
    <n v="0"/>
    <n v="0"/>
    <n v="19"/>
    <n v="1"/>
  </r>
  <r>
    <x v="1"/>
    <x v="10"/>
    <n v="28"/>
    <n v="3"/>
    <n v="10"/>
    <n v="0"/>
    <n v="3"/>
    <n v="1"/>
    <n v="2"/>
    <n v="8"/>
    <n v="0"/>
    <n v="1"/>
    <n v="1"/>
    <n v="3"/>
    <n v="5"/>
    <n v="33"/>
    <n v="2"/>
    <n v="10"/>
    <n v="0"/>
    <n v="1"/>
    <n v="12"/>
    <n v="4"/>
  </r>
  <r>
    <x v="1"/>
    <x v="11"/>
    <n v="145"/>
    <n v="10"/>
    <n v="163"/>
    <n v="8"/>
    <n v="74"/>
    <n v="5"/>
    <n v="113"/>
    <n v="35"/>
    <n v="11"/>
    <n v="37"/>
    <n v="32"/>
    <n v="37"/>
    <n v="25"/>
    <n v="523"/>
    <n v="20"/>
    <n v="122"/>
    <n v="1"/>
    <n v="5"/>
    <n v="80"/>
    <n v="24"/>
  </r>
  <r>
    <x v="1"/>
    <x v="12"/>
    <n v="78"/>
    <n v="4"/>
    <n v="15"/>
    <n v="6"/>
    <n v="14"/>
    <n v="6"/>
    <n v="9"/>
    <n v="39"/>
    <n v="10"/>
    <n v="8"/>
    <n v="5"/>
    <n v="4"/>
    <n v="16"/>
    <n v="120"/>
    <n v="4"/>
    <n v="15"/>
    <n v="0"/>
    <n v="1"/>
    <n v="38"/>
    <n v="2"/>
  </r>
  <r>
    <x v="1"/>
    <x v="13"/>
    <n v="168"/>
    <n v="4"/>
    <n v="54"/>
    <n v="1"/>
    <n v="50"/>
    <n v="5"/>
    <n v="27"/>
    <n v="18"/>
    <n v="12"/>
    <n v="12"/>
    <n v="19"/>
    <n v="11"/>
    <n v="35"/>
    <n v="202"/>
    <n v="8"/>
    <n v="21"/>
    <n v="0"/>
    <n v="4"/>
    <n v="51"/>
    <n v="5"/>
  </r>
  <r>
    <x v="1"/>
    <x v="14"/>
    <n v="206"/>
    <n v="5"/>
    <n v="203"/>
    <n v="26"/>
    <n v="48"/>
    <n v="11"/>
    <n v="161"/>
    <n v="37"/>
    <n v="20"/>
    <n v="25"/>
    <n v="26"/>
    <n v="41"/>
    <n v="37"/>
    <n v="369"/>
    <n v="39"/>
    <n v="293"/>
    <n v="2"/>
    <n v="1"/>
    <n v="226"/>
    <n v="27"/>
  </r>
  <r>
    <x v="1"/>
    <x v="15"/>
    <n v="215"/>
    <n v="3"/>
    <n v="36"/>
    <n v="6"/>
    <n v="15"/>
    <n v="0"/>
    <n v="26"/>
    <n v="8"/>
    <n v="9"/>
    <n v="16"/>
    <n v="16"/>
    <n v="5"/>
    <n v="33"/>
    <n v="77"/>
    <n v="16"/>
    <n v="18"/>
    <n v="1"/>
    <n v="3"/>
    <n v="55"/>
    <n v="14"/>
  </r>
  <r>
    <x v="1"/>
    <x v="16"/>
    <n v="28"/>
    <n v="2"/>
    <n v="33"/>
    <n v="1"/>
    <n v="8"/>
    <n v="3"/>
    <n v="15"/>
    <n v="7"/>
    <n v="3"/>
    <n v="2"/>
    <n v="4"/>
    <n v="4"/>
    <n v="8"/>
    <n v="54"/>
    <n v="8"/>
    <n v="23"/>
    <n v="1"/>
    <n v="2"/>
    <n v="16"/>
    <n v="0"/>
  </r>
  <r>
    <x v="1"/>
    <x v="17"/>
    <n v="39"/>
    <n v="0"/>
    <n v="20"/>
    <n v="2"/>
    <n v="11"/>
    <n v="3"/>
    <n v="0"/>
    <n v="6"/>
    <n v="2"/>
    <n v="3"/>
    <n v="1"/>
    <n v="3"/>
    <n v="8"/>
    <n v="33"/>
    <n v="0"/>
    <n v="18"/>
    <n v="0"/>
    <n v="0"/>
    <n v="12"/>
    <n v="1"/>
  </r>
  <r>
    <x v="1"/>
    <x v="18"/>
    <n v="38"/>
    <n v="2"/>
    <n v="10"/>
    <n v="1"/>
    <n v="21"/>
    <n v="2"/>
    <n v="2"/>
    <n v="4"/>
    <n v="3"/>
    <n v="4"/>
    <n v="3"/>
    <n v="2"/>
    <n v="10"/>
    <n v="35"/>
    <n v="1"/>
    <n v="8"/>
    <n v="0"/>
    <n v="1"/>
    <n v="16"/>
    <n v="2"/>
  </r>
  <r>
    <x v="1"/>
    <x v="19"/>
    <n v="14"/>
    <n v="1"/>
    <n v="2"/>
    <n v="0"/>
    <n v="1"/>
    <n v="0"/>
    <n v="4"/>
    <n v="1"/>
    <n v="0"/>
    <n v="0"/>
    <n v="0"/>
    <n v="1"/>
    <n v="4"/>
    <n v="5"/>
    <n v="1"/>
    <n v="3"/>
    <n v="0"/>
    <n v="6"/>
    <n v="10"/>
    <n v="0"/>
  </r>
  <r>
    <x v="1"/>
    <x v="20"/>
    <n v="39"/>
    <n v="3"/>
    <n v="47"/>
    <n v="1"/>
    <n v="8"/>
    <n v="2"/>
    <n v="12"/>
    <n v="10"/>
    <n v="0"/>
    <n v="4"/>
    <n v="3"/>
    <n v="1"/>
    <n v="9"/>
    <n v="65"/>
    <n v="4"/>
    <n v="31"/>
    <n v="0"/>
    <n v="0"/>
    <n v="45"/>
    <n v="1"/>
  </r>
  <r>
    <x v="1"/>
    <x v="21"/>
    <n v="153"/>
    <n v="2"/>
    <n v="52"/>
    <n v="1"/>
    <n v="30"/>
    <n v="6"/>
    <n v="25"/>
    <n v="15"/>
    <n v="7"/>
    <n v="4"/>
    <n v="15"/>
    <n v="22"/>
    <n v="15"/>
    <n v="126"/>
    <n v="8"/>
    <n v="71"/>
    <n v="0"/>
    <n v="0"/>
    <n v="61"/>
    <n v="8"/>
  </r>
  <r>
    <x v="1"/>
    <x v="22"/>
    <n v="5"/>
    <n v="1"/>
    <n v="0"/>
    <n v="1"/>
    <n v="0"/>
    <n v="0"/>
    <n v="0"/>
    <n v="1"/>
    <n v="1"/>
    <n v="1"/>
    <n v="0"/>
    <n v="0"/>
    <n v="1"/>
    <n v="1"/>
    <n v="1"/>
    <n v="3"/>
    <n v="0"/>
    <n v="0"/>
    <n v="7"/>
    <n v="1"/>
  </r>
  <r>
    <x v="1"/>
    <x v="23"/>
    <n v="86"/>
    <n v="2"/>
    <n v="19"/>
    <n v="18"/>
    <n v="13"/>
    <n v="1"/>
    <n v="10"/>
    <n v="11"/>
    <n v="1"/>
    <n v="5"/>
    <n v="6"/>
    <n v="2"/>
    <n v="8"/>
    <n v="59"/>
    <n v="9"/>
    <n v="8"/>
    <n v="0"/>
    <n v="0"/>
    <n v="16"/>
    <n v="2"/>
  </r>
  <r>
    <x v="1"/>
    <x v="24"/>
    <n v="86"/>
    <n v="4"/>
    <n v="33"/>
    <n v="5"/>
    <n v="16"/>
    <n v="2"/>
    <n v="19"/>
    <n v="13"/>
    <n v="4"/>
    <n v="3"/>
    <n v="9"/>
    <n v="4"/>
    <n v="13"/>
    <n v="116"/>
    <n v="2"/>
    <n v="78"/>
    <n v="0"/>
    <n v="4"/>
    <n v="39"/>
    <n v="7"/>
  </r>
  <r>
    <x v="1"/>
    <x v="25"/>
    <n v="99"/>
    <n v="3"/>
    <n v="19"/>
    <n v="3"/>
    <n v="14"/>
    <n v="0"/>
    <n v="6"/>
    <n v="38"/>
    <n v="4"/>
    <n v="8"/>
    <n v="4"/>
    <n v="5"/>
    <n v="11"/>
    <n v="62"/>
    <n v="2"/>
    <n v="12"/>
    <n v="0"/>
    <n v="0"/>
    <n v="27"/>
    <n v="4"/>
  </r>
  <r>
    <x v="1"/>
    <x v="26"/>
    <n v="10"/>
    <n v="0"/>
    <n v="3"/>
    <n v="0"/>
    <n v="1"/>
    <n v="0"/>
    <n v="0"/>
    <n v="1"/>
    <n v="2"/>
    <n v="2"/>
    <n v="0"/>
    <n v="1"/>
    <n v="0"/>
    <n v="2"/>
    <n v="3"/>
    <n v="2"/>
    <n v="0"/>
    <n v="6"/>
    <n v="5"/>
    <n v="0"/>
  </r>
  <r>
    <x v="1"/>
    <x v="27"/>
    <n v="62"/>
    <n v="1"/>
    <n v="14"/>
    <n v="2"/>
    <n v="12"/>
    <n v="1"/>
    <n v="12"/>
    <n v="9"/>
    <n v="2"/>
    <n v="3"/>
    <n v="7"/>
    <n v="5"/>
    <n v="12"/>
    <n v="49"/>
    <n v="6"/>
    <n v="30"/>
    <n v="0"/>
    <n v="3"/>
    <n v="22"/>
    <n v="1"/>
  </r>
  <r>
    <x v="1"/>
    <x v="28"/>
    <n v="150"/>
    <n v="3"/>
    <n v="37"/>
    <n v="1"/>
    <n v="16"/>
    <n v="5"/>
    <n v="14"/>
    <n v="19"/>
    <n v="10"/>
    <n v="3"/>
    <n v="13"/>
    <n v="18"/>
    <n v="19"/>
    <n v="124"/>
    <n v="9"/>
    <n v="105"/>
    <n v="1"/>
    <n v="0"/>
    <n v="80"/>
    <n v="8"/>
  </r>
  <r>
    <x v="1"/>
    <x v="29"/>
    <n v="67"/>
    <n v="1"/>
    <n v="23"/>
    <n v="4"/>
    <n v="11"/>
    <n v="1"/>
    <n v="6"/>
    <n v="18"/>
    <n v="3"/>
    <n v="3"/>
    <n v="7"/>
    <n v="2"/>
    <n v="12"/>
    <n v="48"/>
    <n v="3"/>
    <n v="6"/>
    <n v="0"/>
    <n v="1"/>
    <n v="16"/>
    <n v="1"/>
  </r>
  <r>
    <x v="1"/>
    <x v="30"/>
    <n v="27"/>
    <n v="0"/>
    <n v="21"/>
    <n v="1"/>
    <n v="10"/>
    <n v="3"/>
    <n v="9"/>
    <n v="10"/>
    <n v="3"/>
    <n v="0"/>
    <n v="7"/>
    <n v="3"/>
    <n v="7"/>
    <n v="46"/>
    <n v="5"/>
    <n v="20"/>
    <n v="0"/>
    <n v="0"/>
    <n v="28"/>
    <n v="4"/>
  </r>
  <r>
    <x v="1"/>
    <x v="31"/>
    <n v="88"/>
    <n v="4"/>
    <n v="23"/>
    <n v="2"/>
    <n v="22"/>
    <n v="3"/>
    <n v="5"/>
    <n v="56"/>
    <n v="4"/>
    <n v="8"/>
    <n v="6"/>
    <n v="8"/>
    <n v="11"/>
    <n v="137"/>
    <n v="9"/>
    <n v="41"/>
    <n v="0"/>
    <n v="0"/>
    <n v="36"/>
    <n v="1"/>
  </r>
  <r>
    <x v="2"/>
    <x v="0"/>
    <n v="52"/>
    <n v="13"/>
    <n v="58"/>
    <n v="1"/>
    <n v="26"/>
    <n v="5"/>
    <n v="151"/>
    <n v="18"/>
    <n v="3"/>
    <n v="16"/>
    <n v="3"/>
    <n v="5"/>
    <n v="20"/>
    <n v="146"/>
    <n v="11"/>
    <n v="29"/>
    <n v="0"/>
    <n v="1"/>
    <n v="28"/>
    <n v="8"/>
  </r>
  <r>
    <x v="2"/>
    <x v="1"/>
    <n v="182"/>
    <n v="0"/>
    <n v="26"/>
    <n v="5"/>
    <n v="17"/>
    <n v="1"/>
    <n v="14"/>
    <n v="26"/>
    <n v="0"/>
    <n v="7"/>
    <n v="4"/>
    <n v="6"/>
    <n v="24"/>
    <n v="57"/>
    <n v="8"/>
    <n v="12"/>
    <n v="0"/>
    <n v="0"/>
    <n v="34"/>
    <n v="2"/>
  </r>
  <r>
    <x v="2"/>
    <x v="2"/>
    <n v="65"/>
    <n v="1"/>
    <n v="20"/>
    <n v="2"/>
    <n v="16"/>
    <n v="1"/>
    <n v="3"/>
    <n v="11"/>
    <n v="3"/>
    <n v="4"/>
    <n v="2"/>
    <n v="3"/>
    <n v="9"/>
    <n v="77"/>
    <n v="7"/>
    <n v="20"/>
    <n v="0"/>
    <n v="0"/>
    <n v="28"/>
    <n v="4"/>
  </r>
  <r>
    <x v="2"/>
    <x v="3"/>
    <n v="77"/>
    <n v="2"/>
    <n v="22"/>
    <n v="3"/>
    <n v="6"/>
    <n v="2"/>
    <n v="8"/>
    <n v="15"/>
    <n v="4"/>
    <n v="2"/>
    <n v="6"/>
    <n v="3"/>
    <n v="10"/>
    <n v="28"/>
    <n v="6"/>
    <n v="29"/>
    <n v="0"/>
    <n v="25"/>
    <n v="53"/>
    <n v="3"/>
  </r>
  <r>
    <x v="2"/>
    <x v="4"/>
    <n v="12"/>
    <n v="0"/>
    <n v="9"/>
    <n v="0"/>
    <n v="8"/>
    <n v="1"/>
    <n v="1"/>
    <n v="4"/>
    <n v="2"/>
    <n v="1"/>
    <n v="2"/>
    <n v="6"/>
    <n v="4"/>
    <n v="41"/>
    <n v="0"/>
    <n v="3"/>
    <n v="0"/>
    <n v="0"/>
    <n v="12"/>
    <n v="1"/>
  </r>
  <r>
    <x v="2"/>
    <x v="5"/>
    <n v="91"/>
    <n v="4"/>
    <n v="30"/>
    <n v="13"/>
    <n v="11"/>
    <n v="1"/>
    <n v="12"/>
    <n v="23"/>
    <n v="8"/>
    <n v="6"/>
    <n v="7"/>
    <n v="5"/>
    <n v="19"/>
    <n v="45"/>
    <n v="7"/>
    <n v="7"/>
    <n v="0"/>
    <n v="1"/>
    <n v="35"/>
    <n v="5"/>
  </r>
  <r>
    <x v="2"/>
    <x v="6"/>
    <n v="34"/>
    <n v="3"/>
    <n v="45"/>
    <n v="2"/>
    <n v="12"/>
    <n v="6"/>
    <n v="54"/>
    <n v="8"/>
    <n v="5"/>
    <n v="4"/>
    <n v="6"/>
    <n v="3"/>
    <n v="12"/>
    <n v="141"/>
    <n v="32"/>
    <n v="21"/>
    <n v="0"/>
    <n v="1"/>
    <n v="20"/>
    <n v="7"/>
  </r>
  <r>
    <x v="2"/>
    <x v="7"/>
    <n v="61"/>
    <n v="3"/>
    <n v="15"/>
    <n v="5"/>
    <n v="7"/>
    <n v="0"/>
    <n v="2"/>
    <n v="4"/>
    <n v="2"/>
    <n v="3"/>
    <n v="0"/>
    <n v="3"/>
    <n v="8"/>
    <n v="45"/>
    <n v="5"/>
    <n v="26"/>
    <n v="0"/>
    <n v="0"/>
    <n v="23"/>
    <n v="3"/>
  </r>
  <r>
    <x v="2"/>
    <x v="8"/>
    <n v="38"/>
    <n v="0"/>
    <n v="26"/>
    <n v="2"/>
    <n v="3"/>
    <n v="1"/>
    <n v="8"/>
    <n v="5"/>
    <n v="0"/>
    <n v="5"/>
    <n v="3"/>
    <n v="19"/>
    <n v="6"/>
    <n v="43"/>
    <n v="2"/>
    <n v="28"/>
    <n v="0"/>
    <n v="2"/>
    <n v="16"/>
    <n v="3"/>
  </r>
  <r>
    <x v="2"/>
    <x v="9"/>
    <n v="55"/>
    <n v="1"/>
    <n v="12"/>
    <n v="2"/>
    <n v="10"/>
    <n v="1"/>
    <n v="4"/>
    <n v="18"/>
    <n v="0"/>
    <n v="3"/>
    <n v="4"/>
    <n v="6"/>
    <n v="3"/>
    <n v="69"/>
    <n v="3"/>
    <n v="13"/>
    <n v="0"/>
    <n v="1"/>
    <n v="9"/>
    <n v="3"/>
  </r>
  <r>
    <x v="2"/>
    <x v="10"/>
    <n v="29"/>
    <n v="1"/>
    <n v="14"/>
    <n v="0"/>
    <n v="8"/>
    <n v="0"/>
    <n v="4"/>
    <n v="5"/>
    <n v="1"/>
    <n v="2"/>
    <n v="1"/>
    <n v="3"/>
    <n v="5"/>
    <n v="28"/>
    <n v="2"/>
    <n v="19"/>
    <n v="0"/>
    <n v="0"/>
    <n v="14"/>
    <n v="2"/>
  </r>
  <r>
    <x v="2"/>
    <x v="11"/>
    <n v="136"/>
    <n v="6"/>
    <n v="168"/>
    <n v="11"/>
    <n v="40"/>
    <n v="2"/>
    <n v="125"/>
    <n v="47"/>
    <n v="11"/>
    <n v="30"/>
    <n v="34"/>
    <n v="33"/>
    <n v="22"/>
    <n v="511"/>
    <n v="30"/>
    <n v="128"/>
    <n v="0"/>
    <n v="6"/>
    <n v="92"/>
    <n v="19"/>
  </r>
  <r>
    <x v="2"/>
    <x v="12"/>
    <n v="93"/>
    <n v="3"/>
    <n v="32"/>
    <n v="3"/>
    <n v="22"/>
    <n v="3"/>
    <n v="8"/>
    <n v="12"/>
    <n v="3"/>
    <n v="3"/>
    <n v="3"/>
    <n v="8"/>
    <n v="11"/>
    <n v="123"/>
    <n v="4"/>
    <n v="22"/>
    <n v="0"/>
    <n v="1"/>
    <n v="40"/>
    <n v="4"/>
  </r>
  <r>
    <x v="2"/>
    <x v="13"/>
    <n v="170"/>
    <n v="8"/>
    <n v="84"/>
    <n v="9"/>
    <n v="49"/>
    <n v="10"/>
    <n v="22"/>
    <n v="31"/>
    <n v="14"/>
    <n v="14"/>
    <n v="23"/>
    <n v="19"/>
    <n v="29"/>
    <n v="236"/>
    <n v="10"/>
    <n v="21"/>
    <n v="0"/>
    <n v="2"/>
    <n v="64"/>
    <n v="11"/>
  </r>
  <r>
    <x v="2"/>
    <x v="14"/>
    <n v="199"/>
    <n v="10"/>
    <n v="247"/>
    <n v="24"/>
    <n v="77"/>
    <n v="14"/>
    <n v="140"/>
    <n v="55"/>
    <n v="25"/>
    <n v="30"/>
    <n v="14"/>
    <n v="36"/>
    <n v="35"/>
    <n v="409"/>
    <n v="39"/>
    <n v="316"/>
    <n v="1"/>
    <n v="4"/>
    <n v="219"/>
    <n v="43"/>
  </r>
  <r>
    <x v="2"/>
    <x v="15"/>
    <n v="236"/>
    <n v="5"/>
    <n v="51"/>
    <n v="8"/>
    <n v="30"/>
    <n v="2"/>
    <n v="20"/>
    <n v="18"/>
    <n v="4"/>
    <n v="9"/>
    <n v="8"/>
    <n v="6"/>
    <n v="29"/>
    <n v="92"/>
    <n v="16"/>
    <n v="24"/>
    <n v="0"/>
    <n v="7"/>
    <n v="64"/>
    <n v="1"/>
  </r>
  <r>
    <x v="2"/>
    <x v="16"/>
    <n v="30"/>
    <n v="0"/>
    <n v="29"/>
    <n v="1"/>
    <n v="18"/>
    <n v="4"/>
    <n v="12"/>
    <n v="13"/>
    <n v="2"/>
    <n v="1"/>
    <n v="4"/>
    <n v="4"/>
    <n v="12"/>
    <n v="52"/>
    <n v="9"/>
    <n v="29"/>
    <n v="0"/>
    <n v="1"/>
    <n v="22"/>
    <n v="4"/>
  </r>
  <r>
    <x v="2"/>
    <x v="17"/>
    <n v="42"/>
    <n v="1"/>
    <n v="18"/>
    <n v="1"/>
    <n v="11"/>
    <n v="2"/>
    <n v="2"/>
    <n v="10"/>
    <n v="4"/>
    <n v="3"/>
    <n v="4"/>
    <n v="5"/>
    <n v="10"/>
    <n v="45"/>
    <n v="1"/>
    <n v="12"/>
    <n v="0"/>
    <n v="0"/>
    <n v="15"/>
    <n v="2"/>
  </r>
  <r>
    <x v="2"/>
    <x v="18"/>
    <n v="53"/>
    <n v="2"/>
    <n v="6"/>
    <n v="6"/>
    <n v="11"/>
    <n v="0"/>
    <n v="3"/>
    <n v="4"/>
    <n v="3"/>
    <n v="5"/>
    <n v="1"/>
    <n v="1"/>
    <n v="10"/>
    <n v="31"/>
    <n v="3"/>
    <n v="5"/>
    <n v="0"/>
    <n v="0"/>
    <n v="6"/>
    <n v="0"/>
  </r>
  <r>
    <x v="2"/>
    <x v="19"/>
    <n v="16"/>
    <n v="0"/>
    <n v="5"/>
    <n v="0"/>
    <n v="0"/>
    <n v="0"/>
    <n v="5"/>
    <n v="1"/>
    <n v="0"/>
    <n v="1"/>
    <n v="0"/>
    <n v="0"/>
    <n v="5"/>
    <n v="7"/>
    <n v="0"/>
    <n v="1"/>
    <n v="0"/>
    <n v="0"/>
    <n v="8"/>
    <n v="0"/>
  </r>
  <r>
    <x v="2"/>
    <x v="20"/>
    <n v="45"/>
    <n v="0"/>
    <n v="36"/>
    <n v="3"/>
    <n v="16"/>
    <n v="3"/>
    <n v="17"/>
    <n v="13"/>
    <n v="1"/>
    <n v="2"/>
    <n v="5"/>
    <n v="9"/>
    <n v="6"/>
    <n v="68"/>
    <n v="5"/>
    <n v="37"/>
    <n v="0"/>
    <n v="0"/>
    <n v="40"/>
    <n v="4"/>
  </r>
  <r>
    <x v="2"/>
    <x v="21"/>
    <n v="128"/>
    <n v="5"/>
    <n v="88"/>
    <n v="1"/>
    <n v="37"/>
    <n v="5"/>
    <n v="21"/>
    <n v="13"/>
    <n v="7"/>
    <n v="10"/>
    <n v="10"/>
    <n v="26"/>
    <n v="25"/>
    <n v="127"/>
    <n v="13"/>
    <n v="85"/>
    <n v="0"/>
    <n v="0"/>
    <n v="69"/>
    <n v="6"/>
  </r>
  <r>
    <x v="2"/>
    <x v="22"/>
    <n v="2"/>
    <n v="0"/>
    <n v="6"/>
    <n v="0"/>
    <n v="1"/>
    <n v="0"/>
    <n v="2"/>
    <n v="1"/>
    <n v="0"/>
    <n v="0"/>
    <n v="1"/>
    <n v="0"/>
    <n v="1"/>
    <n v="1"/>
    <n v="0"/>
    <n v="0"/>
    <n v="0"/>
    <n v="3"/>
    <n v="4"/>
    <n v="0"/>
  </r>
  <r>
    <x v="2"/>
    <x v="23"/>
    <n v="118"/>
    <n v="1"/>
    <n v="29"/>
    <n v="8"/>
    <n v="11"/>
    <n v="0"/>
    <n v="10"/>
    <n v="9"/>
    <n v="4"/>
    <n v="0"/>
    <n v="5"/>
    <n v="3"/>
    <n v="15"/>
    <n v="79"/>
    <n v="17"/>
    <n v="14"/>
    <n v="0"/>
    <n v="0"/>
    <n v="22"/>
    <n v="1"/>
  </r>
  <r>
    <x v="2"/>
    <x v="24"/>
    <n v="76"/>
    <n v="3"/>
    <n v="45"/>
    <n v="5"/>
    <n v="17"/>
    <n v="5"/>
    <n v="11"/>
    <n v="25"/>
    <n v="4"/>
    <n v="3"/>
    <n v="9"/>
    <n v="6"/>
    <n v="14"/>
    <n v="107"/>
    <n v="14"/>
    <n v="91"/>
    <n v="1"/>
    <n v="10"/>
    <n v="64"/>
    <n v="12"/>
  </r>
  <r>
    <x v="2"/>
    <x v="25"/>
    <n v="92"/>
    <n v="1"/>
    <n v="23"/>
    <n v="7"/>
    <n v="9"/>
    <n v="2"/>
    <n v="5"/>
    <n v="22"/>
    <n v="2"/>
    <n v="4"/>
    <n v="8"/>
    <n v="5"/>
    <n v="14"/>
    <n v="84"/>
    <n v="8"/>
    <n v="8"/>
    <n v="1"/>
    <n v="0"/>
    <n v="20"/>
    <n v="1"/>
  </r>
  <r>
    <x v="2"/>
    <x v="26"/>
    <n v="12"/>
    <n v="0"/>
    <n v="6"/>
    <n v="0"/>
    <n v="1"/>
    <n v="0"/>
    <n v="2"/>
    <n v="0"/>
    <n v="0"/>
    <n v="1"/>
    <n v="0"/>
    <n v="0"/>
    <n v="0"/>
    <n v="2"/>
    <n v="2"/>
    <n v="1"/>
    <n v="0"/>
    <n v="5"/>
    <n v="5"/>
    <n v="1"/>
  </r>
  <r>
    <x v="2"/>
    <x v="27"/>
    <n v="69"/>
    <n v="6"/>
    <n v="14"/>
    <n v="6"/>
    <n v="18"/>
    <n v="5"/>
    <n v="7"/>
    <n v="10"/>
    <n v="4"/>
    <n v="0"/>
    <n v="4"/>
    <n v="3"/>
    <n v="6"/>
    <n v="53"/>
    <n v="8"/>
    <n v="38"/>
    <n v="0"/>
    <n v="5"/>
    <n v="16"/>
    <n v="2"/>
  </r>
  <r>
    <x v="2"/>
    <x v="28"/>
    <n v="130"/>
    <n v="2"/>
    <n v="65"/>
    <n v="2"/>
    <n v="26"/>
    <n v="2"/>
    <n v="19"/>
    <n v="21"/>
    <n v="5"/>
    <n v="5"/>
    <n v="9"/>
    <n v="18"/>
    <n v="22"/>
    <n v="103"/>
    <n v="17"/>
    <n v="79"/>
    <n v="0"/>
    <n v="0"/>
    <n v="50"/>
    <n v="12"/>
  </r>
  <r>
    <x v="2"/>
    <x v="29"/>
    <n v="58"/>
    <n v="1"/>
    <n v="21"/>
    <n v="11"/>
    <n v="8"/>
    <n v="0"/>
    <n v="8"/>
    <n v="12"/>
    <n v="2"/>
    <n v="3"/>
    <n v="3"/>
    <n v="4"/>
    <n v="12"/>
    <n v="49"/>
    <n v="5"/>
    <n v="7"/>
    <n v="0"/>
    <n v="0"/>
    <n v="14"/>
    <n v="1"/>
  </r>
  <r>
    <x v="2"/>
    <x v="30"/>
    <n v="28"/>
    <n v="0"/>
    <n v="20"/>
    <n v="3"/>
    <n v="7"/>
    <n v="0"/>
    <n v="14"/>
    <n v="7"/>
    <n v="2"/>
    <n v="4"/>
    <n v="3"/>
    <n v="7"/>
    <n v="8"/>
    <n v="42"/>
    <n v="3"/>
    <n v="42"/>
    <n v="0"/>
    <n v="1"/>
    <n v="25"/>
    <n v="5"/>
  </r>
  <r>
    <x v="2"/>
    <x v="31"/>
    <n v="96"/>
    <n v="2"/>
    <n v="27"/>
    <n v="2"/>
    <n v="26"/>
    <n v="6"/>
    <n v="3"/>
    <n v="25"/>
    <n v="7"/>
    <n v="11"/>
    <n v="10"/>
    <n v="6"/>
    <n v="9"/>
    <n v="175"/>
    <n v="6"/>
    <n v="45"/>
    <n v="0"/>
    <n v="0"/>
    <n v="3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3"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I37" firstHeaderRow="0" firstDataRow="1" firstDataCol="1" rowPageCount="1" colPageCount="1"/>
  <pivotFields count="10">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pivotField dataField="1" showAll="0"/>
    <pivotField dataField="1" showAll="0"/>
    <pivotField dataField="1" showAll="0"/>
    <pivotField dataField="1" numFmtId="3"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8">
    <i>
      <x/>
    </i>
    <i i="1">
      <x v="1"/>
    </i>
    <i i="2">
      <x v="2"/>
    </i>
    <i i="3">
      <x v="3"/>
    </i>
    <i i="4">
      <x v="4"/>
    </i>
    <i i="5">
      <x v="5"/>
    </i>
    <i i="6">
      <x v="6"/>
    </i>
    <i i="7">
      <x v="7"/>
    </i>
  </colItems>
  <pageFields count="1">
    <pageField fld="0" item="2" hier="-1"/>
  </pageFields>
  <dataFields count="8">
    <dataField name="Sum of 1:Dwelling" fld="3" baseField="0" baseItem="0"/>
    <dataField name="Sum of 2:Other Buildings" fld="4" baseField="0" baseItem="0"/>
    <dataField name="Sum of 3:Road Vehicle" fld="5" baseField="0" baseItem="0"/>
    <dataField name="Sum of 4:Others" fld="6" baseField="0" baseItem="0"/>
    <dataField name="Sum of Primary_Total" fld="2" baseField="0" baseItem="0"/>
    <dataField name="Sum of Secondary_Total" fld="7" baseField="0" baseItem="0"/>
    <dataField name="Sum of Chimney_Total" fld="8" baseField="1" baseItem="0"/>
    <dataField name="Sum of pop"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PivotTable2" cacheId="11"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M37" firstHeaderRow="0" firstDataRow="1" firstDataCol="1" rowPageCount="1" colPageCount="1"/>
  <pivotFields count="15">
    <pivotField axis="axisPage" showAll="0">
      <items count="4">
        <item x="0"/>
        <item x="1"/>
        <item x="2"/>
        <item t="default"/>
      </items>
    </pivotField>
    <pivotField showAll="0"/>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numFmtId="3"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2" hier="-1"/>
  </pageFields>
  <dataFields count="12">
    <dataField name="Sum of pop" fld="4" baseField="0" baseItem="0"/>
    <dataField name="Sum of 01:Outdoor structures" fld="5" baseField="0" baseItem="0"/>
    <dataField name="Sum of 02:Outdoor equipment and machinery" fld="6" baseField="0" baseItem="0"/>
    <dataField name="Sum of 03:Grassland and crops" fld="7" baseField="0" baseItem="0"/>
    <dataField name="Sum of 04:Woodland" fld="8" baseField="0" baseItem="0"/>
    <dataField name="Sum of 05:Other Transport Vehicle" fld="9" baseField="0" baseItem="0"/>
    <dataField name="Sum of 06:Other outdoors (including land)" fld="10" baseField="0" baseItem="0"/>
    <dataField name="Sum of 07:Car" fld="11" baseField="0" baseItem="0"/>
    <dataField name="Sum of 08:Abandoned Car" fld="12" baseField="0" baseItem="0"/>
    <dataField name="Sum of 09:Other Road Vehicle" fld="13" baseField="0" baseItem="0"/>
    <dataField name="Sum of 10:Abandoned Other Road Vehicle" fld="14" baseField="0" baseItem="0"/>
    <dataField name="Sum of Total_Primary_Outdoor_Fire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3" cacheId="12"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L37" firstHeaderRow="0" firstDataRow="1" firstDataCol="1" rowPageCount="1" colPageCount="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showAll="0">
      <items count="4">
        <item x="0"/>
        <item x="1"/>
        <item x="2"/>
        <item t="default"/>
      </items>
    </pivotField>
    <pivotField dataField="1" showAll="0"/>
    <pivotField dataField="1" numFmtId="3"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1">
    <i>
      <x/>
    </i>
    <i i="1">
      <x v="1"/>
    </i>
    <i i="2">
      <x v="2"/>
    </i>
    <i i="3">
      <x v="3"/>
    </i>
    <i i="4">
      <x v="4"/>
    </i>
    <i i="5">
      <x v="5"/>
    </i>
    <i i="6">
      <x v="6"/>
    </i>
    <i i="7">
      <x v="7"/>
    </i>
    <i i="8">
      <x v="8"/>
    </i>
    <i i="9">
      <x v="9"/>
    </i>
    <i i="10">
      <x v="10"/>
    </i>
  </colItems>
  <pageFields count="1">
    <pageField fld="1" item="2" hier="-1"/>
  </pageFields>
  <dataFields count="11">
    <dataField name="Sum of pop" fld="3" baseField="0" baseItem="0"/>
    <dataField name="Sum of 01:Derelict Building" fld="4" baseField="0" baseItem="0"/>
    <dataField name="Sum of 02:Grassland" fld="5" baseField="0" baseItem="0"/>
    <dataField name="Sum of 03:Intentional straw or stubble" fld="6" baseField="0" baseItem="0"/>
    <dataField name="Sum of 04:Outdoor structures" fld="7" baseField="0" baseItem="0"/>
    <dataField name="Sum of 05:Derelict Vehicle" fld="8" baseField="0" baseItem="0"/>
    <dataField name="Sum of 06:Other outdoors (including land)" fld="9" baseField="0" baseItem="0"/>
    <dataField name="Sum of 07:Refuse - small/rubbish container" fld="10" baseField="0" baseItem="0"/>
    <dataField name="Sum of 08:Refuse - large/rubbish container" fld="11" baseField="0" baseItem="0"/>
    <dataField name="Sum of 09:Refuse - loose/rubbish tip" fld="12" baseField="0" baseItem="0"/>
    <dataField name="Sum of Total_Secondary_Outdoor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3800-000000000000}" name="PivotTable4" cacheId="13"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7" firstHeaderRow="0" firstDataRow="1" firstDataCol="1" rowPageCount="1" colPageCount="1"/>
  <pivotFields count="5">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numFmtId="3"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item="2" hier="-1"/>
  </pageFields>
  <dataFields count="3">
    <dataField name="Sum of pop" fld="2" baseField="0" baseItem="0"/>
    <dataField name="Sum of Accidental" fld="3" baseField="0" baseItem="0"/>
    <dataField name="Sum of Delibera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3A00-000000000000}" name="PivotTable5" cacheId="14"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J39" firstHeaderRow="1" firstDataRow="3" firstDataCol="1" rowPageCount="1" colPageCount="1"/>
  <pivotFields count="6">
    <pivotField axis="axisCol" showAll="0">
      <items count="3">
        <item x="0"/>
        <item x="1"/>
        <item t="default"/>
      </items>
    </pivotField>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9">
    <i>
      <x/>
      <x/>
    </i>
    <i r="1" i="1">
      <x v="1"/>
    </i>
    <i r="1" i="2">
      <x v="2"/>
    </i>
    <i>
      <x v="1"/>
      <x/>
    </i>
    <i r="1" i="1">
      <x v="1"/>
    </i>
    <i r="1" i="2">
      <x v="2"/>
    </i>
    <i t="grand">
      <x/>
    </i>
    <i t="grand" i="1">
      <x/>
    </i>
    <i t="grand" i="2">
      <x/>
    </i>
  </colItems>
  <pageFields count="1">
    <pageField fld="1" item="2" hier="-1"/>
  </pageFields>
  <dataFields count="3">
    <dataField name="Sum of 1:fires" fld="3" baseField="0" baseItem="0"/>
    <dataField name="Sum of 2:fatal" fld="4" baseField="0" baseItem="0"/>
    <dataField name="Sum of 3:nonfa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3D00-000000000000}" name="PivotTable6" cacheId="1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AB39" firstHeaderRow="1" firstDataRow="3" firstDataCol="1" rowPageCount="1" colPageCount="1"/>
  <pivotFields count="14">
    <pivotField axis="axisPage" multipleItemSelectionAllowed="1" showAll="0">
      <items count="4">
        <item h="1" x="0"/>
        <item h="1" x="1"/>
        <item x="2"/>
        <item t="default"/>
      </items>
    </pivotField>
    <pivotField axis="axisCol" showAll="0">
      <items count="3">
        <item x="0"/>
        <item x="1"/>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27">
    <i>
      <x/>
      <x/>
    </i>
    <i r="1" i="1">
      <x v="1"/>
    </i>
    <i r="1" i="2">
      <x v="2"/>
    </i>
    <i r="1" i="3">
      <x v="3"/>
    </i>
    <i r="1" i="4">
      <x v="4"/>
    </i>
    <i r="1" i="5">
      <x v="5"/>
    </i>
    <i r="1" i="6">
      <x v="6"/>
    </i>
    <i r="1" i="7">
      <x v="7"/>
    </i>
    <i r="1" i="8">
      <x v="8"/>
    </i>
    <i>
      <x v="1"/>
      <x/>
    </i>
    <i r="1" i="1">
      <x v="1"/>
    </i>
    <i r="1" i="2">
      <x v="2"/>
    </i>
    <i r="1" i="3">
      <x v="3"/>
    </i>
    <i r="1" i="4">
      <x v="4"/>
    </i>
    <i r="1" i="5">
      <x v="5"/>
    </i>
    <i r="1" i="6">
      <x v="6"/>
    </i>
    <i r="1" i="7">
      <x v="7"/>
    </i>
    <i r="1" i="8">
      <x v="8"/>
    </i>
    <i t="grand">
      <x/>
    </i>
    <i t="grand" i="1">
      <x/>
    </i>
    <i t="grand" i="2">
      <x/>
    </i>
    <i t="grand" i="3">
      <x/>
    </i>
    <i t="grand" i="4">
      <x/>
    </i>
    <i t="grand" i="5">
      <x/>
    </i>
    <i t="grand" i="6">
      <x/>
    </i>
    <i t="grand" i="7">
      <x/>
    </i>
    <i t="grand" i="8">
      <x/>
    </i>
  </colItems>
  <pageFields count="1">
    <pageField fld="0" hier="-1"/>
  </pageFields>
  <dataFields count="9">
    <dataField name="Sum of 01:Derelict Building" fld="5" baseField="0" baseItem="0"/>
    <dataField name="Sum of 02:Grassland" fld="6" baseField="0" baseItem="0"/>
    <dataField name="Sum of 03:Intentional straw or stubble" fld="7" baseField="0" baseItem="0"/>
    <dataField name="Sum of 04:Outdoor structures" fld="8" baseField="0" baseItem="0"/>
    <dataField name="Sum of 05:Derelict Vehicle" fld="9" baseField="0" baseItem="0"/>
    <dataField name="Sum of 06:Other outdoors (including land)" fld="10" baseField="0" baseItem="0"/>
    <dataField name="Sum of 07:Refuse - small/rubbish container" fld="11" baseField="0" baseItem="0"/>
    <dataField name="Sum of 08:Refuse - large/rubbish container" fld="12" baseField="0" baseItem="0"/>
    <dataField name="Sum of 09:Refuse - loose/rubbish ti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3F00-000000000000}" name="PivotTable7" cacheId="1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G39" firstHeaderRow="1" firstDataRow="3" firstDataCol="1" rowPageCount="1" colPageCount="1"/>
  <pivotFields count="14">
    <pivotField axis="axisPage" showAll="0">
      <items count="4">
        <item x="0"/>
        <item x="1"/>
        <item x="2"/>
        <item t="default"/>
      </items>
    </pivotField>
    <pivotField axis="axisCol" showAll="0">
      <items count="3">
        <item x="0"/>
        <item x="1"/>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6">
    <i>
      <x/>
      <x/>
    </i>
    <i r="1" i="1">
      <x v="1"/>
    </i>
    <i>
      <x v="1"/>
      <x/>
    </i>
    <i r="1" i="1">
      <x v="1"/>
    </i>
    <i t="grand">
      <x/>
    </i>
    <i t="grand" i="1">
      <x/>
    </i>
  </colItems>
  <pageFields count="1">
    <pageField fld="0" item="2" hier="-1"/>
  </pageFields>
  <dataFields count="2">
    <dataField name="Sum of pop" fld="4"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4600-000002000000}" name="PivotTable9" cacheId="17"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22:K32" firstHeaderRow="1" firstDataRow="3" firstDataCol="1" rowPageCount="1" colPageCount="1"/>
  <pivotFields count="10">
    <pivotField axis="axisPage" showAll="0">
      <items count="4">
        <item x="0"/>
        <item x="1"/>
        <item x="2"/>
        <item t="default"/>
      </items>
    </pivotField>
    <pivotField axis="axisCol" showAll="0">
      <items count="3">
        <item x="0"/>
        <item x="1"/>
        <item t="default"/>
      </items>
    </pivotField>
    <pivotField axis="axisRow" showAll="0">
      <items count="8">
        <item x="0"/>
        <item x="4"/>
        <item x="5"/>
        <item x="1"/>
        <item x="6"/>
        <item x="2"/>
        <item x="3"/>
        <item t="default"/>
      </items>
    </pivotField>
    <pivotField dataField="1" showAll="0"/>
    <pivotField numFmtId="3" showAll="0"/>
    <pivotField numFmtId="3"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2" hier="-1"/>
  </pageFields>
  <dataFields count="5">
    <dataField name="Sum of Female" fld="6" baseField="0" baseItem="0"/>
    <dataField name="Sum of Male" fld="7" baseField="0" baseItem="0"/>
    <dataField name="Sum of Not known" fld="8" baseField="0" baseItem="0"/>
    <dataField name="Sum of Not specified" fld="9" baseField="0" baseItem="0"/>
    <dataField name="Sum of Total_Nonfa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4600-000001000000}" name="PivotTable8" cacheId="16"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4:E12" firstHeaderRow="1" firstDataRow="3" firstDataCol="1" rowPageCount="1" colPageCount="1"/>
  <pivotFields count="10">
    <pivotField axis="axisCol" showAll="0">
      <items count="2">
        <item x="0"/>
        <item t="default"/>
      </items>
    </pivotField>
    <pivotField showAll="0"/>
    <pivotField axis="axisRow" showAll="0">
      <items count="7">
        <item x="0"/>
        <item x="1"/>
        <item x="3"/>
        <item x="2"/>
        <item x="5"/>
        <item x="4"/>
        <item t="default"/>
      </items>
    </pivotField>
    <pivotField axis="axisPage" showAll="0">
      <items count="4">
        <item x="0"/>
        <item x="1"/>
        <item x="2"/>
        <item t="default"/>
      </items>
    </pivotField>
    <pivotField dataField="1" showAll="0"/>
    <pivotField numFmtId="3" showAll="0"/>
    <pivotField numFmtId="3" showAll="0"/>
    <pivotField dataField="1" showAll="0"/>
    <pivotField dataField="1" showAll="0"/>
    <pivotField dataField="1" showAll="0"/>
  </pivotFields>
  <rowFields count="1">
    <field x="2"/>
  </rowFields>
  <rowItems count="6">
    <i>
      <x/>
    </i>
    <i>
      <x v="1"/>
    </i>
    <i>
      <x v="3"/>
    </i>
    <i>
      <x v="4"/>
    </i>
    <i>
      <x v="5"/>
    </i>
    <i t="grand">
      <x/>
    </i>
  </rowItems>
  <colFields count="2">
    <field x="0"/>
    <field x="-2"/>
  </colFields>
  <colItems count="4">
    <i>
      <x/>
      <x/>
    </i>
    <i r="1" i="1">
      <x v="1"/>
    </i>
    <i r="1" i="2">
      <x v="2"/>
    </i>
    <i r="1" i="3">
      <x v="3"/>
    </i>
  </colItems>
  <pageFields count="1">
    <pageField fld="3" item="2" hier="-1"/>
  </pageFields>
  <dataFields count="4">
    <dataField name="Sum of Female" fld="7" baseField="0" baseItem="0"/>
    <dataField name="Sum of Male" fld="8" baseField="0" baseItem="0"/>
    <dataField name="Sum of Not known" fld="9" baseField="0" baseItem="0"/>
    <dataField name="Sum of Total_Fa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4600-000000000000}" name="PivotTable11" cacheId="18"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I45" firstHeaderRow="0" firstDataRow="1" firstDataCol="1" rowPageCount="1" colPageCount="1"/>
  <pivotFields count="13">
    <pivotField axis="axisPage" showAll="0">
      <items count="4">
        <item x="0"/>
        <item x="1"/>
        <item x="2"/>
        <item t="default"/>
      </items>
    </pivotField>
    <pivotField axis="axisRow" showAll="0">
      <items count="5">
        <item x="0"/>
        <item x="1"/>
        <item x="2"/>
        <item x="3"/>
        <item t="default"/>
      </items>
    </pivotField>
    <pivotField showAll="0"/>
    <pivotField numFmtId="3" showAll="0"/>
    <pivotField numFmtId="3"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2" hier="-1"/>
  </pageFields>
  <dataFields count="8">
    <dataField name="Sum of Non FRS personnelFemale" fld="9" baseField="0" baseItem="0"/>
    <dataField name="Sum of Non FRS personnelMale" fld="10" baseField="0" baseItem="0"/>
    <dataField name="Sum of Non FRS personnelNot known" fld="11" baseField="0" baseItem="0"/>
    <dataField name="Sum of Non FRS personnelNot specified" fld="12" baseField="0" baseItem="0"/>
    <dataField name="Sum of FRS personnelFemale" fld="5" baseField="0" baseItem="0"/>
    <dataField name="Sum of FRS personnelMale" fld="6" baseField="0" baseItem="0"/>
    <dataField name="Sum of FRS personnelNot known" fld="7" baseField="0" baseItem="0"/>
    <dataField name="Sum of FRS personnelNot specified"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4A00-000002000000}" name="PivotTable14" cacheId="18"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G45" firstHeaderRow="0" firstDataRow="1" firstDataCol="1" rowPageCount="1" colPageCount="1"/>
  <pivotFields count="13">
    <pivotField axis="axisPage" showAll="0">
      <items count="4">
        <item x="0"/>
        <item x="1"/>
        <item x="2"/>
        <item t="default"/>
      </items>
    </pivotField>
    <pivotField axis="axisRow" showAll="0">
      <items count="5">
        <item x="0"/>
        <item x="1"/>
        <item x="2"/>
        <item x="3"/>
        <item t="default"/>
      </items>
    </pivotField>
    <pivotField showAll="0"/>
    <pivotField dataField="1" numFmtId="3" showAll="0"/>
    <pivotField dataField="1" numFmtId="3" showAll="0"/>
    <pivotField showAll="0"/>
    <pivotField showAll="0"/>
    <pivotField showAll="0"/>
    <pivotField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2" hier="-1"/>
  </pageFields>
  <dataFields count="6">
    <dataField name="Sum of Non FRS personnelFemale" fld="9" baseField="0" baseItem="0"/>
    <dataField name="Sum of Non FRS personnelMale" fld="10" baseField="0" baseItem="0"/>
    <dataField name="Sum of Females" fld="3" baseField="1" baseItem="0"/>
    <dataField name="Sum of Males" fld="4" baseField="1" baseItem="0"/>
    <dataField name="Sum of Non FRS personnelNot known" fld="11" baseField="0" baseItem="0"/>
    <dataField name="Sum of Non FRS personnelNot specifi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5"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Q39" firstHeaderRow="1" firstDataRow="3" firstDataCol="1" rowPageCount="1" colPageCount="1"/>
  <pivotFields count="8">
    <pivotField axis="axisCol" showAll="0">
      <items count="4">
        <item x="0"/>
        <item x="1"/>
        <item x="2"/>
        <item t="default"/>
      </items>
    </pivotField>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pageFields count="1">
    <pageField fld="1" item="2" hier="-1"/>
  </pageFields>
  <dataFields count="4">
    <dataField name="Sum of 1:Dwelling" fld="4" baseField="2" baseItem="0"/>
    <dataField name="Sum of 2:Other Buildings" fld="5" baseField="2" baseItem="0"/>
    <dataField name="Sum of 3:Road Vehicle" fld="6" baseField="2" baseItem="0"/>
    <dataField name="Sum of 4:Others" fld="7"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4A00-000001000000}" name="PivotTable13" cacheId="1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20:F28" firstHeaderRow="0" firstDataRow="1" firstDataCol="1" rowPageCount="2" colPageCount="1"/>
  <pivotFields count="10">
    <pivotField axis="axisPage" multipleItemSelectionAllowed="1" showAll="0">
      <items count="4">
        <item h="1" x="0"/>
        <item h="1" x="1"/>
        <item x="2"/>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numFmtId="3" showAll="0"/>
    <pivotField dataField="1" numFmtId="3" showAll="0"/>
    <pivotField dataField="1" showAll="0"/>
    <pivotField dataField="1" showAll="0"/>
    <pivotField showAll="0"/>
    <pivotField showAll="0"/>
  </pivotFields>
  <rowFields count="1">
    <field x="2"/>
  </rowFields>
  <rowItems count="8">
    <i>
      <x/>
    </i>
    <i>
      <x v="1"/>
    </i>
    <i>
      <x v="2"/>
    </i>
    <i>
      <x v="3"/>
    </i>
    <i>
      <x v="4"/>
    </i>
    <i>
      <x v="5"/>
    </i>
    <i>
      <x v="6"/>
    </i>
    <i t="grand">
      <x/>
    </i>
  </rowItems>
  <colFields count="1">
    <field x="-2"/>
  </colFields>
  <colItems count="5">
    <i>
      <x/>
    </i>
    <i i="1">
      <x v="1"/>
    </i>
    <i i="2">
      <x v="2"/>
    </i>
    <i i="3">
      <x v="3"/>
    </i>
    <i i="4">
      <x v="4"/>
    </i>
  </colItems>
  <pageFields count="2">
    <pageField fld="0" hier="-1"/>
    <pageField fld="1" item="1" hier="-1"/>
  </pageFields>
  <dataFields count="5">
    <dataField name="Sum of Female" fld="6" baseField="2" baseItem="0"/>
    <dataField name="Sum of Male" fld="7" baseField="2" baseItem="0"/>
    <dataField name="Sum of Females" fld="4" baseField="2" baseItem="0"/>
    <dataField name="Sum of Males" fld="5" baseField="2" baseItem="0"/>
    <dataField name="Sum of Total_Nonfatal" fld="3" baseField="2" baseItem="0"/>
  </dataFields>
  <formats count="1">
    <format dxfId="0">
      <pivotArea collapsedLevelsAreSubtotals="1" fieldPosition="0">
        <references count="2">
          <reference field="4294967294" count="2" selected="0">
            <x v="2"/>
            <x v="3"/>
          </reference>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4A00-000000000000}" name="PivotTable12" cacheId="16"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F10" firstHeaderRow="0" firstDataRow="1" firstDataCol="1" rowPageCount="2" colPageCount="1"/>
  <pivotFields count="10">
    <pivotField axis="axisPage" showAll="0">
      <items count="2">
        <item x="0"/>
        <item t="default"/>
      </items>
    </pivotField>
    <pivotField showAll="0"/>
    <pivotField axis="axisRow" showAll="0">
      <items count="7">
        <item x="0"/>
        <item x="1"/>
        <item x="3"/>
        <item x="2"/>
        <item x="5"/>
        <item x="4"/>
        <item t="default"/>
      </items>
    </pivotField>
    <pivotField axis="axisPage" showAll="0">
      <items count="4">
        <item x="0"/>
        <item x="1"/>
        <item x="2"/>
        <item t="default"/>
      </items>
    </pivotField>
    <pivotField dataField="1" showAll="0"/>
    <pivotField dataField="1" numFmtId="3" showAll="0"/>
    <pivotField dataField="1" numFmtId="3" showAll="0"/>
    <pivotField dataField="1" showAll="0"/>
    <pivotField dataField="1" showAll="0"/>
    <pivotField showAll="0"/>
  </pivotFields>
  <rowFields count="1">
    <field x="2"/>
  </rowFields>
  <rowItems count="6">
    <i>
      <x/>
    </i>
    <i>
      <x v="1"/>
    </i>
    <i>
      <x v="3"/>
    </i>
    <i>
      <x v="4"/>
    </i>
    <i>
      <x v="5"/>
    </i>
    <i t="grand">
      <x/>
    </i>
  </rowItems>
  <colFields count="1">
    <field x="-2"/>
  </colFields>
  <colItems count="5">
    <i>
      <x/>
    </i>
    <i i="1">
      <x v="1"/>
    </i>
    <i i="2">
      <x v="2"/>
    </i>
    <i i="3">
      <x v="3"/>
    </i>
    <i i="4">
      <x v="4"/>
    </i>
  </colItems>
  <pageFields count="2">
    <pageField fld="0" hier="-1"/>
    <pageField fld="3" item="2" hier="-1"/>
  </pageFields>
  <dataFields count="5">
    <dataField name="Sum of Female" fld="7" baseField="2" baseItem="1"/>
    <dataField name="Sum of Male" fld="8" baseField="2" baseItem="1"/>
    <dataField name="Sum of Females" fld="5" baseField="2" baseItem="1"/>
    <dataField name="Sum of Males" fld="6" baseField="2" baseItem="1"/>
    <dataField name="Sum of Total_Fatal" fld="4"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4D00-000001000000}" name="PivotTable2" cacheId="20"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20:K30" firstHeaderRow="1" firstDataRow="3" firstDataCol="1" rowPageCount="1" colPageCount="1"/>
  <pivotFields count="9">
    <pivotField axis="axisPage" showAll="0">
      <items count="4">
        <item x="0"/>
        <item x="1"/>
        <item x="2"/>
        <item t="default"/>
      </items>
    </pivotField>
    <pivotField axis="axisCol" showAll="0">
      <items count="3">
        <item x="0"/>
        <item x="1"/>
        <item t="default"/>
      </items>
    </pivotField>
    <pivotField axis="axisRow" showAll="0">
      <items count="8">
        <item x="0"/>
        <item x="4"/>
        <item x="5"/>
        <item x="1"/>
        <item x="6"/>
        <item x="2"/>
        <item x="3"/>
        <item t="default"/>
      </items>
    </pivotField>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2" hier="-1"/>
  </pageFields>
  <dataFields count="5">
    <dataField name="Sum of 0-16" fld="4" baseField="0" baseItem="0"/>
    <dataField name="Sum of 17-29" fld="5" baseField="0" baseItem="0"/>
    <dataField name="Sum of 30-59" fld="6" baseField="0" baseItem="0"/>
    <dataField name="Sum of 60+" fld="7" baseField="0" baseItem="0"/>
    <dataField name="Sum of Unknow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4D00-000000000000}" name="PivotTable1" cacheId="19"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I12" firstHeaderRow="1" firstDataRow="3" firstDataCol="1" rowPageCount="1" colPageCount="1"/>
  <pivotFields count="9">
    <pivotField axis="axisPage" showAll="0">
      <items count="4">
        <item x="0"/>
        <item x="1"/>
        <item x="2"/>
        <item t="default"/>
      </items>
    </pivotField>
    <pivotField axis="axisCol" showAll="0">
      <items count="2">
        <item x="0"/>
        <item t="default"/>
      </items>
    </pivotField>
    <pivotField showAll="0"/>
    <pivotField axis="axisRow" showAll="0">
      <items count="7">
        <item x="0"/>
        <item x="1"/>
        <item x="3"/>
        <item x="2"/>
        <item x="5"/>
        <item x="4"/>
        <item t="default"/>
      </items>
    </pivotField>
    <pivotField showAll="0"/>
    <pivotField dataField="1" showAll="0"/>
    <pivotField dataField="1" showAll="0"/>
    <pivotField dataField="1" showAll="0"/>
    <pivotField dataField="1" showAll="0"/>
  </pivotFields>
  <rowFields count="1">
    <field x="3"/>
  </rowFields>
  <rowItems count="6">
    <i>
      <x/>
    </i>
    <i>
      <x v="1"/>
    </i>
    <i>
      <x v="3"/>
    </i>
    <i>
      <x v="4"/>
    </i>
    <i>
      <x v="5"/>
    </i>
    <i t="grand">
      <x/>
    </i>
  </rowItems>
  <colFields count="2">
    <field x="1"/>
    <field x="-2"/>
  </colFields>
  <colItems count="8">
    <i>
      <x/>
      <x/>
    </i>
    <i r="1" i="1">
      <x v="1"/>
    </i>
    <i r="1" i="2">
      <x v="2"/>
    </i>
    <i r="1" i="3">
      <x v="3"/>
    </i>
    <i t="grand">
      <x/>
    </i>
    <i t="grand" i="1">
      <x/>
    </i>
    <i t="grand" i="2">
      <x/>
    </i>
    <i t="grand" i="3">
      <x/>
    </i>
  </colItems>
  <pageFields count="1">
    <pageField fld="0" item="2" hier="-1"/>
  </pageFields>
  <dataFields count="4">
    <dataField name="Sum of 17-29" fld="5" baseField="0" baseItem="0"/>
    <dataField name="Sum of 30-59" fld="6" baseField="0" baseItem="0"/>
    <dataField name="Sum of 60+" fld="7" baseField="0" baseItem="0"/>
    <dataField name="Sum of Unknow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4D00-000002000000}" name="PivotTable3" cacheId="21"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J45" firstHeaderRow="0" firstDataRow="1" firstDataCol="1" rowPageCount="1" colPageCount="1"/>
  <pivotFields count="12">
    <pivotField axis="axisPage" showAll="0">
      <items count="4">
        <item x="0"/>
        <item x="1"/>
        <item x="2"/>
        <item t="default"/>
      </items>
    </pivotField>
    <pivotField axis="axisRow" showAll="0">
      <items count="5">
        <item x="0"/>
        <item x="1"/>
        <item x="2"/>
        <item x="3"/>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9">
    <i>
      <x/>
    </i>
    <i i="1">
      <x v="1"/>
    </i>
    <i i="2">
      <x v="2"/>
    </i>
    <i i="3">
      <x v="3"/>
    </i>
    <i i="4">
      <x v="4"/>
    </i>
    <i i="5">
      <x v="5"/>
    </i>
    <i i="6">
      <x v="6"/>
    </i>
    <i i="7">
      <x v="7"/>
    </i>
    <i i="8">
      <x v="8"/>
    </i>
  </colItems>
  <pageFields count="1">
    <pageField fld="0" item="2" hier="-1"/>
  </pageFields>
  <dataFields count="9">
    <dataField name="Sum of Non FRS personnel0-16" fld="7" baseField="0" baseItem="0"/>
    <dataField name="Sum of Non FRS personnel17-29" fld="8" baseField="0" baseItem="0"/>
    <dataField name="Sum of Non FRS personnel30-59" fld="9" baseField="0" baseItem="0"/>
    <dataField name="Sum of Non FRS personnel60+" fld="10" baseField="0" baseItem="0"/>
    <dataField name="Sum of Non FRS personnelUnknown" fld="11" baseField="0" baseItem="0"/>
    <dataField name="Sum of FRS personnel17-29" fld="3" baseField="0" baseItem="0"/>
    <dataField name="Sum of FRS personnel30-59" fld="4" baseField="0" baseItem="0"/>
    <dataField name="Sum of FRS personnel60+" fld="5" baseField="0" baseItem="0"/>
    <dataField name="Sum of FRS personnelUn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4F00-000000000000}" name="PivotTable1" cacheId="27"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location ref="A44:B76" firstHeaderRow="1" firstDataRow="1" firstDataCol="1" rowPageCount="1" colPageCount="1"/>
  <pivotFields count="3">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numFmtId="3" showAll="0" defaultSubtota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Items count="1">
    <i/>
  </colItems>
  <pageFields count="1">
    <pageField fld="0" item="2" hier="-1"/>
  </pageFields>
  <dataFields count="1">
    <dataField name="Average of Dwellings" fld="2"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4F00-000001000000}" name="PivotTable13" cacheId="2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B37" firstHeaderRow="1" firstDataRow="1" firstDataCol="1" rowPageCount="1" colPageCount="1"/>
  <pivotFields count="4">
    <pivotField axis="axisPage" showAll="0">
      <items count="4">
        <item x="0"/>
        <item x="1"/>
        <item x="2"/>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pageFields count="1">
    <pageField fld="0" item="2" hier="-1"/>
  </pageFields>
  <dataFields count="1">
    <dataField name="Average of pop" fld="3"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5100-000001000000}" name="PivotTable5" cacheId="26" applyNumberFormats="0" applyBorderFormats="0" applyFontFormats="0" applyPatternFormats="0" applyAlignmentFormats="0" applyWidthHeightFormats="1" dataCaption="Values" updatedVersion="5" minRefreshableVersion="3" useAutoFormatting="1" rowGrandTotals="0" colGrandTotals="0" itemPrintTitles="1" createdVersion="6" indent="0" outline="1" outlineData="1" multipleFieldFilters="0">
  <location ref="A80:M90" firstHeaderRow="1" firstDataRow="3" firstDataCol="1" rowPageCount="1" colPageCount="1"/>
  <pivotFields count="9">
    <pivotField axis="axisPage" showAll="0">
      <items count="4">
        <item x="0"/>
        <item x="1"/>
        <item x="2"/>
        <item t="default"/>
      </items>
    </pivotField>
    <pivotField axis="axisCol" showAll="0">
      <items count="4">
        <item x="0"/>
        <item x="1"/>
        <item m="1" x="2"/>
        <item t="default"/>
      </items>
    </pivotField>
    <pivotField axis="axisRow" showAll="0">
      <items count="9">
        <item x="0"/>
        <item x="4"/>
        <item x="5"/>
        <item x="1"/>
        <item x="6"/>
        <item x="2"/>
        <item x="3"/>
        <item x="7"/>
        <item t="default"/>
      </items>
    </pivotField>
    <pivotField dataField="1"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x v="7"/>
    </i>
  </rowItems>
  <colFields count="2">
    <field x="1"/>
    <field x="-2"/>
  </colFields>
  <colItems count="12">
    <i>
      <x/>
      <x/>
    </i>
    <i r="1" i="1">
      <x v="1"/>
    </i>
    <i r="1" i="2">
      <x v="2"/>
    </i>
    <i r="1" i="3">
      <x v="3"/>
    </i>
    <i r="1" i="4">
      <x v="4"/>
    </i>
    <i r="1" i="5">
      <x v="5"/>
    </i>
    <i>
      <x v="1"/>
      <x/>
    </i>
    <i r="1" i="1">
      <x v="1"/>
    </i>
    <i r="1" i="2">
      <x v="2"/>
    </i>
    <i r="1" i="3">
      <x v="3"/>
    </i>
    <i r="1" i="4">
      <x v="4"/>
    </i>
    <i r="1" i="5">
      <x v="5"/>
    </i>
  </colItems>
  <pageFields count="1">
    <pageField fld="0" item="2" hier="-1"/>
  </pageFields>
  <dataFields count="6">
    <dataField name="Sum of 0-16" fld="4" baseField="2" baseItem="0"/>
    <dataField name="Sum of 17-29" fld="5" baseField="2" baseItem="0"/>
    <dataField name="Sum of 30-59" fld="6" baseField="2" baseItem="0"/>
    <dataField name="Sum of 60+" fld="7" baseField="2" baseItem="0"/>
    <dataField name="Sum of Unknown" fld="8" baseField="0" baseItem="0"/>
    <dataField name="Sum of Total_Nonfa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5100-000000000000}" name="PivotTable4" cacheId="0" applyNumberFormats="0" applyBorderFormats="0" applyFontFormats="0" applyPatternFormats="0" applyAlignmentFormats="0" applyWidthHeightFormats="1" dataCaption="Values" updatedVersion="5" minRefreshableVersion="3" useAutoFormatting="1" rowGrandTotals="0" colGrandTotals="0" itemPrintTitles="1" createdVersion="6" indent="0" outline="1" outlineData="1" multipleFieldFilters="0">
  <location ref="A25:G31" firstHeaderRow="0" firstDataRow="1" firstDataCol="1" rowPageCount="1" colPageCount="1"/>
  <pivotFields count="11">
    <pivotField axis="axisPage" multipleItemSelectionAllowed="1" showAll="0">
      <items count="4">
        <item h="1" x="0"/>
        <item h="1" x="1"/>
        <item x="2"/>
        <item t="default"/>
      </items>
    </pivotField>
    <pivotField showAll="0"/>
    <pivotField showAll="0"/>
    <pivotField axis="axisRow" showAll="0">
      <items count="9">
        <item x="0"/>
        <item x="1"/>
        <item x="3"/>
        <item x="2"/>
        <item x="5"/>
        <item x="4"/>
        <item m="1" x="7"/>
        <item x="6"/>
        <item t="default"/>
      </items>
    </pivotField>
    <pivotField dataField="1" showAll="0"/>
    <pivotField dataField="1" showAll="0"/>
    <pivotField dataField="1" showAll="0"/>
    <pivotField dataField="1" showAll="0"/>
    <pivotField dataField="1" showAll="0"/>
    <pivotField dataField="1" showAll="0"/>
    <pivotField showAll="0"/>
  </pivotFields>
  <rowFields count="1">
    <field x="3"/>
  </rowFields>
  <rowItems count="6">
    <i>
      <x/>
    </i>
    <i>
      <x v="1"/>
    </i>
    <i>
      <x v="3"/>
    </i>
    <i>
      <x v="4"/>
    </i>
    <i>
      <x v="5"/>
    </i>
    <i>
      <x v="7"/>
    </i>
  </rowItems>
  <colFields count="1">
    <field x="-2"/>
  </colFields>
  <colItems count="6">
    <i>
      <x/>
    </i>
    <i i="1">
      <x v="1"/>
    </i>
    <i i="2">
      <x v="2"/>
    </i>
    <i i="3">
      <x v="3"/>
    </i>
    <i i="4">
      <x v="4"/>
    </i>
    <i i="5">
      <x v="5"/>
    </i>
  </colItems>
  <pageFields count="1">
    <pageField fld="0" hier="-1"/>
  </pageFields>
  <dataFields count="6">
    <dataField name="Sum of 0-16" fld="5" baseField="3" baseItem="0"/>
    <dataField name="Sum of 17-29" fld="6" baseField="3" baseItem="0"/>
    <dataField name="Sum of 30-59" fld="7" baseField="3" baseItem="0"/>
    <dataField name="Sum of 60+" fld="8" baseField="3" baseItem="0"/>
    <dataField name="Sum of Unknown" fld="9" baseField="3" baseItem="0"/>
    <dataField name="Sum of Total_Fa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5100-000002000000}" name="PivotTable6" cacheId="1" applyNumberFormats="0" applyBorderFormats="0" applyFontFormats="0" applyPatternFormats="0" applyAlignmentFormats="0" applyWidthHeightFormats="1" dataCaption="Values" updatedVersion="5" minRefreshableVersion="3" useAutoFormatting="1" rowGrandTotals="0" itemPrintTitles="1" createdVersion="6" indent="0" outline="1" outlineData="1" multipleFieldFilters="0">
  <location ref="A120:F125" firstHeaderRow="0" firstDataRow="1" firstDataCol="1" rowPageCount="1" colPageCount="1"/>
  <pivotFields count="12">
    <pivotField axis="axisPage" showAll="0">
      <items count="4">
        <item x="0"/>
        <item x="1"/>
        <item x="2"/>
        <item t="default"/>
      </items>
    </pivotField>
    <pivotField axis="axisRow" showAll="0">
      <items count="6">
        <item x="0"/>
        <item x="1"/>
        <item x="2"/>
        <item x="3"/>
        <item x="4"/>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s>
  <rowFields count="1">
    <field x="1"/>
  </rowFields>
  <rowItems count="5">
    <i>
      <x/>
    </i>
    <i>
      <x v="1"/>
    </i>
    <i>
      <x v="2"/>
    </i>
    <i>
      <x v="3"/>
    </i>
    <i>
      <x v="4"/>
    </i>
  </rowItems>
  <colFields count="1">
    <field x="-2"/>
  </colFields>
  <colItems count="5">
    <i>
      <x/>
    </i>
    <i i="1">
      <x v="1"/>
    </i>
    <i i="2">
      <x v="2"/>
    </i>
    <i i="3">
      <x v="3"/>
    </i>
    <i i="4">
      <x v="4"/>
    </i>
  </colItems>
  <pageFields count="1">
    <pageField fld="0" item="2" hier="-1"/>
  </pageFields>
  <dataFields count="5">
    <dataField name="Sum of Non FRS personnel0-16" fld="7" baseField="1" baseItem="0"/>
    <dataField name="Sum of Non FRS personnel17-29" fld="8" baseField="1" baseItem="0"/>
    <dataField name="Sum of Non FRS personnel30-59" fld="9" baseField="1" baseItem="0"/>
    <dataField name="Sum of Non FRS personnel60+" fld="10" baseField="1" baseItem="0"/>
    <dataField name="Sum of Non FRS personnelUnknown" fld="11"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6"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37" firstHeaderRow="0" firstDataRow="1" firstDataCol="1" rowPageCount="1" colPageCount="1"/>
  <pivotFields count="6">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2" hier="-1"/>
  </pageFields>
  <dataFields count="4">
    <dataField name="Sum of Total_ADF" fld="2" baseField="0" baseItem="0"/>
    <dataField name="Sum of Total_fatal_ADF" fld="3" baseField="1" baseItem="0"/>
    <dataField name="Sum of Total_nonfatal_A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5600-000000000000}" name="PivotTable10" cacheId="22"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P37" firstHeaderRow="0" firstDataRow="1" firstDataCol="1" rowPageCount="1" colPageCount="1"/>
  <pivotFields count="27">
    <pivotField axis="axisPage" showAll="0">
      <items count="4">
        <item x="0"/>
        <item x="1"/>
        <item x="2"/>
        <item t="default"/>
      </items>
    </pivotField>
    <pivotField showAll="0"/>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2" hier="-1"/>
  </pageFields>
  <dataFields count="15">
    <dataField name="Sum of a.1Present, operated and raised the alarm" fld="4" baseField="0" baseItem="0"/>
    <dataField name="Sum of a.2Present, operated but did not raise the alarm" fld="5" baseField="0" baseItem="0"/>
    <dataField name="Sum of a.3Present but did not operate" fld="6" baseField="0" baseItem="0"/>
    <dataField name="Sum of a.4Smoke alarm absent" fld="7" baseField="0" baseItem="0"/>
    <dataField name="Sum of a.5Don't know if smoke alarm was present" fld="8" baseField="0" baseItem="0"/>
    <dataField name="Sum of f.1Present, operated and raised the alarm" fld="13" baseField="0" baseItem="0"/>
    <dataField name="Sum of f.2Present, operated but did not raise the alarm" fld="14" baseField="0" baseItem="0"/>
    <dataField name="Sum of f.3Present but did not operate" fld="15" baseField="0" baseItem="0"/>
    <dataField name="Sum of f.4Smoke alarm absent" fld="16" baseField="0" baseItem="0"/>
    <dataField name="Sum of f.5Don't know if smoke alarm was present" fld="17" baseField="0" baseItem="0"/>
    <dataField name="Sum of n.1Present, operated and raised the alarm" fld="22" baseField="0" baseItem="0"/>
    <dataField name="Sum of n.2Present, operated but did not raise the alarm" fld="23" baseField="0" baseItem="0"/>
    <dataField name="Sum of n.3Present but did not operate" fld="24" baseField="0" baseItem="0"/>
    <dataField name="Sum of n.4Smoke alarm absent" fld="25" baseField="0" baseItem="0"/>
    <dataField name="Sum of n.5Don't know if smoke alarm was present"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5B00-000000000000}" name="PivotTable11" cacheId="23"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7" firstHeaderRow="0" firstDataRow="1" firstDataCol="1" rowPageCount="1" colPageCount="1"/>
  <pivotFields count="7">
    <pivotField showAll="0"/>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1" item="2" hier="-1"/>
  </pageFields>
  <dataFields count="3">
    <dataField name="Sum of 1:Yes" fld="4" baseField="0" baseItem="0"/>
    <dataField name="Sum of 2:No" fld="5" baseField="0" baseItem="0"/>
    <dataField name="Sum of 3:Not 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5F00-000000000000}" name="PivotTable12" cacheId="24"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V39" firstHeaderRow="1" firstDataRow="3" firstDataCol="1" rowPageCount="1" colPageCount="1"/>
  <pivotFields count="11">
    <pivotField axis="axisCol" showAll="0">
      <items count="3">
        <item x="1"/>
        <item x="0"/>
        <item t="default"/>
      </items>
    </pivotField>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pageFields count="1">
    <pageField fld="1" item="2" hier="-1"/>
  </pageFields>
  <dataFields count="7">
    <dataField name="Sum of 01" fld="4" baseField="0" baseItem="0"/>
    <dataField name="Sum of 02" fld="5" baseField="0" baseItem="0"/>
    <dataField name="Sum of 03-05" fld="6" baseField="0" baseItem="0"/>
    <dataField name="Sum of 06-10" fld="7" baseField="0" baseItem="0"/>
    <dataField name="Sum of 11-15" fld="8" baseField="0" baseItem="0"/>
    <dataField name="Sum of 16+" fld="9" baseField="0" baseItem="0"/>
    <dataField name="Sum of Unknown"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7"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37" firstHeaderRow="0" firstDataRow="1" firstDataCol="1" rowPageCount="1" colPageCount="1"/>
  <pivotFields count="6">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2" hier="-1"/>
  </pageFields>
  <dataFields count="4">
    <dataField name="Sum of 1:Dwelling" fld="2" baseField="0" baseItem="0"/>
    <dataField name="Sum of Total_ADF" fld="3" baseField="0" baseItem="0"/>
    <dataField name="Sum of D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8" cacheId="7"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4:F36" firstHeaderRow="0" firstDataRow="1" firstDataCol="1" rowPageCount="1" colPageCount="1"/>
  <pivotFields count="7">
    <pivotField axis="axisPage" showAll="0">
      <items count="4">
        <item x="0"/>
        <item x="1"/>
        <item x="2"/>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defaultSubtotal="0"/>
    <pivotField dataField="1" showAll="0"/>
    <pivotField dataField="1" showAll="0"/>
    <pivotField dataField="1" showAl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pageFields count="1">
    <pageField fld="0" item="2" hier="-1"/>
  </pageFields>
  <dataFields count="5">
    <dataField name="Sum of Total" fld="2" baseField="0" baseItem="0"/>
    <dataField name="Sum of 1Malicious False Alarm" fld="4" baseField="1" baseItem="0"/>
    <dataField name="Sum of 2Fire alarm due to Apparatus" fld="5" baseField="1" baseItem="0"/>
    <dataField name="Sum of 3Good Intent false alarm" fld="6" baseField="0" baseItem="0"/>
    <dataField name="Sum of pop"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1" cacheId="2"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5" firstHeaderRow="0" firstDataRow="1" firstDataCol="1" rowPageCount="1" colPageCount="1"/>
  <pivotFields count="5">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defaultSubtotal="0"/>
    <pivotField dataField="1" showAll="0"/>
    <pivotField dataField="1" showAll="0"/>
  </pivotFields>
  <rowFields count="1">
    <field x="1"/>
  </rowFields>
  <rowItems count="31">
    <i>
      <x/>
    </i>
    <i>
      <x v="1"/>
    </i>
    <i>
      <x v="2"/>
    </i>
    <i>
      <x v="3"/>
    </i>
    <i>
      <x v="4"/>
    </i>
    <i>
      <x v="5"/>
    </i>
    <i>
      <x v="6"/>
    </i>
    <i>
      <x v="7"/>
    </i>
    <i>
      <x v="8"/>
    </i>
    <i>
      <x v="9"/>
    </i>
    <i>
      <x v="10"/>
    </i>
    <i>
      <x v="11"/>
    </i>
    <i>
      <x v="12"/>
    </i>
    <i>
      <x v="13"/>
    </i>
    <i>
      <x v="14"/>
    </i>
    <i>
      <x v="15"/>
    </i>
    <i>
      <x v="16"/>
    </i>
    <i>
      <x v="17"/>
    </i>
    <i>
      <x v="18"/>
    </i>
    <i>
      <x v="20"/>
    </i>
    <i>
      <x v="21"/>
    </i>
    <i>
      <x v="22"/>
    </i>
    <i>
      <x v="23"/>
    </i>
    <i>
      <x v="24"/>
    </i>
    <i>
      <x v="25"/>
    </i>
    <i>
      <x v="27"/>
    </i>
    <i>
      <x v="28"/>
    </i>
    <i>
      <x v="29"/>
    </i>
    <i>
      <x v="30"/>
    </i>
    <i>
      <x v="31"/>
    </i>
    <i t="grand">
      <x/>
    </i>
  </rowItems>
  <colFields count="1">
    <field x="-2"/>
  </colFields>
  <colItems count="3">
    <i>
      <x/>
    </i>
    <i i="1">
      <x v="1"/>
    </i>
    <i i="2">
      <x v="2"/>
    </i>
  </colItems>
  <pageFields count="1">
    <pageField fld="0" item="2" hier="-1"/>
  </pageFields>
  <dataFields count="3">
    <dataField name="Sum of SpecialServiceFalseAlarms" fld="2" baseField="0" baseItem="0"/>
    <dataField name="Sum of 1Malicious False Alarm" fld="3" baseField="0" baseItem="0"/>
    <dataField name="Sum of 3Good Intent false alar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2" cacheId="8"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U37" firstHeaderRow="0" firstDataRow="1" firstDataCol="1" rowPageCount="1" colPageCount="1"/>
  <pivotFields count="22">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0" item="2" hier="-1"/>
  </pageFields>
  <dataFields count="20">
    <dataField name="Sum of 01:RTC" fld="2" baseField="0" baseItem="0"/>
    <dataField name="Sum of 02:Other Transport incident" fld="3" baseField="0" baseItem="0"/>
    <dataField name="Sum of 03:Flooding" fld="4" baseField="0" baseItem="0"/>
    <dataField name="Sum of 04:Rescue or evacuation from water" fld="5" baseField="0" baseItem="0"/>
    <dataField name="Sum of 05:Other rescue/release of persons" fld="6" baseField="0" baseItem="0"/>
    <dataField name="Sum of 06:Evacuation (no fire)" fld="7" baseField="0" baseItem="0"/>
    <dataField name="Sum of 07:Lift Release" fld="8" baseField="0" baseItem="0"/>
    <dataField name="Sum of 08:Medical Incident - First responder/Co-responder" fld="9" baseField="0" baseItem="0"/>
    <dataField name="Sum of 09:Suicide/attempts" fld="10" baseField="0" baseItem="0"/>
    <dataField name="Sum of 10:Hazardous Materials incident" fld="11" baseField="0" baseItem="0"/>
    <dataField name="Sum of 11:Spills and Leaks (not RTC)" fld="12" baseField="0" baseItem="0"/>
    <dataField name="Sum of 12:Removal of objects" fld="13" baseField="0" baseItem="0"/>
    <dataField name="Sum of 13:Animal assistance incidents" fld="14" baseField="0" baseItem="0"/>
    <dataField name="Sum of 14:Effecting entry/exit" fld="15" baseField="0" baseItem="0"/>
    <dataField name="Sum of 15:Making Safe (not RTC)" fld="16" baseField="0" baseItem="0"/>
    <dataField name="Sum of 16:No action (not false alarm)" fld="17" baseField="0" baseItem="0"/>
    <dataField name="Sum of 17:Water provision" fld="18" baseField="0" baseItem="0"/>
    <dataField name="Sum of 18:Stand By" fld="19" baseField="0" baseItem="0"/>
    <dataField name="Sum of 19:Assist other agencies" fld="20" baseField="0" baseItem="0"/>
    <dataField name="Sum of 20:Advice Only" fld="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4" cacheId="9"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V37" firstHeaderRow="0" firstDataRow="1" firstDataCol="1" rowPageCount="1" colPageCount="1"/>
  <pivotFields count="23">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pageFields count="1">
    <pageField fld="0" item="2" hier="-1"/>
  </pageFields>
  <dataFields count="21">
    <dataField name="Sum of pop" fld="22" baseField="0" baseItem="0"/>
    <dataField name="Sum of 01:RTC" fld="2" baseField="0" baseItem="0"/>
    <dataField name="Sum of 03:Flooding" fld="4" baseField="0" baseItem="0"/>
    <dataField name="Sum of 14:Effecting entry/exit" fld="15" baseField="0" baseItem="0"/>
    <dataField name="Sum of 02:Other Transport incident" fld="3" baseField="0" baseItem="0"/>
    <dataField name="Sum of 04:Rescue or evacuation from water" fld="5" baseField="0" baseItem="0"/>
    <dataField name="Sum of 05:Other rescue/release of persons" fld="6" baseField="0" baseItem="0"/>
    <dataField name="Sum of 07:Lift Release" fld="8" baseField="0" baseItem="0"/>
    <dataField name="Sum of 08:Medical Incident - First responder/Co-responder" fld="9" baseField="0" baseItem="0"/>
    <dataField name="Sum of 09:Suicide/attempts" fld="10" baseField="0" baseItem="0"/>
    <dataField name="Sum of 06:Evacuation (no fire)" fld="7" baseField="0" baseItem="0"/>
    <dataField name="Sum of 11:Spills and Leaks (not RTC)" fld="12" baseField="0" baseItem="0"/>
    <dataField name="Sum of 12:Removal of objects" fld="13" baseField="0" baseItem="0"/>
    <dataField name="Sum of 13:Animal assistance incidents" fld="14" baseField="0" baseItem="0"/>
    <dataField name="Sum of 15:Making Safe (not RTC)" fld="16" baseField="0" baseItem="0"/>
    <dataField name="Sum of 16:No action (not false alarm)" fld="17" baseField="0" baseItem="0"/>
    <dataField name="Sum of 17:Water provision" fld="18" baseField="0" baseItem="0"/>
    <dataField name="Sum of 18:Stand By" fld="19" baseField="0" baseItem="0"/>
    <dataField name="Sum of 19:Assist other agencies" fld="20" baseField="0" baseItem="0"/>
    <dataField name="Sum of 20:Advice Only" fld="21" baseField="0" baseItem="0"/>
    <dataField name="Sum of 10:Hazardous Materials incident"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1" cacheId="10"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P37" firstHeaderRow="0" firstDataRow="1" firstDataCol="1" rowPageCount="1" colPageCount="1"/>
  <pivotFields count="17">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showAll="0">
      <items count="4">
        <item x="0"/>
        <item x="1"/>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1" item="2" hier="-1"/>
  </pageFields>
  <dataFields count="15">
    <dataField name="Sum of Buildings_Total" fld="2" baseField="0" baseItem="0"/>
    <dataField name="Sum of Dwelling" fld="16" baseField="0" baseItem="0"/>
    <dataField name="Sum of 01:Other Residential" fld="3" baseField="0" baseItem="0"/>
    <dataField name="Sum of 02:Private garages, sheds, etc" fld="4" baseField="0" baseItem="0"/>
    <dataField name="Sum of 03:Permanent Agricultural" fld="5" baseField="0" baseItem="0"/>
    <dataField name="Sum of 04:Industrial" fld="6" baseField="0" baseItem="0"/>
    <dataField name="Sum of 05:Warehouses and bulk storage" fld="7" baseField="0" baseItem="0"/>
    <dataField name="Sum of 06:Offices and call centres" fld="8" baseField="0" baseItem="0"/>
    <dataField name="Sum of 07:Public admin, security and safety" fld="9" baseField="0" baseItem="0"/>
    <dataField name="Sum of 08:Entertainment, Sport and Culture" fld="10" baseField="0" baseItem="0"/>
    <dataField name="Sum of 09:Food and Drink" fld="11" baseField="0" baseItem="0"/>
    <dataField name="Sum of 10:Retail" fld="12" baseField="0" baseItem="0"/>
    <dataField name="Sum of 11:Education" fld="13" baseField="0" baseItem="0"/>
    <dataField name="Sum of 12:Hospitals and medical care" fld="14" baseField="0" baseItem="0"/>
    <dataField name="Sum of 13:Other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188" name="PivotTable3"/>
  </pivotTables>
  <data>
    <tabular pivotCacheId="4"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0A000000}" sourceName="Year">
  <pivotTables>
    <pivotTable tabId="197" name="PivotTable2"/>
  </pivotTables>
  <data>
    <tabular pivotCacheId="497380022" sortOrder="descending">
      <items count="3">
        <i x="2" s="1"/>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0B000000}" sourceName="Year">
  <pivotTables>
    <pivotTable tabId="198" name="PivotTable3"/>
  </pivotTables>
  <data>
    <tabular pivotCacheId="731582348" sortOrder="descending">
      <items count="3">
        <i x="2" s="1"/>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0C000000}" sourceName="Year">
  <pivotTables>
    <pivotTable tabId="199" name="PivotTable4"/>
  </pivotTables>
  <data>
    <tabular pivotCacheId="1019047866" sortOrder="descending">
      <items count="3">
        <i x="2" s="1"/>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0D000000}" sourceName="Year">
  <pivotTables>
    <pivotTable tabId="200" name="PivotTable5"/>
  </pivotTables>
  <data>
    <tabular pivotCacheId="673260509" sortOrder="descending">
      <items count="3">
        <i x="2" s="1"/>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0E000000}" sourceName="Year">
  <pivotTables>
    <pivotTable tabId="201" name="PivotTable6"/>
  </pivotTables>
  <data>
    <tabular pivotCacheId="36336536" sortOrder="descending">
      <items count="3">
        <i x="2" s="1"/>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0F000000}" sourceName="Year">
  <pivotTables>
    <pivotTable tabId="202" name="PivotTable7"/>
  </pivotTables>
  <data>
    <tabular pivotCacheId="36336536" sortOrder="descending">
      <items count="3">
        <i x="2" s="1"/>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10000000}" sourceName="Year">
  <pivotTables>
    <pivotTable tabId="203" name="PivotTable8"/>
  </pivotTables>
  <data>
    <tabular pivotCacheId="521980004" sortOrder="descending">
      <items count="3">
        <i x="2" s="1"/>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11000000}" sourceName="Year">
  <pivotTables>
    <pivotTable tabId="203" name="PivotTable9"/>
  </pivotTables>
  <data>
    <tabular pivotCacheId="1200476220" sortOrder="descending">
      <items count="3">
        <i x="2" s="1"/>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12000000}" sourceName="Year">
  <pivotTables>
    <pivotTable tabId="203" name="PivotTable11"/>
  </pivotTables>
  <data>
    <tabular pivotCacheId="1541741508" sortOrder="descending">
      <items count="3">
        <i x="2" s="1"/>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13000000}" sourceName="Year">
  <pivotTables>
    <pivotTable tabId="204" name="PivotTable12"/>
  </pivotTables>
  <data>
    <tabular pivotCacheId="521980004" sortOrder="descending">
      <items count="3">
        <i x="2" s="1"/>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02000000}" sourceName="Year">
  <pivotTables>
    <pivotTable tabId="189" name="PivotTable5"/>
  </pivotTables>
  <data>
    <tabular pivotCacheId="5" sortOrder="descending">
      <items count="3">
        <i x="2" s="1"/>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14000000}" sourceName="Year">
  <pivotTables>
    <pivotTable tabId="204" name="PivotTable13"/>
  </pivotTables>
  <data>
    <tabular pivotCacheId="1200476220" sortOrder="descending">
      <items count="3">
        <i x="2" s="1"/>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15000000}" sourceName="Year">
  <pivotTables>
    <pivotTable tabId="204" name="PivotTable14"/>
  </pivotTables>
  <data>
    <tabular pivotCacheId="1541741508" sortOrder="descending">
      <items count="3">
        <i x="2" s="1"/>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16000000}" sourceName="Year">
  <pivotTables>
    <pivotTable tabId="205" name="PivotTable1"/>
  </pivotTables>
  <data>
    <tabular pivotCacheId="1138532" sortOrder="descending">
      <items count="3">
        <i x="2" s="1"/>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17000000}" sourceName="Year">
  <pivotTables>
    <pivotTable tabId="205" name="PivotTable2"/>
  </pivotTables>
  <data>
    <tabular pivotCacheId="1243177902" sortOrder="descending">
      <items count="3">
        <i x="2" s="1"/>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18000000}" sourceName="Year">
  <pivotTables>
    <pivotTable tabId="205" name="PivotTable3"/>
  </pivotTables>
  <data>
    <tabular pivotCacheId="1077398770" sortOrder="descending">
      <items count="3">
        <i x="2" s="1"/>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19000000}" sourceName="Year">
  <pivotTables>
    <pivotTable tabId="208" name="PivotTable5"/>
  </pivotTables>
  <data>
    <tabular pivotCacheId="1510979343" sortOrder="descending">
      <items count="3">
        <i x="2" s="1"/>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6" xr10:uid="{00000000-0013-0000-FFFF-FFFF1A000000}" sourceName="Year">
  <pivotTables>
    <pivotTable tabId="208" name="PivotTable6"/>
  </pivotTables>
  <data>
    <tabular pivotCacheId="1101573197" sortOrder="descending">
      <items count="3">
        <i x="2" s="1"/>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 xr10:uid="{00000000-0013-0000-FFFF-FFFF1B000000}" sourceName="a.Year">
  <pivotTables>
    <pivotTable tabId="210" name="PivotTable10"/>
  </pivotTables>
  <data>
    <tabular pivotCacheId="791682079" sortOrder="descending">
      <items count="3">
        <i x="2" s="1"/>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00000000-0013-0000-FFFF-FFFF1C000000}" sourceName="Year">
  <pivotTables>
    <pivotTable tabId="211" name="PivotTable11"/>
  </pivotTables>
  <data>
    <tabular pivotCacheId="1332252649" sortOrder="descending">
      <items count="3">
        <i x="2" s="1"/>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1D000000}" sourceName="Year">
  <pivotTables>
    <pivotTable tabId="212" name="PivotTable12"/>
  </pivotTables>
  <data>
    <tabular pivotCacheId="1313497787" sortOrder="descending">
      <items count="3">
        <i x="2" s="1"/>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0000000-0013-0000-FFFF-FFFF03000000}" sourceName="Year">
  <pivotTables>
    <pivotTable tabId="190" name="PivotTable6"/>
  </pivotTables>
  <data>
    <tabular pivotCacheId="7" sortOrder="descending">
      <items count="3">
        <i x="2" s="1"/>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1E000000}" sourceName="Year">
  <pivotTables>
    <pivotTable tabId="213" name="PivotTable13"/>
  </pivotTables>
  <data>
    <tabular pivotCacheId="835551149" sortOrder="descending">
      <items count="3">
        <i x="2" s="1"/>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0" xr10:uid="{00000000-0013-0000-FFFF-FFFF1F000000}" sourceName="Year">
  <pivotTables>
    <pivotTable tabId="213" name="PivotTable1"/>
  </pivotTables>
  <data>
    <tabular pivotCacheId="2040399215" sortOrder="descending">
      <items count="3">
        <i x="2" s="1"/>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4" xr10:uid="{00000000-0013-0000-FFFF-FFFF20000000}" sourceName="Year">
  <pivotTables>
    <pivotTable tabId="208" name="PivotTable4"/>
  </pivotTables>
  <data>
    <tabular pivotCacheId="907262734" sortOrder="descending">
      <items count="3">
        <i x="2" s="1"/>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04000000}" sourceName="Year">
  <pivotTables>
    <pivotTable tabId="191" name="PivotTable7"/>
  </pivotTables>
  <data>
    <tabular pivotCacheId="8"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05000000}" sourceName="Year">
  <pivotTables>
    <pivotTable tabId="192" name="PivotTable8"/>
  </pivotTables>
  <data>
    <tabular pivotCacheId="9" sortOrder="descending">
      <items count="3">
        <i x="2" s="1"/>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06000000}" sourceName="Year">
  <pivotTables>
    <pivotTable tabId="193" name="PivotTable1"/>
  </pivotTables>
  <data>
    <tabular pivotCacheId="1783910777" sortOrder="descending">
      <items count="3">
        <i x="2" s="1"/>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07000000}" sourceName="Year">
  <pivotTables>
    <pivotTable tabId="194" name="PivotTable2"/>
  </pivotTables>
  <data>
    <tabular pivotCacheId="631841854" sortOrder="descending">
      <items count="3">
        <i x="2" s="1"/>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0000000-0013-0000-FFFF-FFFF08000000}" sourceName="Year">
  <pivotTables>
    <pivotTable tabId="195" name="PivotTable4"/>
  </pivotTables>
  <data>
    <tabular pivotCacheId="2040399214" sortOrder="descending">
      <items count="3">
        <i x="2" s="1"/>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09000000}" sourceName="Year">
  <pivotTables>
    <pivotTable tabId="196" name="PivotTable1"/>
  </pivotTables>
  <data>
    <tabular pivotCacheId="1726685159" sortOrder="descending">
      <items count="3">
        <i x="2" s="1"/>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0000000-0014-0000-FFFF-FFFF01000000}" cache="Slicer_Year" caption="Year" columnCount="3" showCaption="0" rowHeight="225425"/>
  <slicer name="Year 1" xr10:uid="{00000000-0014-0000-FFFF-FFFF02000000}" cache="Slicer_Year" caption="Year" columnCount="3" showCaption="0" rowHeight="225425"/>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00000000-0014-0000-FFFF-FFFF0C000000}" cache="Slicer_Year9" caption="Year" columnCount="3" showCaption="0" rowHeight="22542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2" xr10:uid="{00000000-0014-0000-FFFF-FFFF0D000000}" cache="Slicer_Year10" caption="Year" columnCount="3" showCaption="0" rowHeight="225425"/>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0E000000}" cache="Slicer_Year11" caption="Year" columnCount="3" showCaption="0" rowHeight="225425"/>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0F000000}" cache="Slicer_Year12" caption="Year" columnCount="3" showCaption="0" rowHeight="225425"/>
  <slicer name="Year 15" xr10:uid="{00000000-0014-0000-FFFF-FFFF10000000}" cache="Slicer_Year12" caption="Year" columnCount="3" showCaption="0" rowHeight="225425"/>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11000000}" cache="Slicer_Year13" caption="Year" columnCount="3" showCaption="0" rowHeight="225425"/>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12000000}" cache="Slicer_Year14" caption="Year" columnCount="3" showCaption="0" rowHeight="225425"/>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13000000}" cache="Slicer_Year15" caption="Year" columnCount="3" showCaption="0" rowHeight="225425"/>
  <slicer name="Year 19" xr10:uid="{00000000-0014-0000-FFFF-FFFF14000000}" cache="Slicer_Year16" caption="Year" columnCount="3" showCaption="0" rowHeight="225425"/>
  <slicer name="Year 20" xr10:uid="{00000000-0014-0000-FFFF-FFFF15000000}" cache="Slicer_Year17" caption="Year" columnCount="3" showCaption="0" rowHeight="225425"/>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1" xr10:uid="{00000000-0014-0000-FFFF-FFFF16000000}" cache="Slicer_Year18" caption="Year" columnCount="3" showCaption="0" rowHeight="225425"/>
  <slicer name="Year 22" xr10:uid="{00000000-0014-0000-FFFF-FFFF17000000}" cache="Slicer_Year19" caption="Year" columnCount="3" showCaption="0" rowHeight="225425"/>
  <slicer name="Year 23" xr10:uid="{00000000-0014-0000-FFFF-FFFF18000000}" cache="Slicer_Year20" caption="Year" columnCount="3" showCaption="0" rowHeight="225425"/>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19000000}" cache="Slicer_Year21" caption="Year" columnCount="3" showCaption="0" rowHeight="225425"/>
  <slicer name="Year 25" xr10:uid="{00000000-0014-0000-FFFF-FFFF1A000000}" cache="Slicer_Year22" caption="Year" columnCount="3" showCaption="0" rowHeight="225425"/>
  <slicer name="Year 26" xr10:uid="{00000000-0014-0000-FFFF-FFFF1B000000}" cache="Slicer_Year23" caption="Year" columnCount="3" showCaption="0" rowHeight="225425"/>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C000000}" cache="Slicer_Year25" caption="Year" columnCount="3" showCaption="0" rowHeight="225425"/>
  <slicer name="Year 29" xr10:uid="{00000000-0014-0000-FFFF-FFFF1D000000}" cache="Slicer_Year26" caption="Year" columnCount="3" showCaption="0" rowHeight="225425"/>
  <slicer name="Year 27" xr10:uid="{00000000-0014-0000-FFFF-FFFF1E000000}" cache="Slicer_Year24" caption="Year" columnCount="3" showCaption="0"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03000000}" cache="Slicer_Year1" caption="Year" columnCount="3" showCaption="0" rowHeight="225425"/>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xr10:uid="{00000000-0014-0000-FFFF-FFFF1F000000}" cache="Slicer_a.Year" caption="a.Year" columnCount="3" showCaption="0" rowHeight="225425"/>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0" xr10:uid="{00000000-0014-0000-FFFF-FFFF20000000}" cache="Slicer_Year27" caption="Year" columnCount="3" showCaption="0" rowHeight="225425"/>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5" xr10:uid="{00000000-0014-0000-FFFF-FFFF21000000}" cache="Slicer_Year28" caption="Year" columnCount="3" showCaption="0" rowHeight="225425"/>
  <slicer name="Year 31" xr10:uid="{00000000-0014-0000-FFFF-FFFF22000000}" cache="Slicer_Year28" caption="Year" columnCount="3" showCaption="0" rowHeight="225425"/>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2" xr10:uid="{00000000-0014-0000-FFFF-FFFF23000000}" cache="Slicer_Year29" caption="Year" columnCount="3" showCaption="0" rowHeight="225425"/>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3" xr10:uid="{00000000-0014-0000-FFFF-FFFF24000000}" cache="Slicer_Year30" caption="Year" columnCount="3" showCaption="0"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04000000}" cache="Slicer_Year2" caption="Year" columnCount="3" showCaption="0"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05000000}" cache="Slicer_Year3" caption="Year" columnCount="3" showCaption="0"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 xr10:uid="{00000000-0014-0000-FFFF-FFFF06000000}" cache="Slicer_Year4" caption="Year" columnCount="3" showCaption="0" style="SlicerStyleLight1 3" rowHeight="225425"/>
  <slicer name="Year 6" xr10:uid="{00000000-0014-0000-FFFF-FFFF07000000}" cache="Slicer_Year4" caption="Year" columnCount="3" showCaption="0"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00000000-0014-0000-FFFF-FFFF08000000}" cache="Slicer_Year5" caption="Year" columnCount="3" showCaption="0"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09000000}" cache="Slicer_Year6" caption="Year" columnCount="3" showCaption="0" rowHeight="22542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0A000000}" cache="Slicer_Year7" caption="Year" columnCount="3" showCaption="0" rowHeight="225425"/>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00000000-0014-0000-FFFF-FFFF0B000000}" cache="Slicer_Year8" caption="Year" columnCount="3" showCaption="0" rowHeight="225425"/>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otland.gov.uk/Topics/Statistics/Browse/Crime-Justice/PubFires" TargetMode="External"/><Relationship Id="rId2" Type="http://schemas.openxmlformats.org/officeDocument/2006/relationships/hyperlink" Target="mailto:National.Statistics@firescotland.gov.uk"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nrscotland.gov.uk/statistics-and-data/statistics/statistics-by-theme/population/population-estimates/mid-year-population-estimates/mid-2017" TargetMode="External"/><Relationship Id="rId4" Type="http://schemas.microsoft.com/office/2007/relationships/slicer" Target="../slicers/slicer1.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8.bin"/></Relationships>
</file>

<file path=xl/worksheets/_rels/sheet101.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57.xml"/><Relationship Id="rId1" Type="http://schemas.openxmlformats.org/officeDocument/2006/relationships/printerSettings" Target="../printerSettings/printerSettings79.bin"/></Relationships>
</file>

<file path=xl/worksheets/_rels/sheet102.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58.xml"/><Relationship Id="rId1" Type="http://schemas.openxmlformats.org/officeDocument/2006/relationships/printerSettings" Target="../printerSettings/printerSettings8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6.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8.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0.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92.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3.bin"/></Relationships>
</file>

<file path=xl/worksheets/_rels/sheet1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4.bin"/></Relationships>
</file>

<file path=xl/worksheets/_rels/sheet1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5.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96.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98.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99.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00.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01.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02.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03.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04.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105.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06.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10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108.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09.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10.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11.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12.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3.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14.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15.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16.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https://www.nrscotland.gov.uk/statistics-and-data/statistics/statistics-by-theme/households/household-estimates/2017" TargetMode="External"/><Relationship Id="rId4" Type="http://schemas.microsoft.com/office/2007/relationships/slicer" Target="../slicers/slicer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46.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5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40.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0.bin"/><Relationship Id="rId1" Type="http://schemas.openxmlformats.org/officeDocument/2006/relationships/hyperlink" Target="https://www.nrscotland.gov.uk/statistics-and-data/statistics/statistics-by-theme/population/population-estimates/mid-year-population-estimates/mid-2017" TargetMode="External"/><Relationship Id="rId4" Type="http://schemas.microsoft.com/office/2007/relationships/slicer" Target="../slicers/slicer15.xml"/></Relationships>
</file>

<file path=xl/worksheets/_rels/sheet64.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46.xml"/><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81.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6.xml.rels><?xml version="1.0" encoding="UTF-8" standalone="yes"?>
<Relationships xmlns="http://schemas.openxmlformats.org/package/2006/relationships"><Relationship Id="rId3" Type="http://schemas.microsoft.com/office/2007/relationships/slicer" Target="../slicers/slicer20.xml"/><Relationship Id="rId2" Type="http://schemas.openxmlformats.org/officeDocument/2006/relationships/drawing" Target="../drawings/drawing51.xml"/><Relationship Id="rId1" Type="http://schemas.openxmlformats.org/officeDocument/2006/relationships/printerSettings" Target="../printerSettings/printerSettings67.bin"/></Relationships>
</file>

<file path=xl/worksheets/_rels/sheet87.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91.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92.xml.rels><?xml version="1.0" encoding="UTF-8" standalone="yes"?>
<Relationships xmlns="http://schemas.openxmlformats.org/package/2006/relationships"><Relationship Id="rId1" Type="http://schemas.openxmlformats.org/officeDocument/2006/relationships/pivotTable" Target="../pivotTables/pivotTable31.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5.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96.xml.rels><?xml version="1.0" encoding="UTF-8" standalone="yes"?>
<Relationships xmlns="http://schemas.openxmlformats.org/package/2006/relationships"><Relationship Id="rId1" Type="http://schemas.openxmlformats.org/officeDocument/2006/relationships/pivotTable" Target="../pivotTables/pivotTable32.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40"/>
  <sheetViews>
    <sheetView showGridLines="0" tabSelected="1" zoomScale="90" zoomScaleNormal="90" zoomScaleSheetLayoutView="100" workbookViewId="0"/>
  </sheetViews>
  <sheetFormatPr defaultRowHeight="12.75" x14ac:dyDescent="0.2"/>
  <cols>
    <col min="1" max="1" width="14.85546875" customWidth="1"/>
    <col min="6" max="6" width="25.7109375" customWidth="1"/>
    <col min="8" max="8" width="9.140625" customWidth="1"/>
    <col min="9" max="9" width="10.140625" customWidth="1"/>
    <col min="11" max="11" width="9.140625" customWidth="1"/>
    <col min="12" max="12" width="21.7109375" customWidth="1"/>
  </cols>
  <sheetData>
    <row r="1" spans="1:18" ht="45" customHeight="1" x14ac:dyDescent="0.2">
      <c r="F1" s="1520" t="s">
        <v>940</v>
      </c>
    </row>
    <row r="2" spans="1:18" ht="15.75" x14ac:dyDescent="0.25">
      <c r="A2" s="1525"/>
      <c r="B2" s="1525"/>
      <c r="C2" s="1525"/>
      <c r="D2" s="1525"/>
      <c r="E2" s="1525"/>
      <c r="F2" s="1521" t="s">
        <v>942</v>
      </c>
      <c r="G2" s="1525"/>
      <c r="H2" s="1525"/>
      <c r="I2" s="1525"/>
      <c r="J2" s="1525"/>
      <c r="K2" s="1525"/>
      <c r="L2" s="1525"/>
      <c r="M2" s="1525"/>
      <c r="N2" s="1525"/>
      <c r="O2" s="1525"/>
      <c r="P2" s="1525"/>
      <c r="Q2" s="1525"/>
      <c r="R2" s="1525"/>
    </row>
    <row r="3" spans="1:18" ht="15.75" x14ac:dyDescent="0.25">
      <c r="A3" s="1525"/>
      <c r="B3" s="1525"/>
      <c r="C3" s="1525"/>
      <c r="D3" s="1525"/>
      <c r="E3" s="1525"/>
      <c r="F3" s="1522" t="s">
        <v>941</v>
      </c>
      <c r="G3" s="1525"/>
      <c r="H3" s="1525"/>
      <c r="I3" s="1525"/>
      <c r="J3" s="1525"/>
      <c r="K3" s="1525"/>
      <c r="L3" s="1525"/>
      <c r="M3" s="1525"/>
      <c r="N3" s="1527"/>
      <c r="O3" s="1525"/>
      <c r="P3" s="1525"/>
      <c r="Q3" s="1525"/>
      <c r="R3" s="1525"/>
    </row>
    <row r="4" spans="1:18" ht="15.75" x14ac:dyDescent="0.25">
      <c r="A4" s="1525"/>
      <c r="B4" s="1525"/>
      <c r="C4" s="1525"/>
      <c r="D4" s="1525"/>
      <c r="E4" s="1525"/>
      <c r="F4" s="1523" t="s">
        <v>943</v>
      </c>
      <c r="G4" s="1525"/>
      <c r="H4" s="1525"/>
      <c r="I4" s="1525"/>
      <c r="J4" s="1525"/>
      <c r="K4" s="1525"/>
      <c r="L4" s="1525"/>
      <c r="M4" s="1525"/>
      <c r="N4" s="1532"/>
      <c r="O4" s="1527"/>
      <c r="P4" s="1525"/>
      <c r="Q4" s="1525"/>
      <c r="R4" s="1525"/>
    </row>
    <row r="5" spans="1:18" s="1443" customFormat="1" ht="30" customHeight="1" x14ac:dyDescent="0.25">
      <c r="A5" s="1534"/>
      <c r="B5" s="1612" t="s">
        <v>954</v>
      </c>
      <c r="C5" s="1612"/>
      <c r="D5" s="1612"/>
      <c r="E5" s="1612"/>
      <c r="F5" s="1612"/>
      <c r="G5" s="1612"/>
      <c r="H5" s="1612"/>
      <c r="I5" s="1612"/>
      <c r="J5" s="1612"/>
      <c r="K5" s="1612"/>
      <c r="L5" s="1534"/>
      <c r="M5" s="1534"/>
      <c r="N5" s="1532"/>
      <c r="O5" s="1527"/>
      <c r="P5" s="1534"/>
      <c r="Q5" s="1534"/>
      <c r="R5" s="1534"/>
    </row>
    <row r="6" spans="1:18" s="1443" customFormat="1" ht="15.75" x14ac:dyDescent="0.25">
      <c r="A6" s="1534"/>
      <c r="B6" s="1535"/>
      <c r="C6" s="1535"/>
      <c r="D6" s="1535"/>
      <c r="E6" s="1535"/>
      <c r="F6" s="1535"/>
      <c r="G6" s="1535"/>
      <c r="H6" s="1535"/>
      <c r="I6" s="1535"/>
      <c r="J6" s="1535"/>
      <c r="K6" s="1535"/>
      <c r="L6" s="1534"/>
      <c r="M6" s="1534"/>
      <c r="N6" s="1532"/>
      <c r="O6" s="1527"/>
      <c r="P6" s="1534"/>
      <c r="Q6" s="1534"/>
      <c r="R6" s="1534"/>
    </row>
    <row r="7" spans="1:18" ht="15.75" x14ac:dyDescent="0.25">
      <c r="A7" s="1525"/>
      <c r="B7" s="1527" t="s">
        <v>951</v>
      </c>
      <c r="C7" s="1525"/>
      <c r="D7" s="1525"/>
      <c r="E7" s="1525"/>
      <c r="F7" s="1525"/>
      <c r="G7" s="1525"/>
      <c r="H7" s="1525"/>
      <c r="I7" s="1525"/>
      <c r="J7" s="1525"/>
      <c r="K7" s="1525"/>
      <c r="L7" s="1525"/>
      <c r="M7" s="1525"/>
      <c r="N7" s="1532"/>
      <c r="O7" s="1527"/>
      <c r="P7" s="1525"/>
      <c r="Q7" s="1525"/>
      <c r="R7" s="1525"/>
    </row>
    <row r="8" spans="1:18" ht="15.75" x14ac:dyDescent="0.25">
      <c r="A8" s="1525"/>
      <c r="B8" s="1525"/>
      <c r="C8" s="1531" t="s">
        <v>955</v>
      </c>
      <c r="D8" s="1525"/>
      <c r="E8" s="1525"/>
      <c r="F8" s="1525"/>
      <c r="G8" s="1525"/>
      <c r="H8" s="1525"/>
      <c r="I8" s="1525"/>
      <c r="J8" s="1525"/>
      <c r="K8" s="1525"/>
      <c r="L8" s="1525"/>
      <c r="M8" s="1525"/>
      <c r="N8" s="1532"/>
      <c r="O8" s="1527"/>
      <c r="P8" s="1525"/>
      <c r="Q8" s="1525"/>
      <c r="R8" s="1525"/>
    </row>
    <row r="9" spans="1:18" ht="15.75" x14ac:dyDescent="0.25">
      <c r="A9" s="1525"/>
      <c r="B9" s="1525"/>
      <c r="C9" s="1531" t="s">
        <v>952</v>
      </c>
      <c r="D9" s="1525"/>
      <c r="E9" s="1525"/>
      <c r="F9" s="1525"/>
      <c r="G9" s="1525"/>
      <c r="H9" s="1525"/>
      <c r="I9" s="1525"/>
      <c r="J9" s="1525"/>
      <c r="K9" s="1525"/>
      <c r="L9" s="1525"/>
      <c r="M9" s="1525"/>
      <c r="N9" s="1532"/>
      <c r="O9" s="1527"/>
      <c r="P9" s="1525"/>
      <c r="Q9" s="1525"/>
      <c r="R9" s="1525"/>
    </row>
    <row r="10" spans="1:18" ht="15.75" x14ac:dyDescent="0.25">
      <c r="A10" s="1525"/>
      <c r="B10" s="1525"/>
      <c r="C10" s="1531" t="s">
        <v>953</v>
      </c>
      <c r="D10" s="1525"/>
      <c r="E10" s="1525"/>
      <c r="F10" s="1525"/>
      <c r="G10" s="1525"/>
      <c r="H10" s="1525"/>
      <c r="I10" s="1525"/>
      <c r="J10" s="1525"/>
      <c r="K10" s="1525"/>
      <c r="L10" s="1525"/>
      <c r="M10" s="1525"/>
      <c r="N10" s="1532"/>
      <c r="O10" s="1527"/>
      <c r="P10" s="1525"/>
      <c r="Q10" s="1525"/>
      <c r="R10" s="1525"/>
    </row>
    <row r="11" spans="1:18" ht="15.75" x14ac:dyDescent="0.25">
      <c r="A11" s="1525"/>
      <c r="B11" s="1525"/>
      <c r="C11" s="1531"/>
      <c r="D11" s="1525"/>
      <c r="E11" s="1525"/>
      <c r="F11" s="1525"/>
      <c r="G11" s="1525"/>
      <c r="H11" s="1525"/>
      <c r="I11" s="1525"/>
      <c r="J11" s="1525"/>
      <c r="K11" s="1525"/>
      <c r="L11" s="1525"/>
      <c r="M11" s="1525"/>
      <c r="N11" s="1532"/>
      <c r="O11" s="1527"/>
      <c r="P11" s="1525"/>
      <c r="Q11" s="1525"/>
      <c r="R11" s="1525"/>
    </row>
    <row r="12" spans="1:18" ht="30" customHeight="1" x14ac:dyDescent="0.25">
      <c r="A12" s="1525"/>
      <c r="B12" s="1613" t="s">
        <v>956</v>
      </c>
      <c r="C12" s="1613"/>
      <c r="D12" s="1613"/>
      <c r="E12" s="1613"/>
      <c r="F12" s="1613"/>
      <c r="G12" s="1613"/>
      <c r="H12" s="1613"/>
      <c r="I12" s="1613"/>
      <c r="J12" s="1613"/>
      <c r="K12" s="1613"/>
      <c r="L12" s="1525"/>
      <c r="M12" s="1525"/>
      <c r="N12" s="1532"/>
      <c r="O12" s="1527"/>
      <c r="P12" s="1525"/>
      <c r="Q12" s="1525"/>
      <c r="R12" s="1525"/>
    </row>
    <row r="13" spans="1:18" ht="15.75" x14ac:dyDescent="0.25">
      <c r="A13" s="1525"/>
      <c r="B13" s="1530"/>
      <c r="C13" s="1530"/>
      <c r="D13" s="1530"/>
      <c r="E13" s="1530"/>
      <c r="F13" s="1530"/>
      <c r="G13" s="1530"/>
      <c r="H13" s="1530"/>
      <c r="I13" s="1530"/>
      <c r="J13" s="1530"/>
      <c r="K13" s="1530"/>
      <c r="L13" s="1525"/>
      <c r="M13" s="1525"/>
      <c r="N13" s="1532"/>
      <c r="O13" s="1527"/>
      <c r="P13" s="1525"/>
      <c r="Q13" s="1525"/>
      <c r="R13" s="1525"/>
    </row>
    <row r="14" spans="1:18" ht="30" customHeight="1" x14ac:dyDescent="0.25">
      <c r="A14" s="1525"/>
      <c r="B14" s="1613" t="s">
        <v>957</v>
      </c>
      <c r="C14" s="1613"/>
      <c r="D14" s="1613"/>
      <c r="E14" s="1613"/>
      <c r="F14" s="1613"/>
      <c r="G14" s="1613"/>
      <c r="H14" s="1613"/>
      <c r="I14" s="1613"/>
      <c r="J14" s="1613"/>
      <c r="K14" s="1613"/>
      <c r="L14" s="1525"/>
      <c r="M14" s="1525"/>
      <c r="N14" s="1532"/>
      <c r="O14" s="1527"/>
      <c r="P14" s="1525"/>
      <c r="Q14" s="1525"/>
      <c r="R14" s="1525"/>
    </row>
    <row r="15" spans="1:18" ht="15.75" x14ac:dyDescent="0.25">
      <c r="A15" s="1525"/>
      <c r="B15" s="1525"/>
      <c r="C15" s="1525"/>
      <c r="D15" s="1525"/>
      <c r="E15" s="1525"/>
      <c r="F15" s="1525"/>
      <c r="G15" s="1525"/>
      <c r="H15" s="1525"/>
      <c r="I15" s="1525"/>
      <c r="J15" s="1525"/>
      <c r="K15" s="1525"/>
      <c r="L15" s="1525"/>
      <c r="M15" s="1525"/>
      <c r="N15" s="1525"/>
      <c r="O15" s="1525"/>
      <c r="P15" s="1525"/>
      <c r="Q15" s="1525"/>
      <c r="R15" s="1525"/>
    </row>
    <row r="16" spans="1:18" ht="30" customHeight="1" x14ac:dyDescent="0.25">
      <c r="A16" s="1525"/>
      <c r="B16" s="1612" t="s">
        <v>1035</v>
      </c>
      <c r="C16" s="1612"/>
      <c r="D16" s="1612"/>
      <c r="E16" s="1612"/>
      <c r="F16" s="1612"/>
      <c r="G16" s="1612"/>
      <c r="H16" s="1612"/>
      <c r="I16" s="1612"/>
      <c r="J16" s="1612"/>
      <c r="K16" s="1612"/>
      <c r="L16" s="1525"/>
      <c r="M16" s="1525"/>
      <c r="N16" s="1525"/>
      <c r="O16" s="1525"/>
      <c r="P16" s="1525"/>
      <c r="Q16" s="1525"/>
      <c r="R16" s="1525"/>
    </row>
    <row r="17" spans="1:18" ht="15.75" x14ac:dyDescent="0.25">
      <c r="A17" s="1525"/>
      <c r="B17" s="1525"/>
      <c r="C17" s="1525"/>
      <c r="D17" s="1525"/>
      <c r="E17" s="1525"/>
      <c r="F17" s="1525"/>
      <c r="G17" s="1525"/>
      <c r="H17" s="1525"/>
      <c r="I17" s="1525"/>
      <c r="J17" s="1525"/>
      <c r="K17" s="1525"/>
      <c r="L17" s="1525"/>
      <c r="M17" s="1525"/>
      <c r="N17" s="1525"/>
      <c r="O17" s="1525"/>
      <c r="P17" s="1525"/>
      <c r="Q17" s="1525"/>
      <c r="R17" s="1525"/>
    </row>
    <row r="18" spans="1:18" ht="15.75" x14ac:dyDescent="0.25">
      <c r="A18" s="1525"/>
      <c r="B18" s="1615" t="s">
        <v>962</v>
      </c>
      <c r="C18" s="1615"/>
      <c r="D18" s="1615"/>
      <c r="E18" s="1615"/>
      <c r="F18" s="1615"/>
      <c r="G18" s="1615"/>
      <c r="H18" s="1615"/>
      <c r="I18" s="1615"/>
      <c r="J18" s="1615"/>
      <c r="K18" s="1615"/>
      <c r="L18" s="1525"/>
      <c r="M18" s="1525"/>
      <c r="N18" s="1525"/>
      <c r="O18" s="1525"/>
      <c r="P18" s="1525"/>
      <c r="Q18" s="1525"/>
      <c r="R18" s="1525"/>
    </row>
    <row r="19" spans="1:18" ht="15.75" x14ac:dyDescent="0.25">
      <c r="A19" s="1525"/>
      <c r="B19" s="1536" t="s">
        <v>154</v>
      </c>
      <c r="C19" s="1525"/>
      <c r="D19" s="1525"/>
      <c r="E19" s="1525"/>
      <c r="F19" s="1525"/>
      <c r="G19" s="1525"/>
      <c r="H19" s="1525"/>
      <c r="I19" s="1525"/>
      <c r="J19" s="1525"/>
      <c r="K19" s="1525"/>
      <c r="L19" s="1525"/>
      <c r="M19" s="1525"/>
      <c r="N19" s="1525"/>
      <c r="O19" s="1525"/>
      <c r="P19" s="1525"/>
      <c r="Q19" s="1525"/>
      <c r="R19" s="1525"/>
    </row>
    <row r="20" spans="1:18" ht="15.75" x14ac:dyDescent="0.25">
      <c r="A20" s="1525"/>
      <c r="B20" s="1525"/>
      <c r="C20" s="1525"/>
      <c r="D20" s="1525"/>
      <c r="E20" s="1525"/>
      <c r="F20" s="1525"/>
      <c r="G20" s="1525"/>
      <c r="H20" s="1525"/>
      <c r="I20" s="1525"/>
      <c r="J20" s="1525"/>
      <c r="K20" s="1525"/>
      <c r="L20" s="1525"/>
      <c r="M20" s="1525"/>
      <c r="N20" s="1525"/>
      <c r="O20" s="1525"/>
      <c r="P20" s="1525"/>
      <c r="Q20" s="1525"/>
      <c r="R20" s="1525"/>
    </row>
    <row r="21" spans="1:18" ht="15.75" x14ac:dyDescent="0.25">
      <c r="A21" s="1525"/>
      <c r="B21" s="1616" t="s">
        <v>949</v>
      </c>
      <c r="C21" s="1616"/>
      <c r="D21" s="1616"/>
      <c r="E21" s="1616"/>
      <c r="F21" s="1529" t="s">
        <v>950</v>
      </c>
      <c r="G21" s="1525"/>
      <c r="H21" s="1525"/>
      <c r="I21" s="1525"/>
      <c r="J21" s="1525"/>
      <c r="K21" s="1525"/>
      <c r="L21" s="1525"/>
      <c r="M21" s="1525"/>
      <c r="N21" s="1525"/>
      <c r="O21" s="1525"/>
      <c r="P21" s="1525"/>
      <c r="Q21" s="1525"/>
      <c r="R21" s="1525"/>
    </row>
    <row r="22" spans="1:18" ht="15.75" x14ac:dyDescent="0.25">
      <c r="A22" s="1525"/>
      <c r="B22" s="1533"/>
      <c r="C22" s="1533"/>
      <c r="D22" s="1533"/>
      <c r="E22" s="1533"/>
      <c r="F22" s="1529"/>
      <c r="G22" s="1525"/>
      <c r="H22" s="1525"/>
      <c r="I22" s="1525"/>
      <c r="J22" s="1525"/>
      <c r="K22" s="1525"/>
      <c r="L22" s="1525"/>
      <c r="M22" s="1525"/>
      <c r="N22" s="1525"/>
      <c r="O22" s="1525"/>
      <c r="P22" s="1525"/>
      <c r="Q22" s="1525"/>
      <c r="R22" s="1525"/>
    </row>
    <row r="23" spans="1:18" ht="15.75" x14ac:dyDescent="0.25">
      <c r="A23" s="1525"/>
      <c r="B23" s="1524" t="s">
        <v>588</v>
      </c>
      <c r="C23" s="1525"/>
      <c r="D23" s="1525"/>
      <c r="E23" s="1525"/>
      <c r="F23" s="1525"/>
      <c r="G23" s="1525"/>
      <c r="H23" s="1525"/>
      <c r="I23" s="1525"/>
      <c r="J23" s="1525"/>
      <c r="K23" s="1525"/>
      <c r="L23" s="1525"/>
      <c r="M23" s="1525"/>
      <c r="N23" s="1525"/>
      <c r="O23" s="1525"/>
      <c r="P23" s="1525"/>
      <c r="Q23" s="1525"/>
      <c r="R23" s="1525"/>
    </row>
    <row r="24" spans="1:18" ht="45" customHeight="1" x14ac:dyDescent="0.25">
      <c r="A24" s="1525"/>
      <c r="B24" s="1612" t="s">
        <v>589</v>
      </c>
      <c r="C24" s="1612"/>
      <c r="D24" s="1612"/>
      <c r="E24" s="1612"/>
      <c r="F24" s="1612"/>
      <c r="G24" s="1612"/>
      <c r="H24" s="1612"/>
      <c r="I24" s="1612"/>
      <c r="J24" s="1612"/>
      <c r="K24" s="1612"/>
      <c r="L24" s="1525"/>
      <c r="M24" s="1525"/>
      <c r="N24" s="1525"/>
      <c r="O24" s="1525"/>
      <c r="P24" s="1525"/>
      <c r="Q24" s="1525"/>
      <c r="R24" s="1525"/>
    </row>
    <row r="25" spans="1:18" ht="15.75" x14ac:dyDescent="0.25">
      <c r="A25" s="1525"/>
      <c r="B25" s="1525"/>
      <c r="C25" s="1525"/>
      <c r="D25" s="1525"/>
      <c r="E25" s="1525"/>
      <c r="F25" s="1525"/>
      <c r="G25" s="1525"/>
      <c r="H25" s="1525"/>
      <c r="I25" s="1525"/>
      <c r="J25" s="1525"/>
      <c r="K25" s="1525"/>
      <c r="L25" s="1531"/>
      <c r="M25" s="1525"/>
      <c r="N25" s="1525"/>
      <c r="O25" s="1525"/>
      <c r="P25" s="1525"/>
      <c r="Q25" s="1525"/>
      <c r="R25" s="1525"/>
    </row>
    <row r="26" spans="1:18" ht="15.75" x14ac:dyDescent="0.25">
      <c r="A26" s="1525"/>
      <c r="B26" s="1524" t="s">
        <v>592</v>
      </c>
      <c r="C26" s="1525"/>
      <c r="D26" s="1525"/>
      <c r="E26" s="1525"/>
      <c r="F26" s="1525"/>
      <c r="G26" s="1525"/>
      <c r="H26" s="1525"/>
      <c r="I26" s="1525"/>
      <c r="J26" s="1525"/>
      <c r="K26" s="1525"/>
      <c r="L26" s="1531"/>
      <c r="M26" s="1525"/>
      <c r="N26" s="1525"/>
      <c r="O26" s="1525"/>
      <c r="P26" s="1525"/>
      <c r="Q26" s="1525"/>
      <c r="R26" s="1525"/>
    </row>
    <row r="27" spans="1:18" ht="15.75" x14ac:dyDescent="0.25">
      <c r="A27" s="1525"/>
      <c r="B27" s="1614" t="s">
        <v>591</v>
      </c>
      <c r="C27" s="1614"/>
      <c r="D27" s="1614"/>
      <c r="E27" s="1614"/>
      <c r="F27" s="1525"/>
      <c r="G27" s="1525"/>
      <c r="H27" s="1525"/>
      <c r="I27" s="1525"/>
      <c r="J27" s="1525"/>
      <c r="K27" s="1525"/>
      <c r="L27" s="1531"/>
      <c r="M27" s="1525"/>
      <c r="N27" s="1525"/>
      <c r="O27" s="1525"/>
      <c r="P27" s="1525"/>
      <c r="Q27" s="1525"/>
      <c r="R27" s="1525"/>
    </row>
    <row r="28" spans="1:18" ht="15.75" x14ac:dyDescent="0.25">
      <c r="A28" s="1525"/>
      <c r="B28" s="1597" t="s">
        <v>371</v>
      </c>
      <c r="C28" s="1597"/>
      <c r="D28" s="1597"/>
      <c r="E28" s="1597"/>
      <c r="F28" s="1525"/>
      <c r="G28" s="1525"/>
      <c r="H28" s="1525"/>
      <c r="I28" s="1525"/>
      <c r="J28" s="1525"/>
      <c r="K28" s="1525"/>
      <c r="L28" s="1525"/>
      <c r="M28" s="1525"/>
      <c r="N28" s="1525"/>
      <c r="O28" s="1525"/>
      <c r="P28" s="1525"/>
      <c r="Q28" s="1525"/>
      <c r="R28" s="1525"/>
    </row>
    <row r="29" spans="1:18" ht="15.75" x14ac:dyDescent="0.25">
      <c r="A29" s="1525"/>
      <c r="B29" s="1596" t="s">
        <v>590</v>
      </c>
      <c r="C29" s="1595"/>
      <c r="D29" s="1595"/>
      <c r="E29" s="1595"/>
      <c r="F29" s="1525"/>
      <c r="G29" s="1525"/>
      <c r="H29" s="1525"/>
      <c r="I29" s="1525"/>
      <c r="J29" s="1525"/>
      <c r="K29" s="1525"/>
      <c r="L29" s="1525"/>
      <c r="M29" s="1525"/>
      <c r="N29" s="1525"/>
      <c r="O29" s="1525"/>
      <c r="P29" s="1525"/>
      <c r="Q29" s="1525"/>
      <c r="R29" s="1525"/>
    </row>
    <row r="30" spans="1:18" ht="15.75" customHeight="1" x14ac:dyDescent="0.25">
      <c r="A30" s="1525"/>
      <c r="B30" s="1525"/>
      <c r="C30" s="1525"/>
      <c r="D30" s="1525"/>
      <c r="E30" s="1525"/>
      <c r="F30" s="1525"/>
      <c r="G30" s="1525"/>
      <c r="H30" s="1525"/>
      <c r="I30" s="1599"/>
      <c r="J30" s="1599"/>
      <c r="K30" s="1599"/>
      <c r="L30" s="1599"/>
      <c r="M30" s="1599"/>
      <c r="N30" s="1599"/>
      <c r="O30" s="1599"/>
      <c r="P30" s="1599"/>
      <c r="Q30" s="1599"/>
      <c r="R30" s="1599"/>
    </row>
    <row r="31" spans="1:18" ht="15.75" customHeight="1" x14ac:dyDescent="0.25">
      <c r="A31" s="1525"/>
      <c r="B31" s="1525"/>
      <c r="C31" s="1525"/>
      <c r="D31" s="1525"/>
      <c r="E31" s="1525"/>
      <c r="F31" s="1525"/>
      <c r="G31" s="1525"/>
      <c r="H31" s="1525"/>
    </row>
    <row r="32" spans="1:18" ht="15.75" x14ac:dyDescent="0.25">
      <c r="A32" s="1525"/>
      <c r="B32" s="1524" t="s">
        <v>944</v>
      </c>
      <c r="C32" s="1524"/>
      <c r="D32" s="1525"/>
      <c r="E32" s="1525"/>
      <c r="F32" s="1525"/>
      <c r="G32" s="1525"/>
      <c r="H32" s="1525"/>
      <c r="I32" s="1525"/>
      <c r="J32" s="1525"/>
      <c r="K32" s="1525"/>
      <c r="L32" s="1525"/>
      <c r="M32" s="1525"/>
      <c r="N32" s="1525"/>
      <c r="O32" s="1525"/>
      <c r="P32" s="1525"/>
      <c r="Q32" s="1525"/>
      <c r="R32" s="1525"/>
    </row>
    <row r="33" spans="1:21" ht="15.75" x14ac:dyDescent="0.25">
      <c r="A33" s="1525"/>
      <c r="B33" s="1526" t="s">
        <v>945</v>
      </c>
      <c r="C33" s="1527" t="s">
        <v>946</v>
      </c>
      <c r="D33" s="1525"/>
      <c r="E33" s="1525"/>
      <c r="F33" s="1525"/>
      <c r="G33" s="1525"/>
      <c r="H33" s="1525"/>
      <c r="I33" s="1525"/>
      <c r="J33" s="1525"/>
      <c r="K33" s="1525"/>
      <c r="L33" s="1525"/>
      <c r="M33" s="1525"/>
      <c r="N33" s="1525"/>
      <c r="O33" s="1525"/>
      <c r="P33" s="1525"/>
      <c r="Q33" s="1525"/>
      <c r="R33" s="1525"/>
    </row>
    <row r="34" spans="1:21" ht="15.75" x14ac:dyDescent="0.25">
      <c r="A34" s="1525"/>
      <c r="B34" s="1525" t="s">
        <v>143</v>
      </c>
      <c r="C34" s="1525" t="s">
        <v>144</v>
      </c>
      <c r="D34" s="1525"/>
      <c r="E34" s="1525"/>
      <c r="F34" s="1525"/>
      <c r="G34" s="1525"/>
      <c r="H34" s="1525"/>
      <c r="I34" s="1599"/>
      <c r="J34" s="1599"/>
      <c r="K34" s="1599"/>
      <c r="L34" s="1599"/>
      <c r="M34" s="1599"/>
      <c r="N34" s="1599"/>
      <c r="O34" s="1599"/>
      <c r="P34" s="1599"/>
      <c r="Q34" s="1599"/>
      <c r="R34" s="1599"/>
    </row>
    <row r="35" spans="1:21" ht="15.75" x14ac:dyDescent="0.25">
      <c r="A35" s="1525"/>
      <c r="B35" s="1525" t="s">
        <v>145</v>
      </c>
      <c r="C35" s="1525" t="s">
        <v>146</v>
      </c>
      <c r="D35" s="1525"/>
      <c r="E35" s="1525"/>
      <c r="F35" s="1525"/>
      <c r="G35" s="1525"/>
      <c r="H35" s="1525"/>
      <c r="I35" s="1525"/>
      <c r="J35" s="1525"/>
      <c r="K35" s="1525"/>
      <c r="L35" s="1525"/>
      <c r="M35" s="1525"/>
      <c r="N35" s="1525"/>
      <c r="O35" s="1525"/>
      <c r="P35" s="1525"/>
      <c r="Q35" s="1525"/>
      <c r="R35" s="1525"/>
    </row>
    <row r="36" spans="1:21" ht="15.75" x14ac:dyDescent="0.25">
      <c r="A36" s="1525"/>
      <c r="B36" s="1528" t="s">
        <v>947</v>
      </c>
      <c r="C36" s="1527" t="s">
        <v>948</v>
      </c>
      <c r="D36" s="1525"/>
      <c r="E36" s="1525"/>
      <c r="F36" s="1525"/>
      <c r="G36" s="1525"/>
      <c r="H36" s="1525"/>
      <c r="I36" s="1525"/>
      <c r="J36" s="1525"/>
      <c r="K36" s="1525"/>
      <c r="L36" s="1525"/>
      <c r="M36" s="1525"/>
      <c r="N36" s="1525"/>
      <c r="O36" s="1525"/>
      <c r="P36" s="1525"/>
      <c r="Q36" s="1525"/>
      <c r="R36" s="1525"/>
    </row>
    <row r="37" spans="1:21" ht="15.75" x14ac:dyDescent="0.25">
      <c r="A37" s="1525"/>
      <c r="B37" s="1525"/>
      <c r="C37" s="1525"/>
      <c r="D37" s="1525"/>
      <c r="E37" s="1525"/>
      <c r="F37" s="1525"/>
      <c r="G37" s="1525"/>
      <c r="H37" s="1525"/>
      <c r="I37" s="1525"/>
      <c r="J37" s="1525"/>
      <c r="K37" s="1525"/>
      <c r="L37" s="1525"/>
      <c r="M37" s="1525"/>
      <c r="N37" s="1525"/>
      <c r="O37" s="1525"/>
      <c r="P37" s="1525"/>
      <c r="Q37" s="1525"/>
      <c r="R37" s="1525"/>
    </row>
    <row r="40" spans="1:21" ht="12.75" customHeight="1" x14ac:dyDescent="0.2">
      <c r="L40" s="1611"/>
      <c r="M40" s="1611"/>
      <c r="N40" s="1611"/>
      <c r="O40" s="1611"/>
      <c r="P40" s="1611"/>
      <c r="Q40" s="1611"/>
      <c r="R40" s="1611"/>
      <c r="S40" s="1611"/>
      <c r="T40" s="1611"/>
      <c r="U40" s="1611"/>
    </row>
  </sheetData>
  <sheetProtection algorithmName="SHA-512" hashValue="nmO205mYMJDDCxLnY4jM5oaeScWk7ELFaoSg9jJvRxeEPGteDXTNYt8bwGkSNUOHErHHekmRJZZ6V0PXRlW8Yg==" saltValue="qkEjclU+Ilu2t/m0ukSL/A==" spinCount="100000" sheet="1" objects="1" scenarios="1"/>
  <mergeCells count="9">
    <mergeCell ref="L40:U40"/>
    <mergeCell ref="B5:K5"/>
    <mergeCell ref="B12:K12"/>
    <mergeCell ref="B14:K14"/>
    <mergeCell ref="B24:K24"/>
    <mergeCell ref="B27:E27"/>
    <mergeCell ref="B16:K16"/>
    <mergeCell ref="B18:K18"/>
    <mergeCell ref="B21:E21"/>
  </mergeCells>
  <hyperlinks>
    <hyperlink ref="F4" r:id="rId1" display="Scottish Fire and Rescue Service Fire Safety and Organisational Statistics, Scotland, 2015-16" xr:uid="{00000000-0004-0000-0000-000000000000}"/>
    <hyperlink ref="F21" r:id="rId2" xr:uid="{00000000-0004-0000-0000-000001000000}"/>
    <hyperlink ref="B19" r:id="rId3" xr:uid="{00000000-0004-0000-0000-000002000000}"/>
  </hyperlinks>
  <pageMargins left="0.70866141732283472" right="0.70866141732283472" top="0.74803149606299213" bottom="0.74803149606299213" header="0.31496062992125984" footer="0.31496062992125984"/>
  <pageSetup paperSize="9" scale="81" orientation="portrait" r:id="rId4"/>
  <headerFooter>
    <oddFooter>&amp;L&amp;P&amp;C&amp;A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3">
    <tabColor theme="4"/>
    <pageSetUpPr fitToPage="1"/>
  </sheetPr>
  <dimension ref="A1:O116"/>
  <sheetViews>
    <sheetView showGridLines="0" zoomScaleNormal="100" workbookViewId="0"/>
  </sheetViews>
  <sheetFormatPr defaultRowHeight="12.75" x14ac:dyDescent="0.2"/>
  <cols>
    <col min="1" max="1" width="22.85546875" style="1" customWidth="1"/>
    <col min="2" max="2" width="10.140625" style="1" customWidth="1"/>
    <col min="3" max="3" width="9.140625" style="1" customWidth="1"/>
    <col min="4" max="5" width="9.140625" style="1"/>
    <col min="6" max="6" width="11.140625" style="1" customWidth="1"/>
    <col min="7" max="7" width="7.42578125" style="1" customWidth="1"/>
    <col min="8" max="8" width="11.140625" style="1" customWidth="1"/>
    <col min="9" max="9" width="11.28515625" style="1" customWidth="1"/>
    <col min="10" max="10" width="4.28515625" style="1" customWidth="1"/>
    <col min="11" max="11" width="13.140625" style="1" customWidth="1"/>
    <col min="12" max="12" width="8.85546875" style="1" customWidth="1"/>
    <col min="13" max="13" width="12.85546875" style="1" customWidth="1"/>
    <col min="14" max="16384" width="9.140625" style="1"/>
  </cols>
  <sheetData>
    <row r="1" spans="1:13" ht="38.25" customHeight="1" x14ac:dyDescent="0.2">
      <c r="A1" s="516" t="s">
        <v>607</v>
      </c>
      <c r="B1" s="516"/>
      <c r="C1" s="516"/>
      <c r="D1" s="516"/>
      <c r="E1" s="516"/>
      <c r="F1" s="516"/>
      <c r="G1" s="516"/>
      <c r="H1" s="516"/>
      <c r="I1" s="516"/>
      <c r="J1" s="516"/>
      <c r="K1" s="516"/>
    </row>
    <row r="2" spans="1:13" ht="15" customHeight="1" x14ac:dyDescent="0.25">
      <c r="K2" s="253" t="s">
        <v>0</v>
      </c>
    </row>
    <row r="3" spans="1:13" ht="13.5" customHeight="1" x14ac:dyDescent="0.2">
      <c r="A3" s="51"/>
      <c r="B3" s="1635" t="s">
        <v>21</v>
      </c>
      <c r="C3" s="1636"/>
      <c r="D3" s="1636"/>
      <c r="E3" s="1636"/>
      <c r="F3" s="1637" t="s">
        <v>1</v>
      </c>
      <c r="G3" s="101"/>
      <c r="H3" s="1639" t="s">
        <v>2</v>
      </c>
      <c r="I3" s="1641" t="s">
        <v>3</v>
      </c>
      <c r="J3" s="101"/>
      <c r="K3" s="1642" t="s">
        <v>165</v>
      </c>
    </row>
    <row r="4" spans="1:13" ht="26.25" customHeight="1" x14ac:dyDescent="0.2">
      <c r="A4" s="86" t="s">
        <v>4</v>
      </c>
      <c r="B4" s="117" t="s">
        <v>5</v>
      </c>
      <c r="C4" s="1115" t="s">
        <v>6</v>
      </c>
      <c r="D4" s="1115" t="s">
        <v>7</v>
      </c>
      <c r="E4" s="229" t="s">
        <v>8</v>
      </c>
      <c r="F4" s="1638"/>
      <c r="G4" s="101"/>
      <c r="H4" s="1640"/>
      <c r="I4" s="1638"/>
      <c r="J4" s="101"/>
      <c r="K4" s="1642"/>
    </row>
    <row r="5" spans="1:13" ht="18.75" customHeight="1" x14ac:dyDescent="0.2">
      <c r="A5" s="764" t="s">
        <v>16</v>
      </c>
      <c r="B5" s="6">
        <f>'Long-Term Trend'!B22</f>
        <v>6666</v>
      </c>
      <c r="C5" s="380">
        <f>'Long-Term Trend'!C22</f>
        <v>2922</v>
      </c>
      <c r="D5" s="7">
        <f>'Long-Term Trend'!D22</f>
        <v>3064</v>
      </c>
      <c r="E5" s="137">
        <f>'Long-Term Trend'!E22</f>
        <v>966</v>
      </c>
      <c r="F5" s="9">
        <f t="shared" ref="F5:F6" si="0">SUM(B5:E5)</f>
        <v>13618</v>
      </c>
      <c r="G5" s="7"/>
      <c r="H5" s="93">
        <f>'Long-Term Trend'!G22</f>
        <v>30385</v>
      </c>
      <c r="I5" s="137">
        <f>'Long-Term Trend'!H22</f>
        <v>1633</v>
      </c>
      <c r="J5" s="7"/>
      <c r="K5" s="40">
        <f t="shared" ref="K5:K14" si="1">I5+H5+F5</f>
        <v>45636</v>
      </c>
      <c r="L5" s="7"/>
      <c r="M5" s="72"/>
    </row>
    <row r="6" spans="1:13" ht="13.5" customHeight="1" x14ac:dyDescent="0.2">
      <c r="A6" s="46" t="s">
        <v>18</v>
      </c>
      <c r="B6" s="6">
        <f>'Long-Term Trend'!B23</f>
        <v>6705</v>
      </c>
      <c r="C6" s="7">
        <f>'Long-Term Trend'!C23</f>
        <v>2630</v>
      </c>
      <c r="D6" s="7">
        <f>'Long-Term Trend'!D23</f>
        <v>2931</v>
      </c>
      <c r="E6" s="137">
        <f>'Long-Term Trend'!E23</f>
        <v>908</v>
      </c>
      <c r="F6" s="9">
        <f t="shared" si="0"/>
        <v>13174</v>
      </c>
      <c r="G6" s="7"/>
      <c r="H6" s="6">
        <f>'Long-Term Trend'!G23</f>
        <v>25651</v>
      </c>
      <c r="I6" s="137">
        <f>'Long-Term Trend'!H23</f>
        <v>1745</v>
      </c>
      <c r="J6" s="7"/>
      <c r="K6" s="9">
        <f t="shared" si="1"/>
        <v>40570</v>
      </c>
      <c r="L6" s="7"/>
      <c r="M6" s="72"/>
    </row>
    <row r="7" spans="1:13" ht="13.5" customHeight="1" x14ac:dyDescent="0.2">
      <c r="A7" s="46" t="s">
        <v>19</v>
      </c>
      <c r="B7" s="6">
        <f>'Long-Term Trend'!B24</f>
        <v>6573</v>
      </c>
      <c r="C7" s="7">
        <f>'Long-Term Trend'!C24</f>
        <v>3008</v>
      </c>
      <c r="D7" s="7">
        <f>'Long-Term Trend'!D24</f>
        <v>2992</v>
      </c>
      <c r="E7" s="137">
        <f>'Long-Term Trend'!E24</f>
        <v>1445</v>
      </c>
      <c r="F7" s="9">
        <f>SUM(B7:E7)</f>
        <v>14018</v>
      </c>
      <c r="G7" s="7"/>
      <c r="H7" s="6">
        <f>'Long-Term Trend'!G24</f>
        <v>22981</v>
      </c>
      <c r="I7" s="137">
        <f>'Long-Term Trend'!H24</f>
        <v>1738</v>
      </c>
      <c r="J7" s="7"/>
      <c r="K7" s="9">
        <f t="shared" si="1"/>
        <v>38737</v>
      </c>
      <c r="L7" s="7"/>
      <c r="M7" s="72"/>
    </row>
    <row r="8" spans="1:13" ht="13.5" customHeight="1" x14ac:dyDescent="0.2">
      <c r="A8" s="10" t="s">
        <v>20</v>
      </c>
      <c r="B8" s="6">
        <f>'Long-Term Trend'!B25</f>
        <v>6300</v>
      </c>
      <c r="C8" s="7">
        <f>'Long-Term Trend'!C25</f>
        <v>2838</v>
      </c>
      <c r="D8" s="7">
        <f>'Long-Term Trend'!D25</f>
        <v>2688</v>
      </c>
      <c r="E8" s="137">
        <f>'Long-Term Trend'!E25</f>
        <v>1372</v>
      </c>
      <c r="F8" s="9">
        <f t="shared" ref="F8:F9" si="2">SUM(B8:E8)</f>
        <v>13198</v>
      </c>
      <c r="G8" s="7"/>
      <c r="H8" s="6">
        <f>'Long-Term Trend'!G25</f>
        <v>24207</v>
      </c>
      <c r="I8" s="137">
        <f>'Long-Term Trend'!H25</f>
        <v>1565</v>
      </c>
      <c r="J8" s="7"/>
      <c r="K8" s="9">
        <f t="shared" si="1"/>
        <v>38970</v>
      </c>
      <c r="L8" s="7"/>
      <c r="M8" s="72"/>
    </row>
    <row r="9" spans="1:13" ht="13.5" customHeight="1" x14ac:dyDescent="0.2">
      <c r="A9" s="10" t="s">
        <v>13</v>
      </c>
      <c r="B9" s="6">
        <f>'Long-Term Trend'!B26</f>
        <v>6160</v>
      </c>
      <c r="C9" s="7">
        <f>'Long-Term Trend'!C26</f>
        <v>2717</v>
      </c>
      <c r="D9" s="7">
        <f>'Long-Term Trend'!D26</f>
        <v>2362</v>
      </c>
      <c r="E9" s="137">
        <f>'Long-Term Trend'!E26</f>
        <v>1175</v>
      </c>
      <c r="F9" s="9">
        <f t="shared" si="2"/>
        <v>12414</v>
      </c>
      <c r="G9" s="7"/>
      <c r="H9" s="6">
        <f>'Long-Term Trend'!G26</f>
        <v>18681</v>
      </c>
      <c r="I9" s="137">
        <f>'Long-Term Trend'!H26</f>
        <v>1243</v>
      </c>
      <c r="J9" s="7"/>
      <c r="K9" s="9">
        <f t="shared" si="1"/>
        <v>32338</v>
      </c>
      <c r="L9" s="7"/>
      <c r="M9" s="72"/>
    </row>
    <row r="10" spans="1:13" ht="13.5" customHeight="1" x14ac:dyDescent="0.2">
      <c r="A10" s="10" t="s">
        <v>15</v>
      </c>
      <c r="B10" s="6">
        <f>'Long-Term Trend'!B27</f>
        <v>5836</v>
      </c>
      <c r="C10" s="7">
        <f>'Long-Term Trend'!C27</f>
        <v>2409</v>
      </c>
      <c r="D10" s="7">
        <f>'Long-Term Trend'!D27</f>
        <v>2034</v>
      </c>
      <c r="E10" s="137">
        <f>'Long-Term Trend'!E27</f>
        <v>814</v>
      </c>
      <c r="F10" s="9">
        <f>SUM(B10:E10)</f>
        <v>11093</v>
      </c>
      <c r="G10" s="7"/>
      <c r="H10" s="6">
        <f>'Long-Term Trend'!G27</f>
        <v>14278</v>
      </c>
      <c r="I10" s="137">
        <f>'Long-Term Trend'!H27</f>
        <v>1375</v>
      </c>
      <c r="J10" s="7"/>
      <c r="K10" s="9">
        <f t="shared" si="1"/>
        <v>26746</v>
      </c>
      <c r="L10" s="7"/>
      <c r="M10" s="72"/>
    </row>
    <row r="11" spans="1:13" ht="13.5" customHeight="1" x14ac:dyDescent="0.2">
      <c r="A11" s="10" t="s">
        <v>17</v>
      </c>
      <c r="B11" s="6">
        <f>'Long-Term Trend'!B28</f>
        <v>5334</v>
      </c>
      <c r="C11" s="7">
        <f>'Long-Term Trend'!C28</f>
        <v>2353</v>
      </c>
      <c r="D11" s="7">
        <f>'Long-Term Trend'!D28</f>
        <v>1938</v>
      </c>
      <c r="E11" s="137">
        <f>'Long-Term Trend'!E28</f>
        <v>914</v>
      </c>
      <c r="F11" s="9">
        <f t="shared" ref="F11:F12" si="3">SUM(B11:E11)</f>
        <v>10539</v>
      </c>
      <c r="G11" s="7"/>
      <c r="H11" s="6">
        <f>'Long-Term Trend'!G28</f>
        <v>16360</v>
      </c>
      <c r="I11" s="137">
        <f>'Long-Term Trend'!H28</f>
        <v>1093</v>
      </c>
      <c r="J11" s="7"/>
      <c r="K11" s="9">
        <f t="shared" si="1"/>
        <v>27992</v>
      </c>
      <c r="L11" s="7"/>
      <c r="M11" s="72"/>
    </row>
    <row r="12" spans="1:13" ht="13.5" customHeight="1" x14ac:dyDescent="0.2">
      <c r="A12" s="10" t="s">
        <v>147</v>
      </c>
      <c r="B12" s="6">
        <f>'Long-Term Trend'!B29</f>
        <v>5582</v>
      </c>
      <c r="C12" s="7">
        <f>'Long-Term Trend'!C29</f>
        <v>2326</v>
      </c>
      <c r="D12" s="7">
        <f>'Long-Term Trend'!D29</f>
        <v>1897</v>
      </c>
      <c r="E12" s="137">
        <f>'Long-Term Trend'!E29</f>
        <v>838</v>
      </c>
      <c r="F12" s="9">
        <f t="shared" si="3"/>
        <v>10643</v>
      </c>
      <c r="G12" s="7"/>
      <c r="H12" s="6">
        <f>'Long-Term Trend'!G29</f>
        <v>13406</v>
      </c>
      <c r="I12" s="137">
        <f>'Long-Term Trend'!H29</f>
        <v>977</v>
      </c>
      <c r="J12" s="7"/>
      <c r="K12" s="9">
        <f t="shared" si="1"/>
        <v>25026</v>
      </c>
      <c r="L12" s="7"/>
      <c r="M12" s="72"/>
    </row>
    <row r="13" spans="1:13" s="71" customFormat="1" ht="13.5" customHeight="1" x14ac:dyDescent="0.2">
      <c r="A13" s="10" t="str">
        <f>'T01'!$A$5</f>
        <v>2015-16</v>
      </c>
      <c r="B13" s="6">
        <f>'T01'!C5</f>
        <v>5677</v>
      </c>
      <c r="C13" s="7">
        <f>'T01'!D5</f>
        <v>2497</v>
      </c>
      <c r="D13" s="7">
        <f>'T01'!E5</f>
        <v>1965</v>
      </c>
      <c r="E13" s="137">
        <f>'T01'!F5</f>
        <v>874</v>
      </c>
      <c r="F13" s="9">
        <f>SUM(B13:E13)</f>
        <v>11013</v>
      </c>
      <c r="G13" s="7"/>
      <c r="H13" s="6">
        <f>'T01'!G5</f>
        <v>14732</v>
      </c>
      <c r="I13" s="137">
        <f>'T01'!H5</f>
        <v>883</v>
      </c>
      <c r="J13" s="72"/>
      <c r="K13" s="9">
        <f t="shared" si="1"/>
        <v>26628</v>
      </c>
      <c r="L13" s="7"/>
      <c r="M13" s="72"/>
    </row>
    <row r="14" spans="1:13" s="71" customFormat="1" ht="13.5" customHeight="1" x14ac:dyDescent="0.2">
      <c r="A14" s="10" t="str">
        <f>'T01'!$A$6</f>
        <v>2016-17</v>
      </c>
      <c r="B14" s="6">
        <f>'T01'!C6</f>
        <v>5548</v>
      </c>
      <c r="C14" s="7">
        <f>'T01'!D6</f>
        <v>2279</v>
      </c>
      <c r="D14" s="7">
        <f>'T01'!E6</f>
        <v>2119</v>
      </c>
      <c r="E14" s="137">
        <f>'T01'!F6</f>
        <v>958</v>
      </c>
      <c r="F14" s="9">
        <f t="shared" ref="F14:F15" si="4">SUM(B14:E14)</f>
        <v>10904</v>
      </c>
      <c r="G14" s="7"/>
      <c r="H14" s="6">
        <f>'T01'!G6</f>
        <v>15657</v>
      </c>
      <c r="I14" s="137">
        <f>'T01'!H6</f>
        <v>710</v>
      </c>
      <c r="J14" s="72"/>
      <c r="K14" s="9">
        <f t="shared" si="1"/>
        <v>27271</v>
      </c>
      <c r="L14" s="7" t="s">
        <v>145</v>
      </c>
      <c r="M14" s="72"/>
    </row>
    <row r="15" spans="1:13" s="71" customFormat="1" ht="13.5" customHeight="1" x14ac:dyDescent="0.2">
      <c r="A15" s="1261" t="str">
        <f>'T01'!$A$7</f>
        <v>2017-18</v>
      </c>
      <c r="B15" s="336">
        <f>'T01'!C7</f>
        <v>5310</v>
      </c>
      <c r="C15" s="336">
        <f>'T01'!D7</f>
        <v>2281</v>
      </c>
      <c r="D15" s="336">
        <f>'T01'!E7</f>
        <v>2008</v>
      </c>
      <c r="E15" s="364">
        <f>'T01'!F7</f>
        <v>1055</v>
      </c>
      <c r="F15" s="12">
        <f t="shared" si="4"/>
        <v>10654</v>
      </c>
      <c r="G15" s="7"/>
      <c r="H15" s="363">
        <f>'T01'!G7</f>
        <v>14698</v>
      </c>
      <c r="I15" s="364">
        <f>'T01'!H7</f>
        <v>763</v>
      </c>
      <c r="J15" s="72"/>
      <c r="K15" s="12">
        <f>I15+H15+F15</f>
        <v>26115</v>
      </c>
      <c r="L15" s="7" t="s">
        <v>143</v>
      </c>
      <c r="M15" s="72"/>
    </row>
    <row r="16" spans="1:13" x14ac:dyDescent="0.2">
      <c r="H16" s="71"/>
    </row>
    <row r="17" spans="1:13" x14ac:dyDescent="0.2">
      <c r="A17" s="13" t="s">
        <v>162</v>
      </c>
    </row>
    <row r="18" spans="1:13" x14ac:dyDescent="0.2">
      <c r="A18" s="1" t="s">
        <v>969</v>
      </c>
    </row>
    <row r="19" spans="1:13" x14ac:dyDescent="0.2">
      <c r="A19" s="1" t="s">
        <v>970</v>
      </c>
    </row>
    <row r="20" spans="1:13" x14ac:dyDescent="0.2">
      <c r="A20" s="1643" t="s">
        <v>676</v>
      </c>
      <c r="B20" s="1643"/>
      <c r="C20" s="1643"/>
      <c r="D20" s="1643"/>
      <c r="E20" s="1643"/>
      <c r="F20" s="1643"/>
      <c r="G20" s="1643"/>
      <c r="H20" s="1643"/>
      <c r="I20" s="1643"/>
      <c r="J20" s="1643"/>
      <c r="K20" s="1643"/>
    </row>
    <row r="22" spans="1:13" ht="30" customHeight="1" x14ac:dyDescent="0.2">
      <c r="A22" s="1648" t="s">
        <v>657</v>
      </c>
      <c r="B22" s="1648"/>
      <c r="C22" s="1648"/>
      <c r="D22" s="1648"/>
      <c r="E22" s="716"/>
      <c r="F22" s="716"/>
      <c r="G22" s="716"/>
      <c r="H22" s="716"/>
      <c r="I22" s="716"/>
      <c r="J22" s="716"/>
      <c r="K22" s="716"/>
    </row>
    <row r="23" spans="1:13" ht="15" x14ac:dyDescent="0.25">
      <c r="K23" s="234" t="s">
        <v>0</v>
      </c>
    </row>
    <row r="24" spans="1:13" ht="13.5" customHeight="1" x14ac:dyDescent="0.2">
      <c r="B24" s="1635" t="s">
        <v>21</v>
      </c>
      <c r="C24" s="1636"/>
      <c r="D24" s="1636"/>
      <c r="E24" s="1636"/>
      <c r="F24" s="1637" t="s">
        <v>1</v>
      </c>
      <c r="G24" s="101"/>
      <c r="H24" s="1639" t="s">
        <v>2</v>
      </c>
      <c r="I24" s="1641" t="s">
        <v>3</v>
      </c>
      <c r="J24" s="101"/>
      <c r="K24" s="1642" t="s">
        <v>165</v>
      </c>
    </row>
    <row r="25" spans="1:13" ht="26.25" customHeight="1" x14ac:dyDescent="0.2">
      <c r="A25" s="597" t="s">
        <v>22</v>
      </c>
      <c r="B25" s="117" t="s">
        <v>5</v>
      </c>
      <c r="C25" s="1115" t="s">
        <v>6</v>
      </c>
      <c r="D25" s="1115" t="s">
        <v>7</v>
      </c>
      <c r="E25" s="229" t="s">
        <v>8</v>
      </c>
      <c r="F25" s="1646"/>
      <c r="G25" s="101"/>
      <c r="H25" s="1640"/>
      <c r="I25" s="1638"/>
      <c r="J25" s="101"/>
      <c r="K25" s="1647"/>
    </row>
    <row r="26" spans="1:13" ht="18.75" customHeight="1" x14ac:dyDescent="0.2">
      <c r="A26" s="294" t="s">
        <v>23</v>
      </c>
      <c r="B26" s="860">
        <f>T_01!B5</f>
        <v>277</v>
      </c>
      <c r="C26" s="860">
        <f>T_01!C5</f>
        <v>98</v>
      </c>
      <c r="D26" s="860">
        <f>T_01!D5</f>
        <v>64</v>
      </c>
      <c r="E26" s="860">
        <f>T_01!E5</f>
        <v>16</v>
      </c>
      <c r="F26" s="861">
        <f>T_01!F5</f>
        <v>455</v>
      </c>
      <c r="G26" s="7"/>
      <c r="H26" s="862">
        <f>T_01!G5</f>
        <v>342</v>
      </c>
      <c r="I26" s="863">
        <f>T_01!H5</f>
        <v>9</v>
      </c>
      <c r="J26" s="7"/>
      <c r="K26" s="861">
        <f>F26+H26+I26</f>
        <v>806</v>
      </c>
      <c r="M26" s="302"/>
    </row>
    <row r="27" spans="1:13" ht="13.5" customHeight="1" x14ac:dyDescent="0.2">
      <c r="A27" s="15" t="s">
        <v>24</v>
      </c>
      <c r="B27" s="7">
        <f>T_01!B6</f>
        <v>168</v>
      </c>
      <c r="C27" s="7">
        <f>T_01!C6</f>
        <v>107</v>
      </c>
      <c r="D27" s="7">
        <f>T_01!D6</f>
        <v>78</v>
      </c>
      <c r="E27" s="7">
        <f>T_01!E6</f>
        <v>41</v>
      </c>
      <c r="F27" s="16">
        <f>T_01!F6</f>
        <v>394</v>
      </c>
      <c r="G27" s="7"/>
      <c r="H27" s="864">
        <f>T_01!G6</f>
        <v>214</v>
      </c>
      <c r="I27" s="137">
        <f>T_01!H6</f>
        <v>76</v>
      </c>
      <c r="J27" s="7"/>
      <c r="K27" s="16">
        <f t="shared" ref="K27:K57" si="5">F27+H27+I27</f>
        <v>684</v>
      </c>
      <c r="M27" s="302"/>
    </row>
    <row r="28" spans="1:13" ht="13.5" customHeight="1" x14ac:dyDescent="0.2">
      <c r="A28" s="187" t="s">
        <v>25</v>
      </c>
      <c r="B28" s="860">
        <f>T_01!B7</f>
        <v>81</v>
      </c>
      <c r="C28" s="860">
        <f>T_01!C7</f>
        <v>34</v>
      </c>
      <c r="D28" s="860">
        <f>T_01!D7</f>
        <v>30</v>
      </c>
      <c r="E28" s="860">
        <f>T_01!E7</f>
        <v>18</v>
      </c>
      <c r="F28" s="865">
        <f>T_01!F7</f>
        <v>163</v>
      </c>
      <c r="G28" s="7"/>
      <c r="H28" s="866">
        <f>T_01!G7</f>
        <v>181</v>
      </c>
      <c r="I28" s="867">
        <f>T_01!H7</f>
        <v>23</v>
      </c>
      <c r="J28" s="7"/>
      <c r="K28" s="865">
        <f t="shared" si="5"/>
        <v>367</v>
      </c>
      <c r="M28" s="302"/>
    </row>
    <row r="29" spans="1:13" ht="13.5" customHeight="1" x14ac:dyDescent="0.2">
      <c r="A29" s="15" t="s">
        <v>26</v>
      </c>
      <c r="B29" s="7">
        <f>T_01!B8</f>
        <v>86</v>
      </c>
      <c r="C29" s="7">
        <f>T_01!C8</f>
        <v>50</v>
      </c>
      <c r="D29" s="7">
        <f>T_01!D8</f>
        <v>33</v>
      </c>
      <c r="E29" s="7">
        <f>T_01!E8</f>
        <v>15</v>
      </c>
      <c r="F29" s="16">
        <f>T_01!F8</f>
        <v>184</v>
      </c>
      <c r="G29" s="7"/>
      <c r="H29" s="864">
        <f>T_01!G8</f>
        <v>81</v>
      </c>
      <c r="I29" s="137">
        <f>T_01!H8</f>
        <v>46</v>
      </c>
      <c r="J29" s="7"/>
      <c r="K29" s="16">
        <f t="shared" si="5"/>
        <v>311</v>
      </c>
      <c r="M29" s="302"/>
    </row>
    <row r="30" spans="1:13" ht="13.5" customHeight="1" x14ac:dyDescent="0.2">
      <c r="A30" s="187" t="s">
        <v>27</v>
      </c>
      <c r="B30" s="860">
        <f>T_01!B9</f>
        <v>51</v>
      </c>
      <c r="C30" s="860">
        <f>T_01!C9</f>
        <v>21</v>
      </c>
      <c r="D30" s="860">
        <f>T_01!D9</f>
        <v>10</v>
      </c>
      <c r="E30" s="860">
        <f>T_01!E9</f>
        <v>11</v>
      </c>
      <c r="F30" s="865">
        <f>T_01!F9</f>
        <v>93</v>
      </c>
      <c r="G30" s="7"/>
      <c r="H30" s="866">
        <f>T_01!G9</f>
        <v>109</v>
      </c>
      <c r="I30" s="867">
        <f>T_01!H9</f>
        <v>2</v>
      </c>
      <c r="J30" s="7"/>
      <c r="K30" s="865">
        <f t="shared" si="5"/>
        <v>204</v>
      </c>
      <c r="M30" s="302"/>
    </row>
    <row r="31" spans="1:13" ht="13.5" customHeight="1" x14ac:dyDescent="0.2">
      <c r="A31" s="15" t="s">
        <v>28</v>
      </c>
      <c r="B31" s="7">
        <f>T_01!B10</f>
        <v>104</v>
      </c>
      <c r="C31" s="7">
        <f>T_01!C10</f>
        <v>49</v>
      </c>
      <c r="D31" s="7">
        <f>T_01!D10</f>
        <v>60</v>
      </c>
      <c r="E31" s="7">
        <f>T_01!E10</f>
        <v>23</v>
      </c>
      <c r="F31" s="16">
        <f>T_01!F10</f>
        <v>236</v>
      </c>
      <c r="G31" s="7"/>
      <c r="H31" s="864">
        <f>T_01!G10</f>
        <v>178</v>
      </c>
      <c r="I31" s="137">
        <f>T_01!H10</f>
        <v>62</v>
      </c>
      <c r="J31" s="7"/>
      <c r="K31" s="16">
        <f t="shared" si="5"/>
        <v>476</v>
      </c>
      <c r="M31" s="302"/>
    </row>
    <row r="32" spans="1:13" ht="13.5" customHeight="1" x14ac:dyDescent="0.2">
      <c r="A32" s="187" t="s">
        <v>29</v>
      </c>
      <c r="B32" s="860">
        <f>T_01!B11</f>
        <v>214</v>
      </c>
      <c r="C32" s="860">
        <f>T_01!C11</f>
        <v>60</v>
      </c>
      <c r="D32" s="860">
        <f>T_01!D11</f>
        <v>46</v>
      </c>
      <c r="E32" s="860">
        <f>T_01!E11</f>
        <v>24</v>
      </c>
      <c r="F32" s="865">
        <f>T_01!F11</f>
        <v>344</v>
      </c>
      <c r="G32" s="7"/>
      <c r="H32" s="866">
        <f>T_01!G11</f>
        <v>773</v>
      </c>
      <c r="I32" s="867">
        <f>T_01!H11</f>
        <v>1</v>
      </c>
      <c r="J32" s="7"/>
      <c r="K32" s="865">
        <f t="shared" si="5"/>
        <v>1118</v>
      </c>
      <c r="M32" s="302"/>
    </row>
    <row r="33" spans="1:13" ht="13.5" customHeight="1" x14ac:dyDescent="0.2">
      <c r="A33" s="15" t="s">
        <v>30</v>
      </c>
      <c r="B33" s="7">
        <f>T_01!B12</f>
        <v>87</v>
      </c>
      <c r="C33" s="7">
        <f>T_01!C12</f>
        <v>33</v>
      </c>
      <c r="D33" s="7">
        <f>T_01!D12</f>
        <v>49</v>
      </c>
      <c r="E33" s="7">
        <f>T_01!E12</f>
        <v>11</v>
      </c>
      <c r="F33" s="16">
        <f>T_01!F12</f>
        <v>180</v>
      </c>
      <c r="G33" s="7"/>
      <c r="H33" s="864">
        <f>T_01!G12</f>
        <v>592</v>
      </c>
      <c r="I33" s="137">
        <f>T_01!H12</f>
        <v>11</v>
      </c>
      <c r="J33" s="7"/>
      <c r="K33" s="16">
        <f t="shared" si="5"/>
        <v>783</v>
      </c>
      <c r="M33" s="302"/>
    </row>
    <row r="34" spans="1:13" ht="13.5" customHeight="1" x14ac:dyDescent="0.2">
      <c r="A34" s="187" t="s">
        <v>31</v>
      </c>
      <c r="B34" s="860">
        <f>T_01!B13</f>
        <v>67</v>
      </c>
      <c r="C34" s="860">
        <f>T_01!C13</f>
        <v>34</v>
      </c>
      <c r="D34" s="860">
        <f>T_01!D13</f>
        <v>47</v>
      </c>
      <c r="E34" s="860">
        <f>T_01!E13</f>
        <v>10</v>
      </c>
      <c r="F34" s="865">
        <f>T_01!F13</f>
        <v>158</v>
      </c>
      <c r="G34" s="7"/>
      <c r="H34" s="866">
        <f>T_01!G13</f>
        <v>175</v>
      </c>
      <c r="I34" s="867">
        <f>T_01!H13</f>
        <v>4</v>
      </c>
      <c r="J34" s="7"/>
      <c r="K34" s="865">
        <f t="shared" si="5"/>
        <v>337</v>
      </c>
      <c r="M34" s="302"/>
    </row>
    <row r="35" spans="1:13" ht="13.5" customHeight="1" x14ac:dyDescent="0.2">
      <c r="A35" s="15" t="s">
        <v>32</v>
      </c>
      <c r="B35" s="7">
        <f>T_01!B14</f>
        <v>76</v>
      </c>
      <c r="C35" s="7">
        <f>T_01!C14</f>
        <v>38</v>
      </c>
      <c r="D35" s="7">
        <f>T_01!D14</f>
        <v>30</v>
      </c>
      <c r="E35" s="7">
        <f>T_01!E14</f>
        <v>45</v>
      </c>
      <c r="F35" s="16">
        <f>T_01!F14</f>
        <v>189</v>
      </c>
      <c r="G35" s="7"/>
      <c r="H35" s="864">
        <f>T_01!G14</f>
        <v>243</v>
      </c>
      <c r="I35" s="137">
        <f>T_01!H14</f>
        <v>22</v>
      </c>
      <c r="J35" s="7"/>
      <c r="K35" s="16">
        <f t="shared" si="5"/>
        <v>454</v>
      </c>
      <c r="M35" s="302"/>
    </row>
    <row r="36" spans="1:13" ht="13.5" customHeight="1" x14ac:dyDescent="0.2">
      <c r="A36" s="187" t="s">
        <v>33</v>
      </c>
      <c r="B36" s="860">
        <f>T_01!B15</f>
        <v>84</v>
      </c>
      <c r="C36" s="860">
        <f>T_01!C15</f>
        <v>23</v>
      </c>
      <c r="D36" s="860">
        <f>T_01!D15</f>
        <v>19</v>
      </c>
      <c r="E36" s="860">
        <f>T_01!E15</f>
        <v>4</v>
      </c>
      <c r="F36" s="865">
        <f>T_01!F15</f>
        <v>130</v>
      </c>
      <c r="G36" s="7"/>
      <c r="H36" s="866">
        <f>T_01!G15</f>
        <v>165</v>
      </c>
      <c r="I36" s="867">
        <f>T_01!H15</f>
        <v>6</v>
      </c>
      <c r="J36" s="7"/>
      <c r="K36" s="865">
        <f t="shared" si="5"/>
        <v>301</v>
      </c>
      <c r="M36" s="302"/>
    </row>
    <row r="37" spans="1:13" ht="13.5" customHeight="1" x14ac:dyDescent="0.2">
      <c r="A37" s="15" t="s">
        <v>137</v>
      </c>
      <c r="B37" s="7">
        <f>T_01!B16</f>
        <v>523</v>
      </c>
      <c r="C37" s="7">
        <f>T_01!C16</f>
        <v>239</v>
      </c>
      <c r="D37" s="7">
        <f>T_01!D16</f>
        <v>182</v>
      </c>
      <c r="E37" s="7">
        <f>T_01!E16</f>
        <v>94</v>
      </c>
      <c r="F37" s="16">
        <f>T_01!F16</f>
        <v>1038</v>
      </c>
      <c r="G37" s="7"/>
      <c r="H37" s="864">
        <f>T_01!G16</f>
        <v>1786</v>
      </c>
      <c r="I37" s="137">
        <f>T_01!H16</f>
        <v>5</v>
      </c>
      <c r="J37" s="7"/>
      <c r="K37" s="16">
        <f t="shared" si="5"/>
        <v>2829</v>
      </c>
      <c r="M37" s="302"/>
    </row>
    <row r="38" spans="1:13" ht="13.5" customHeight="1" x14ac:dyDescent="0.2">
      <c r="A38" s="187" t="s">
        <v>34</v>
      </c>
      <c r="B38" s="860">
        <f>T_01!B17</f>
        <v>122</v>
      </c>
      <c r="C38" s="860">
        <f>T_01!C17</f>
        <v>96</v>
      </c>
      <c r="D38" s="860">
        <f>T_01!D17</f>
        <v>52</v>
      </c>
      <c r="E38" s="860">
        <f>T_01!E17</f>
        <v>73</v>
      </c>
      <c r="F38" s="865">
        <f>T_01!F17</f>
        <v>343</v>
      </c>
      <c r="G38" s="7"/>
      <c r="H38" s="866">
        <f>T_01!G17</f>
        <v>428</v>
      </c>
      <c r="I38" s="867">
        <f>T_01!H17</f>
        <v>1</v>
      </c>
      <c r="J38" s="7"/>
      <c r="K38" s="865">
        <f t="shared" si="5"/>
        <v>772</v>
      </c>
      <c r="M38" s="302"/>
    </row>
    <row r="39" spans="1:13" ht="13.5" customHeight="1" x14ac:dyDescent="0.2">
      <c r="A39" s="15" t="s">
        <v>35</v>
      </c>
      <c r="B39" s="7">
        <f>T_01!B18</f>
        <v>302</v>
      </c>
      <c r="C39" s="7">
        <f>T_01!C18</f>
        <v>156</v>
      </c>
      <c r="D39" s="7">
        <f>T_01!D18</f>
        <v>93</v>
      </c>
      <c r="E39" s="7">
        <f>T_01!E18</f>
        <v>110</v>
      </c>
      <c r="F39" s="16">
        <f>T_01!F18</f>
        <v>661</v>
      </c>
      <c r="G39" s="7"/>
      <c r="H39" s="864">
        <f>T_01!G18</f>
        <v>944</v>
      </c>
      <c r="I39" s="137">
        <f>T_01!H18</f>
        <v>23</v>
      </c>
      <c r="J39" s="7"/>
      <c r="K39" s="16">
        <f t="shared" si="5"/>
        <v>1628</v>
      </c>
      <c r="M39" s="302"/>
    </row>
    <row r="40" spans="1:13" ht="13.5" customHeight="1" x14ac:dyDescent="0.2">
      <c r="A40" s="187" t="s">
        <v>36</v>
      </c>
      <c r="B40" s="860">
        <f>T_01!B19</f>
        <v>962</v>
      </c>
      <c r="C40" s="860">
        <f>T_01!C19</f>
        <v>367</v>
      </c>
      <c r="D40" s="860">
        <f>T_01!D19</f>
        <v>300</v>
      </c>
      <c r="E40" s="860">
        <f>T_01!E19</f>
        <v>80</v>
      </c>
      <c r="F40" s="865">
        <f>T_01!F19</f>
        <v>1709</v>
      </c>
      <c r="G40" s="7"/>
      <c r="H40" s="866">
        <f>T_01!G19</f>
        <v>2350</v>
      </c>
      <c r="I40" s="867">
        <f>T_01!H19</f>
        <v>9</v>
      </c>
      <c r="J40" s="7"/>
      <c r="K40" s="865">
        <f t="shared" si="5"/>
        <v>4068</v>
      </c>
      <c r="M40" s="302"/>
    </row>
    <row r="41" spans="1:13" ht="13.5" customHeight="1" x14ac:dyDescent="0.2">
      <c r="A41" s="15" t="s">
        <v>37</v>
      </c>
      <c r="B41" s="7">
        <f>T_01!B20</f>
        <v>153</v>
      </c>
      <c r="C41" s="7">
        <f>T_01!C20</f>
        <v>88</v>
      </c>
      <c r="D41" s="7">
        <f>T_01!D20</f>
        <v>72</v>
      </c>
      <c r="E41" s="7">
        <f>T_01!E20</f>
        <v>47</v>
      </c>
      <c r="F41" s="16">
        <f>T_01!F20</f>
        <v>360</v>
      </c>
      <c r="G41" s="7"/>
      <c r="H41" s="864">
        <f>T_01!G20</f>
        <v>471</v>
      </c>
      <c r="I41" s="137">
        <f>T_01!H20</f>
        <v>181</v>
      </c>
      <c r="J41" s="7"/>
      <c r="K41" s="16">
        <f t="shared" si="5"/>
        <v>1012</v>
      </c>
      <c r="M41" s="302"/>
    </row>
    <row r="42" spans="1:13" ht="13.5" customHeight="1" x14ac:dyDescent="0.2">
      <c r="A42" s="187" t="s">
        <v>38</v>
      </c>
      <c r="B42" s="860">
        <f>T_01!B21</f>
        <v>103</v>
      </c>
      <c r="C42" s="860">
        <f>T_01!C21</f>
        <v>33</v>
      </c>
      <c r="D42" s="860">
        <f>T_01!D21</f>
        <v>42</v>
      </c>
      <c r="E42" s="860">
        <f>T_01!E21</f>
        <v>11</v>
      </c>
      <c r="F42" s="865">
        <f>T_01!F21</f>
        <v>189</v>
      </c>
      <c r="G42" s="7"/>
      <c r="H42" s="866">
        <f>T_01!G21</f>
        <v>348</v>
      </c>
      <c r="I42" s="867">
        <f>T_01!H21</f>
        <v>0</v>
      </c>
      <c r="J42" s="7"/>
      <c r="K42" s="865">
        <f t="shared" si="5"/>
        <v>537</v>
      </c>
      <c r="M42" s="302"/>
    </row>
    <row r="43" spans="1:13" ht="13.5" customHeight="1" x14ac:dyDescent="0.2">
      <c r="A43" s="15" t="s">
        <v>39</v>
      </c>
      <c r="B43" s="7">
        <f>T_01!B22</f>
        <v>70</v>
      </c>
      <c r="C43" s="7">
        <f>T_01!C22</f>
        <v>37</v>
      </c>
      <c r="D43" s="7">
        <f>T_01!D22</f>
        <v>43</v>
      </c>
      <c r="E43" s="7">
        <f>T_01!E22</f>
        <v>61</v>
      </c>
      <c r="F43" s="16">
        <f>T_01!F22</f>
        <v>211</v>
      </c>
      <c r="G43" s="7"/>
      <c r="H43" s="864">
        <f>T_01!G22</f>
        <v>390</v>
      </c>
      <c r="I43" s="137">
        <f>T_01!H22</f>
        <v>7</v>
      </c>
      <c r="J43" s="7"/>
      <c r="K43" s="16">
        <f t="shared" si="5"/>
        <v>608</v>
      </c>
      <c r="M43" s="302"/>
    </row>
    <row r="44" spans="1:13" ht="13.5" customHeight="1" x14ac:dyDescent="0.2">
      <c r="A44" s="187" t="s">
        <v>40</v>
      </c>
      <c r="B44" s="860">
        <f>T_01!B23</f>
        <v>39</v>
      </c>
      <c r="C44" s="860">
        <f>T_01!C23</f>
        <v>36</v>
      </c>
      <c r="D44" s="860">
        <f>T_01!D23</f>
        <v>24</v>
      </c>
      <c r="E44" s="860">
        <f>T_01!E23</f>
        <v>15</v>
      </c>
      <c r="F44" s="865">
        <f>T_01!F23</f>
        <v>114</v>
      </c>
      <c r="G44" s="7"/>
      <c r="H44" s="866">
        <f>T_01!G23</f>
        <v>83</v>
      </c>
      <c r="I44" s="867">
        <f>T_01!H23</f>
        <v>28</v>
      </c>
      <c r="J44" s="7"/>
      <c r="K44" s="865">
        <f t="shared" si="5"/>
        <v>225</v>
      </c>
      <c r="M44" s="302"/>
    </row>
    <row r="45" spans="1:13" ht="13.5" customHeight="1" x14ac:dyDescent="0.2">
      <c r="A45" s="15" t="s">
        <v>393</v>
      </c>
      <c r="B45" s="7">
        <f>T_01!B24</f>
        <v>17</v>
      </c>
      <c r="C45" s="7">
        <f>T_01!C24</f>
        <v>8</v>
      </c>
      <c r="D45" s="7">
        <f>T_01!D24</f>
        <v>9</v>
      </c>
      <c r="E45" s="7">
        <f>T_01!E24</f>
        <v>5</v>
      </c>
      <c r="F45" s="16">
        <f>T_01!F24</f>
        <v>39</v>
      </c>
      <c r="G45" s="7"/>
      <c r="H45" s="864">
        <f>T_01!G24</f>
        <v>65</v>
      </c>
      <c r="I45" s="137">
        <f>T_01!H24</f>
        <v>43</v>
      </c>
      <c r="J45" s="7"/>
      <c r="K45" s="16">
        <f t="shared" si="5"/>
        <v>147</v>
      </c>
      <c r="M45" s="302"/>
    </row>
    <row r="46" spans="1:13" ht="13.5" customHeight="1" x14ac:dyDescent="0.2">
      <c r="A46" s="187" t="s">
        <v>41</v>
      </c>
      <c r="B46" s="860">
        <f>T_01!B25</f>
        <v>162</v>
      </c>
      <c r="C46" s="860">
        <f>T_01!C25</f>
        <v>52</v>
      </c>
      <c r="D46" s="860">
        <f>T_01!D25</f>
        <v>41</v>
      </c>
      <c r="E46" s="860">
        <f>T_01!E25</f>
        <v>17</v>
      </c>
      <c r="F46" s="865">
        <f>T_01!F25</f>
        <v>272</v>
      </c>
      <c r="G46" s="7"/>
      <c r="H46" s="866">
        <f>T_01!G25</f>
        <v>569</v>
      </c>
      <c r="I46" s="867">
        <f>T_01!H25</f>
        <v>15</v>
      </c>
      <c r="J46" s="7"/>
      <c r="K46" s="865">
        <f t="shared" si="5"/>
        <v>856</v>
      </c>
      <c r="M46" s="302"/>
    </row>
    <row r="47" spans="1:13" ht="13.5" customHeight="1" x14ac:dyDescent="0.2">
      <c r="A47" s="15" t="s">
        <v>42</v>
      </c>
      <c r="B47" s="7">
        <f>T_01!B26</f>
        <v>307</v>
      </c>
      <c r="C47" s="7">
        <f>T_01!C26</f>
        <v>127</v>
      </c>
      <c r="D47" s="7">
        <f>T_01!D26</f>
        <v>190</v>
      </c>
      <c r="E47" s="7">
        <f>T_01!E26</f>
        <v>33</v>
      </c>
      <c r="F47" s="16">
        <f>T_01!F26</f>
        <v>657</v>
      </c>
      <c r="G47" s="7"/>
      <c r="H47" s="864">
        <f>T_01!G26</f>
        <v>1206</v>
      </c>
      <c r="I47" s="137">
        <f>T_01!H26</f>
        <v>0</v>
      </c>
      <c r="J47" s="7"/>
      <c r="K47" s="16">
        <f t="shared" si="5"/>
        <v>1863</v>
      </c>
      <c r="M47" s="302"/>
    </row>
    <row r="48" spans="1:13" ht="13.5" customHeight="1" x14ac:dyDescent="0.2">
      <c r="A48" s="187" t="s">
        <v>43</v>
      </c>
      <c r="B48" s="860">
        <f>T_01!B27</f>
        <v>7</v>
      </c>
      <c r="C48" s="860">
        <f>T_01!C27</f>
        <v>2</v>
      </c>
      <c r="D48" s="860">
        <f>T_01!D27</f>
        <v>5</v>
      </c>
      <c r="E48" s="860">
        <f>T_01!E27</f>
        <v>1</v>
      </c>
      <c r="F48" s="865">
        <f>T_01!F27</f>
        <v>15</v>
      </c>
      <c r="G48" s="7"/>
      <c r="H48" s="866">
        <f>T_01!G27</f>
        <v>9</v>
      </c>
      <c r="I48" s="867">
        <f>T_01!H27</f>
        <v>12</v>
      </c>
      <c r="J48" s="7"/>
      <c r="K48" s="865">
        <f t="shared" si="5"/>
        <v>36</v>
      </c>
      <c r="M48" s="302"/>
    </row>
    <row r="49" spans="1:13" ht="13.5" customHeight="1" x14ac:dyDescent="0.2">
      <c r="A49" s="15" t="s">
        <v>44</v>
      </c>
      <c r="B49" s="7">
        <f>T_01!B28</f>
        <v>116</v>
      </c>
      <c r="C49" s="7">
        <f>T_01!C28</f>
        <v>57</v>
      </c>
      <c r="D49" s="7">
        <f>T_01!D28</f>
        <v>43</v>
      </c>
      <c r="E49" s="7">
        <f>T_01!E28</f>
        <v>18</v>
      </c>
      <c r="F49" s="16">
        <f>T_01!F28</f>
        <v>234</v>
      </c>
      <c r="G49" s="7"/>
      <c r="H49" s="864">
        <f>T_01!G28</f>
        <v>177</v>
      </c>
      <c r="I49" s="137">
        <f>T_01!H28</f>
        <v>52</v>
      </c>
      <c r="J49" s="7"/>
      <c r="K49" s="16">
        <f t="shared" si="5"/>
        <v>463</v>
      </c>
      <c r="M49" s="302"/>
    </row>
    <row r="50" spans="1:13" ht="13.5" customHeight="1" x14ac:dyDescent="0.2">
      <c r="A50" s="187" t="s">
        <v>45</v>
      </c>
      <c r="B50" s="860">
        <f>T_01!B29</f>
        <v>223</v>
      </c>
      <c r="C50" s="860">
        <f>T_01!C29</f>
        <v>70</v>
      </c>
      <c r="D50" s="860">
        <f>T_01!D29</f>
        <v>71</v>
      </c>
      <c r="E50" s="860">
        <f>T_01!E29</f>
        <v>32</v>
      </c>
      <c r="F50" s="865">
        <f>T_01!F29</f>
        <v>396</v>
      </c>
      <c r="G50" s="7"/>
      <c r="H50" s="866">
        <f>T_01!G29</f>
        <v>503</v>
      </c>
      <c r="I50" s="867">
        <f>T_01!H29</f>
        <v>7</v>
      </c>
      <c r="J50" s="7"/>
      <c r="K50" s="865">
        <f t="shared" si="5"/>
        <v>906</v>
      </c>
      <c r="M50" s="302"/>
    </row>
    <row r="51" spans="1:13" ht="13.5" customHeight="1" x14ac:dyDescent="0.2">
      <c r="A51" s="15" t="s">
        <v>46</v>
      </c>
      <c r="B51" s="7">
        <f>T_01!B30</f>
        <v>100</v>
      </c>
      <c r="C51" s="7">
        <f>T_01!C30</f>
        <v>35</v>
      </c>
      <c r="D51" s="7">
        <f>T_01!D30</f>
        <v>23</v>
      </c>
      <c r="E51" s="7">
        <f>T_01!E30</f>
        <v>46</v>
      </c>
      <c r="F51" s="16">
        <f>T_01!F30</f>
        <v>204</v>
      </c>
      <c r="G51" s="7"/>
      <c r="H51" s="864">
        <f>T_01!G30</f>
        <v>133</v>
      </c>
      <c r="I51" s="137">
        <f>T_01!H30</f>
        <v>54</v>
      </c>
      <c r="J51" s="7"/>
      <c r="K51" s="16">
        <f t="shared" si="5"/>
        <v>391</v>
      </c>
      <c r="M51" s="302"/>
    </row>
    <row r="52" spans="1:13" ht="13.5" customHeight="1" x14ac:dyDescent="0.2">
      <c r="A52" s="187" t="s">
        <v>47</v>
      </c>
      <c r="B52" s="860">
        <f>T_01!B31</f>
        <v>13</v>
      </c>
      <c r="C52" s="860">
        <f>T_01!C31</f>
        <v>7</v>
      </c>
      <c r="D52" s="860">
        <f>T_01!D31</f>
        <v>5</v>
      </c>
      <c r="E52" s="860">
        <f>T_01!E31</f>
        <v>8</v>
      </c>
      <c r="F52" s="865">
        <f>T_01!F31</f>
        <v>33</v>
      </c>
      <c r="G52" s="7"/>
      <c r="H52" s="866">
        <f>T_01!G31</f>
        <v>11</v>
      </c>
      <c r="I52" s="867">
        <f>T_01!H31</f>
        <v>12</v>
      </c>
      <c r="J52" s="7"/>
      <c r="K52" s="865">
        <f t="shared" si="5"/>
        <v>56</v>
      </c>
      <c r="M52" s="302"/>
    </row>
    <row r="53" spans="1:13" ht="13.5" customHeight="1" x14ac:dyDescent="0.2">
      <c r="A53" s="15" t="s">
        <v>48</v>
      </c>
      <c r="B53" s="7">
        <f>T_01!B32</f>
        <v>105</v>
      </c>
      <c r="C53" s="7">
        <f>T_01!C32</f>
        <v>44</v>
      </c>
      <c r="D53" s="7">
        <f>T_01!D32</f>
        <v>40</v>
      </c>
      <c r="E53" s="7">
        <f>T_01!E32</f>
        <v>15</v>
      </c>
      <c r="F53" s="16">
        <f>T_01!F32</f>
        <v>204</v>
      </c>
      <c r="G53" s="7"/>
      <c r="H53" s="864">
        <f>T_01!G32</f>
        <v>250</v>
      </c>
      <c r="I53" s="137">
        <f>T_01!H32</f>
        <v>15</v>
      </c>
      <c r="J53" s="7"/>
      <c r="K53" s="16">
        <f t="shared" si="5"/>
        <v>469</v>
      </c>
      <c r="M53" s="302"/>
    </row>
    <row r="54" spans="1:13" ht="13.5" customHeight="1" x14ac:dyDescent="0.2">
      <c r="A54" s="187" t="s">
        <v>49</v>
      </c>
      <c r="B54" s="860">
        <f>T_01!B33</f>
        <v>278</v>
      </c>
      <c r="C54" s="860">
        <f>T_01!C33</f>
        <v>114</v>
      </c>
      <c r="D54" s="860">
        <f>T_01!D33</f>
        <v>150</v>
      </c>
      <c r="E54" s="860">
        <f>T_01!E33</f>
        <v>41</v>
      </c>
      <c r="F54" s="865">
        <f>T_01!F33</f>
        <v>583</v>
      </c>
      <c r="G54" s="7"/>
      <c r="H54" s="866">
        <f>T_01!G33</f>
        <v>796</v>
      </c>
      <c r="I54" s="867">
        <f>T_01!H33</f>
        <v>7</v>
      </c>
      <c r="J54" s="7"/>
      <c r="K54" s="865">
        <f t="shared" si="5"/>
        <v>1386</v>
      </c>
      <c r="M54" s="302"/>
    </row>
    <row r="55" spans="1:13" ht="13.5" customHeight="1" x14ac:dyDescent="0.2">
      <c r="A55" s="15" t="s">
        <v>50</v>
      </c>
      <c r="B55" s="7">
        <f>T_01!B34</f>
        <v>86</v>
      </c>
      <c r="C55" s="7">
        <f>T_01!C34</f>
        <v>45</v>
      </c>
      <c r="D55" s="7">
        <f>T_01!D34</f>
        <v>27</v>
      </c>
      <c r="E55" s="7">
        <f>T_01!E34</f>
        <v>17</v>
      </c>
      <c r="F55" s="16">
        <f>T_01!F34</f>
        <v>175</v>
      </c>
      <c r="G55" s="7"/>
      <c r="H55" s="864">
        <f>T_01!G34</f>
        <v>167</v>
      </c>
      <c r="I55" s="137">
        <f>T_01!H34</f>
        <v>21</v>
      </c>
      <c r="J55" s="7"/>
      <c r="K55" s="16">
        <f t="shared" si="5"/>
        <v>363</v>
      </c>
      <c r="M55" s="302"/>
    </row>
    <row r="56" spans="1:13" ht="13.5" customHeight="1" x14ac:dyDescent="0.2">
      <c r="A56" s="187" t="s">
        <v>51</v>
      </c>
      <c r="B56" s="860">
        <f>T_01!B35</f>
        <v>158</v>
      </c>
      <c r="C56" s="860">
        <f>T_01!C35</f>
        <v>47</v>
      </c>
      <c r="D56" s="860">
        <f>T_01!D35</f>
        <v>53</v>
      </c>
      <c r="E56" s="860">
        <f>T_01!E35</f>
        <v>11</v>
      </c>
      <c r="F56" s="865">
        <f>T_01!F35</f>
        <v>269</v>
      </c>
      <c r="G56" s="7"/>
      <c r="H56" s="866">
        <f>T_01!G35</f>
        <v>241</v>
      </c>
      <c r="I56" s="867">
        <f>T_01!H35</f>
        <v>4</v>
      </c>
      <c r="J56" s="7"/>
      <c r="K56" s="865">
        <f t="shared" si="5"/>
        <v>514</v>
      </c>
      <c r="M56" s="302"/>
    </row>
    <row r="57" spans="1:13" ht="13.5" customHeight="1" x14ac:dyDescent="0.2">
      <c r="A57" s="15" t="s">
        <v>52</v>
      </c>
      <c r="B57" s="7">
        <f>T_01!B36</f>
        <v>169</v>
      </c>
      <c r="C57" s="7">
        <f>T_01!C36</f>
        <v>74</v>
      </c>
      <c r="D57" s="7">
        <f>T_01!D36</f>
        <v>77</v>
      </c>
      <c r="E57" s="7">
        <f>T_01!E36</f>
        <v>102</v>
      </c>
      <c r="F57" s="16">
        <f>T_01!F36</f>
        <v>422</v>
      </c>
      <c r="G57" s="7"/>
      <c r="H57" s="864">
        <f>T_01!G36</f>
        <v>718</v>
      </c>
      <c r="I57" s="137">
        <f>T_01!H36</f>
        <v>5</v>
      </c>
      <c r="J57" s="7"/>
      <c r="K57" s="16">
        <f t="shared" si="5"/>
        <v>1145</v>
      </c>
      <c r="M57" s="302"/>
    </row>
    <row r="58" spans="1:13" x14ac:dyDescent="0.2">
      <c r="A58" s="184"/>
      <c r="B58" s="860"/>
      <c r="C58" s="860"/>
      <c r="D58" s="868"/>
      <c r="E58" s="868"/>
      <c r="F58" s="942"/>
      <c r="G58" s="7"/>
      <c r="H58" s="866"/>
      <c r="I58" s="867"/>
      <c r="J58" s="7"/>
      <c r="K58" s="869"/>
      <c r="M58"/>
    </row>
    <row r="59" spans="1:13" s="101" customFormat="1" ht="30" customHeight="1" x14ac:dyDescent="0.2">
      <c r="A59" s="150" t="s">
        <v>159</v>
      </c>
      <c r="B59" s="306">
        <f>SUM(B26:B58)</f>
        <v>5310</v>
      </c>
      <c r="C59" s="306">
        <f>SUM(C26:C58)</f>
        <v>2281</v>
      </c>
      <c r="D59" s="306">
        <f>SUM(D26:D58)</f>
        <v>2008</v>
      </c>
      <c r="E59" s="306">
        <f>SUM(E26:E58)</f>
        <v>1055</v>
      </c>
      <c r="F59" s="307">
        <f>SUM(F26:F58)</f>
        <v>10654</v>
      </c>
      <c r="G59" s="7"/>
      <c r="H59" s="943">
        <f>SUM(H26:H58)</f>
        <v>14698</v>
      </c>
      <c r="I59" s="944">
        <f>SUM(I26:I58)</f>
        <v>763</v>
      </c>
      <c r="J59" s="149"/>
      <c r="K59" s="147">
        <f>SUM(K26:K58)</f>
        <v>26115</v>
      </c>
      <c r="M59" s="302"/>
    </row>
    <row r="60" spans="1:13" s="101" customFormat="1" ht="13.5" customHeight="1" x14ac:dyDescent="0.2">
      <c r="A60" s="105"/>
      <c r="B60" s="698"/>
      <c r="C60" s="698"/>
      <c r="D60" s="698"/>
      <c r="E60" s="698"/>
      <c r="F60" s="698"/>
      <c r="G60" s="149"/>
      <c r="H60" s="698"/>
      <c r="I60" s="174"/>
      <c r="J60" s="149"/>
      <c r="K60" s="174"/>
      <c r="M60" s="302"/>
    </row>
    <row r="61" spans="1:13" x14ac:dyDescent="0.2">
      <c r="A61" s="13" t="s">
        <v>162</v>
      </c>
    </row>
    <row r="62" spans="1:13" x14ac:dyDescent="0.2">
      <c r="A62" s="1" t="s">
        <v>963</v>
      </c>
    </row>
    <row r="64" spans="1:13" s="101" customFormat="1" ht="30" customHeight="1" x14ac:dyDescent="0.2">
      <c r="A64" s="1633" t="s">
        <v>668</v>
      </c>
      <c r="B64" s="1633"/>
      <c r="C64" s="1633"/>
      <c r="D64" s="1633"/>
      <c r="E64" s="1633"/>
      <c r="F64" s="1633"/>
      <c r="G64" s="1633"/>
      <c r="H64" s="1302"/>
      <c r="I64" s="1302"/>
      <c r="J64" s="1302"/>
      <c r="K64" s="1302"/>
    </row>
    <row r="65" spans="1:13" ht="14.25" x14ac:dyDescent="0.2">
      <c r="K65" s="146" t="s">
        <v>58</v>
      </c>
    </row>
    <row r="66" spans="1:13" ht="13.5" customHeight="1" x14ac:dyDescent="0.2">
      <c r="B66" s="1635" t="s">
        <v>21</v>
      </c>
      <c r="C66" s="1636"/>
      <c r="D66" s="1636"/>
      <c r="E66" s="1636"/>
      <c r="F66" s="1637" t="s">
        <v>1</v>
      </c>
      <c r="G66" s="101"/>
      <c r="H66" s="1645" t="s">
        <v>2</v>
      </c>
      <c r="I66" s="1645" t="s">
        <v>3</v>
      </c>
      <c r="J66" s="101"/>
      <c r="K66" s="1642" t="s">
        <v>165</v>
      </c>
      <c r="L66" s="101"/>
      <c r="M66" s="1637" t="s">
        <v>155</v>
      </c>
    </row>
    <row r="67" spans="1:13" ht="26.25" customHeight="1" x14ac:dyDescent="0.2">
      <c r="A67" s="86" t="s">
        <v>22</v>
      </c>
      <c r="B67" s="102" t="s">
        <v>5</v>
      </c>
      <c r="C67" s="102" t="s">
        <v>6</v>
      </c>
      <c r="D67" s="102" t="s">
        <v>7</v>
      </c>
      <c r="E67" s="102" t="s">
        <v>8</v>
      </c>
      <c r="F67" s="1638"/>
      <c r="G67" s="101"/>
      <c r="H67" s="1645"/>
      <c r="I67" s="1645"/>
      <c r="J67" s="101"/>
      <c r="K67" s="1642"/>
      <c r="L67" s="101"/>
      <c r="M67" s="1644"/>
    </row>
    <row r="68" spans="1:13" ht="18.75" customHeight="1" x14ac:dyDescent="0.2">
      <c r="A68" s="187" t="s">
        <v>23</v>
      </c>
      <c r="B68" s="295">
        <f>B26/M68*100000</f>
        <v>121.06643356643357</v>
      </c>
      <c r="C68" s="296">
        <f t="shared" ref="C68:C99" si="6">C26/M68*100000</f>
        <v>42.832167832167833</v>
      </c>
      <c r="D68" s="296">
        <f t="shared" ref="D68:D99" si="7">D26/M68*100000</f>
        <v>27.972027972027973</v>
      </c>
      <c r="E68" s="297">
        <f t="shared" ref="E68:E99" si="8">E26/M68*100000</f>
        <v>6.9930069930069934</v>
      </c>
      <c r="F68" s="298">
        <f t="shared" ref="F68:F99" si="9">F26/M68*100000</f>
        <v>198.86363636363635</v>
      </c>
      <c r="G68" s="261"/>
      <c r="H68" s="295">
        <f t="shared" ref="H68:H99" si="10">H26/M68*100000</f>
        <v>149.47552447552448</v>
      </c>
      <c r="I68" s="297">
        <f t="shared" ref="I68:I99" si="11">I26/M68*100000</f>
        <v>3.9335664335664338</v>
      </c>
      <c r="J68" s="261"/>
      <c r="K68" s="298">
        <f t="shared" ref="K68:K99" si="12">I68+H68+F68</f>
        <v>352.27272727272725</v>
      </c>
      <c r="M68" s="299">
        <f>T_01!I5</f>
        <v>228800</v>
      </c>
    </row>
    <row r="69" spans="1:13" ht="13.5" customHeight="1" x14ac:dyDescent="0.2">
      <c r="A69" s="15" t="s">
        <v>24</v>
      </c>
      <c r="B69" s="257">
        <f t="shared" ref="B69:B99" si="13">B27/M69*100000</f>
        <v>64.171122994652407</v>
      </c>
      <c r="C69" s="258">
        <f t="shared" si="6"/>
        <v>40.870893812070285</v>
      </c>
      <c r="D69" s="258">
        <f t="shared" si="7"/>
        <v>29.793735676088616</v>
      </c>
      <c r="E69" s="259">
        <f t="shared" si="8"/>
        <v>15.660809778456837</v>
      </c>
      <c r="F69" s="260">
        <f t="shared" si="9"/>
        <v>150.49656226126814</v>
      </c>
      <c r="G69" s="261"/>
      <c r="H69" s="257">
        <f t="shared" si="10"/>
        <v>81.741787624140571</v>
      </c>
      <c r="I69" s="259">
        <f t="shared" si="11"/>
        <v>29.02979373567609</v>
      </c>
      <c r="J69" s="261"/>
      <c r="K69" s="260">
        <f t="shared" si="12"/>
        <v>261.26814362108479</v>
      </c>
      <c r="M69" s="1030">
        <f>T_01!I6</f>
        <v>261800</v>
      </c>
    </row>
    <row r="70" spans="1:13" ht="13.5" customHeight="1" x14ac:dyDescent="0.2">
      <c r="A70" s="187" t="s">
        <v>25</v>
      </c>
      <c r="B70" s="295">
        <f t="shared" si="13"/>
        <v>69.659442724458202</v>
      </c>
      <c r="C70" s="296">
        <f t="shared" si="6"/>
        <v>29.239766081871345</v>
      </c>
      <c r="D70" s="296">
        <f t="shared" si="7"/>
        <v>25.799793601651185</v>
      </c>
      <c r="E70" s="297">
        <f t="shared" si="8"/>
        <v>15.479876160990713</v>
      </c>
      <c r="F70" s="298">
        <f t="shared" si="9"/>
        <v>140.17887856897144</v>
      </c>
      <c r="G70" s="261"/>
      <c r="H70" s="295">
        <f t="shared" si="10"/>
        <v>155.65875472996214</v>
      </c>
      <c r="I70" s="297">
        <f t="shared" si="11"/>
        <v>19.77984176126591</v>
      </c>
      <c r="J70" s="261"/>
      <c r="K70" s="298">
        <f t="shared" si="12"/>
        <v>315.61747506019947</v>
      </c>
      <c r="M70" s="300">
        <f>T_01!I7</f>
        <v>116280</v>
      </c>
    </row>
    <row r="71" spans="1:13" ht="13.5" customHeight="1" x14ac:dyDescent="0.2">
      <c r="A71" s="15" t="s">
        <v>26</v>
      </c>
      <c r="B71" s="257">
        <f t="shared" si="13"/>
        <v>99.066927773298005</v>
      </c>
      <c r="C71" s="258">
        <f t="shared" si="6"/>
        <v>57.597051030987217</v>
      </c>
      <c r="D71" s="258">
        <f t="shared" si="7"/>
        <v>38.014053680451561</v>
      </c>
      <c r="E71" s="259">
        <f t="shared" si="8"/>
        <v>17.279115309296163</v>
      </c>
      <c r="F71" s="260">
        <f t="shared" si="9"/>
        <v>211.95714779403295</v>
      </c>
      <c r="G71" s="261"/>
      <c r="H71" s="257">
        <f t="shared" si="10"/>
        <v>93.30722267019928</v>
      </c>
      <c r="I71" s="259">
        <f t="shared" si="11"/>
        <v>52.989286948508237</v>
      </c>
      <c r="J71" s="261"/>
      <c r="K71" s="260">
        <f t="shared" si="12"/>
        <v>358.25365741274049</v>
      </c>
      <c r="M71" s="1030">
        <f>T_01!I8</f>
        <v>86810</v>
      </c>
    </row>
    <row r="72" spans="1:13" ht="13.5" customHeight="1" x14ac:dyDescent="0.2">
      <c r="A72" s="187" t="s">
        <v>27</v>
      </c>
      <c r="B72" s="295">
        <f t="shared" si="13"/>
        <v>99.125364431486872</v>
      </c>
      <c r="C72" s="296">
        <f t="shared" si="6"/>
        <v>40.816326530612244</v>
      </c>
      <c r="D72" s="296">
        <f t="shared" si="7"/>
        <v>19.436345966958214</v>
      </c>
      <c r="E72" s="297">
        <f t="shared" si="8"/>
        <v>21.379980563654033</v>
      </c>
      <c r="F72" s="298">
        <f t="shared" si="9"/>
        <v>180.75801749271136</v>
      </c>
      <c r="G72" s="261"/>
      <c r="H72" s="295">
        <f t="shared" si="10"/>
        <v>211.8561710398445</v>
      </c>
      <c r="I72" s="297">
        <f t="shared" si="11"/>
        <v>3.8872691933916426</v>
      </c>
      <c r="J72" s="261"/>
      <c r="K72" s="298">
        <f t="shared" si="12"/>
        <v>396.50145772594749</v>
      </c>
      <c r="M72" s="300">
        <f>T_01!I9</f>
        <v>51450</v>
      </c>
    </row>
    <row r="73" spans="1:13" ht="13.5" customHeight="1" x14ac:dyDescent="0.2">
      <c r="A73" s="15" t="s">
        <v>28</v>
      </c>
      <c r="B73" s="257">
        <f t="shared" si="13"/>
        <v>69.705093833780168</v>
      </c>
      <c r="C73" s="258">
        <f t="shared" si="6"/>
        <v>32.841823056300271</v>
      </c>
      <c r="D73" s="258">
        <f t="shared" si="7"/>
        <v>40.214477211796243</v>
      </c>
      <c r="E73" s="259">
        <f t="shared" si="8"/>
        <v>15.415549597855229</v>
      </c>
      <c r="F73" s="260">
        <f t="shared" si="9"/>
        <v>158.17694369973191</v>
      </c>
      <c r="G73" s="261"/>
      <c r="H73" s="257">
        <f t="shared" si="10"/>
        <v>119.30294906166219</v>
      </c>
      <c r="I73" s="259">
        <f t="shared" si="11"/>
        <v>41.554959785522783</v>
      </c>
      <c r="J73" s="261"/>
      <c r="K73" s="260">
        <f t="shared" si="12"/>
        <v>319.03485254691691</v>
      </c>
      <c r="M73" s="1030">
        <f>T_01!I10</f>
        <v>149200</v>
      </c>
    </row>
    <row r="74" spans="1:13" ht="13.5" customHeight="1" x14ac:dyDescent="0.2">
      <c r="A74" s="187" t="s">
        <v>29</v>
      </c>
      <c r="B74" s="295">
        <f t="shared" si="13"/>
        <v>143.90424315782394</v>
      </c>
      <c r="C74" s="296">
        <f t="shared" si="6"/>
        <v>40.346984062941296</v>
      </c>
      <c r="D74" s="296">
        <f t="shared" si="7"/>
        <v>30.932687781588324</v>
      </c>
      <c r="E74" s="297">
        <f t="shared" si="8"/>
        <v>16.138793625176518</v>
      </c>
      <c r="F74" s="298">
        <f t="shared" si="9"/>
        <v>231.32270862753009</v>
      </c>
      <c r="G74" s="261"/>
      <c r="H74" s="295">
        <f t="shared" si="10"/>
        <v>519.80364467756033</v>
      </c>
      <c r="I74" s="297">
        <f t="shared" si="11"/>
        <v>0.67244973438235489</v>
      </c>
      <c r="J74" s="261"/>
      <c r="K74" s="298">
        <f t="shared" si="12"/>
        <v>751.79880303947277</v>
      </c>
      <c r="M74" s="300">
        <f>T_01!I11</f>
        <v>148710</v>
      </c>
    </row>
    <row r="75" spans="1:13" ht="13.5" customHeight="1" x14ac:dyDescent="0.2">
      <c r="A75" s="15" t="s">
        <v>30</v>
      </c>
      <c r="B75" s="257">
        <f t="shared" si="13"/>
        <v>71.346563883877309</v>
      </c>
      <c r="C75" s="258">
        <f t="shared" si="6"/>
        <v>27.062489749056912</v>
      </c>
      <c r="D75" s="258">
        <f t="shared" si="7"/>
        <v>40.183696900114811</v>
      </c>
      <c r="E75" s="259">
        <f t="shared" si="8"/>
        <v>9.0208299163523051</v>
      </c>
      <c r="F75" s="260">
        <f t="shared" si="9"/>
        <v>147.61358044940135</v>
      </c>
      <c r="G75" s="261"/>
      <c r="H75" s="257">
        <f t="shared" si="10"/>
        <v>485.48466458914226</v>
      </c>
      <c r="I75" s="259">
        <f t="shared" si="11"/>
        <v>9.0208299163523051</v>
      </c>
      <c r="J75" s="261"/>
      <c r="K75" s="260">
        <f t="shared" si="12"/>
        <v>642.11907495489595</v>
      </c>
      <c r="M75" s="1030">
        <f>T_01!I12</f>
        <v>121940</v>
      </c>
    </row>
    <row r="76" spans="1:13" ht="13.5" customHeight="1" x14ac:dyDescent="0.2">
      <c r="A76" s="187" t="s">
        <v>31</v>
      </c>
      <c r="B76" s="295">
        <f t="shared" si="13"/>
        <v>61.96245260334782</v>
      </c>
      <c r="C76" s="296">
        <f t="shared" si="6"/>
        <v>31.443632664385461</v>
      </c>
      <c r="D76" s="296">
        <f t="shared" si="7"/>
        <v>43.46619809488579</v>
      </c>
      <c r="E76" s="297">
        <f t="shared" si="8"/>
        <v>9.2481272542310187</v>
      </c>
      <c r="F76" s="298">
        <f t="shared" si="9"/>
        <v>146.12041061685008</v>
      </c>
      <c r="G76" s="261"/>
      <c r="H76" s="295">
        <f t="shared" si="10"/>
        <v>161.84222694904281</v>
      </c>
      <c r="I76" s="297">
        <f t="shared" si="11"/>
        <v>3.6992509016924071</v>
      </c>
      <c r="J76" s="261"/>
      <c r="K76" s="298">
        <f t="shared" si="12"/>
        <v>311.6618884675853</v>
      </c>
      <c r="M76" s="300">
        <f>T_01!I13</f>
        <v>108130</v>
      </c>
    </row>
    <row r="77" spans="1:13" ht="13.5" customHeight="1" x14ac:dyDescent="0.2">
      <c r="A77" s="15" t="s">
        <v>32</v>
      </c>
      <c r="B77" s="257">
        <f t="shared" si="13"/>
        <v>72.491415490270896</v>
      </c>
      <c r="C77" s="258">
        <f t="shared" si="6"/>
        <v>36.245707745135448</v>
      </c>
      <c r="D77" s="258">
        <f t="shared" si="7"/>
        <v>28.615032430370086</v>
      </c>
      <c r="E77" s="259">
        <f t="shared" si="8"/>
        <v>42.922548645555132</v>
      </c>
      <c r="F77" s="260">
        <f t="shared" si="9"/>
        <v>180.27470431133156</v>
      </c>
      <c r="G77" s="261"/>
      <c r="H77" s="257">
        <f t="shared" si="10"/>
        <v>231.78176268599771</v>
      </c>
      <c r="I77" s="259">
        <f t="shared" si="11"/>
        <v>20.98435711560473</v>
      </c>
      <c r="J77" s="261"/>
      <c r="K77" s="260">
        <f t="shared" si="12"/>
        <v>433.04082411293399</v>
      </c>
      <c r="M77" s="1030">
        <f>T_01!I14</f>
        <v>104840</v>
      </c>
    </row>
    <row r="78" spans="1:13" ht="13.5" customHeight="1" x14ac:dyDescent="0.2">
      <c r="A78" s="187" t="s">
        <v>33</v>
      </c>
      <c r="B78" s="295">
        <f t="shared" si="13"/>
        <v>88.64499788940482</v>
      </c>
      <c r="C78" s="296">
        <f t="shared" si="6"/>
        <v>24.271844660194173</v>
      </c>
      <c r="D78" s="296">
        <f t="shared" si="7"/>
        <v>20.05065428450823</v>
      </c>
      <c r="E78" s="297">
        <f t="shared" si="8"/>
        <v>4.2211903756859437</v>
      </c>
      <c r="F78" s="298">
        <f t="shared" si="9"/>
        <v>137.18868720979316</v>
      </c>
      <c r="G78" s="261"/>
      <c r="H78" s="295">
        <f t="shared" si="10"/>
        <v>174.12410299704516</v>
      </c>
      <c r="I78" s="297">
        <f t="shared" si="11"/>
        <v>6.3317855635289151</v>
      </c>
      <c r="J78" s="261"/>
      <c r="K78" s="298">
        <f t="shared" si="12"/>
        <v>317.64457577036723</v>
      </c>
      <c r="M78" s="300">
        <f>T_01!I15</f>
        <v>94760</v>
      </c>
    </row>
    <row r="79" spans="1:13" ht="13.5" customHeight="1" x14ac:dyDescent="0.2">
      <c r="A79" s="15" t="s">
        <v>137</v>
      </c>
      <c r="B79" s="257">
        <f t="shared" si="13"/>
        <v>101.90760117690614</v>
      </c>
      <c r="C79" s="258">
        <f t="shared" si="6"/>
        <v>46.569630365737225</v>
      </c>
      <c r="D79" s="258">
        <f t="shared" si="7"/>
        <v>35.463065801523747</v>
      </c>
      <c r="E79" s="259">
        <f t="shared" si="8"/>
        <v>18.316088930457319</v>
      </c>
      <c r="F79" s="260">
        <f t="shared" si="9"/>
        <v>202.25638627462439</v>
      </c>
      <c r="G79" s="261"/>
      <c r="H79" s="257">
        <f t="shared" si="10"/>
        <v>348.00568967868907</v>
      </c>
      <c r="I79" s="259">
        <f t="shared" si="11"/>
        <v>0.97426004949241041</v>
      </c>
      <c r="J79" s="261"/>
      <c r="K79" s="260">
        <f t="shared" si="12"/>
        <v>551.23633600280584</v>
      </c>
      <c r="M79" s="1030">
        <f>T_01!I16</f>
        <v>513210</v>
      </c>
    </row>
    <row r="80" spans="1:13" ht="13.5" customHeight="1" x14ac:dyDescent="0.2">
      <c r="A80" s="187" t="s">
        <v>34</v>
      </c>
      <c r="B80" s="295">
        <f t="shared" si="13"/>
        <v>76.188097171048526</v>
      </c>
      <c r="C80" s="296">
        <f t="shared" si="6"/>
        <v>59.95128957721851</v>
      </c>
      <c r="D80" s="296">
        <f t="shared" si="7"/>
        <v>32.47361518766003</v>
      </c>
      <c r="E80" s="297">
        <f t="shared" si="8"/>
        <v>45.587959782676577</v>
      </c>
      <c r="F80" s="298">
        <f t="shared" si="9"/>
        <v>214.20096171860365</v>
      </c>
      <c r="G80" s="261"/>
      <c r="H80" s="295">
        <f t="shared" si="10"/>
        <v>267.28283269843251</v>
      </c>
      <c r="I80" s="297">
        <f t="shared" si="11"/>
        <v>0.62449259976269289</v>
      </c>
      <c r="J80" s="261"/>
      <c r="K80" s="298">
        <f t="shared" si="12"/>
        <v>482.10828701679884</v>
      </c>
      <c r="M80" s="300">
        <f>T_01!I17</f>
        <v>160130</v>
      </c>
    </row>
    <row r="81" spans="1:13" ht="13.5" customHeight="1" x14ac:dyDescent="0.2">
      <c r="A81" s="15" t="s">
        <v>35</v>
      </c>
      <c r="B81" s="257">
        <f t="shared" si="13"/>
        <v>81.311757895587093</v>
      </c>
      <c r="C81" s="258">
        <f t="shared" si="6"/>
        <v>42.002100105005248</v>
      </c>
      <c r="D81" s="258">
        <f t="shared" si="7"/>
        <v>25.039713524137746</v>
      </c>
      <c r="E81" s="259">
        <f t="shared" si="8"/>
        <v>29.616865458657546</v>
      </c>
      <c r="F81" s="260">
        <f t="shared" si="9"/>
        <v>177.97043698338763</v>
      </c>
      <c r="G81" s="261"/>
      <c r="H81" s="257">
        <f t="shared" si="10"/>
        <v>254.16655448157024</v>
      </c>
      <c r="I81" s="259">
        <f t="shared" si="11"/>
        <v>6.1926173231738515</v>
      </c>
      <c r="J81" s="261"/>
      <c r="K81" s="260">
        <f t="shared" si="12"/>
        <v>438.32960878813174</v>
      </c>
      <c r="M81" s="1030">
        <f>T_01!I18</f>
        <v>371410</v>
      </c>
    </row>
    <row r="82" spans="1:13" ht="13.5" customHeight="1" x14ac:dyDescent="0.2">
      <c r="A82" s="187" t="s">
        <v>36</v>
      </c>
      <c r="B82" s="295">
        <f t="shared" si="13"/>
        <v>154.90644423690057</v>
      </c>
      <c r="C82" s="296">
        <f t="shared" si="6"/>
        <v>59.096325400148146</v>
      </c>
      <c r="D82" s="296">
        <f t="shared" si="7"/>
        <v>48.307622942900387</v>
      </c>
      <c r="E82" s="297">
        <f t="shared" si="8"/>
        <v>12.882032784773436</v>
      </c>
      <c r="F82" s="298">
        <f t="shared" si="9"/>
        <v>275.19242536472257</v>
      </c>
      <c r="G82" s="261"/>
      <c r="H82" s="295">
        <f t="shared" si="10"/>
        <v>378.40971305271972</v>
      </c>
      <c r="I82" s="297">
        <f t="shared" si="11"/>
        <v>1.4492286882870118</v>
      </c>
      <c r="J82" s="261"/>
      <c r="K82" s="298">
        <f t="shared" si="12"/>
        <v>655.05136710572924</v>
      </c>
      <c r="M82" s="300">
        <f>T_01!I19</f>
        <v>621020</v>
      </c>
    </row>
    <row r="83" spans="1:13" ht="13.5" customHeight="1" x14ac:dyDescent="0.2">
      <c r="A83" s="15" t="s">
        <v>37</v>
      </c>
      <c r="B83" s="257">
        <f t="shared" si="13"/>
        <v>65.056552427927542</v>
      </c>
      <c r="C83" s="258">
        <f t="shared" si="6"/>
        <v>37.418147801683816</v>
      </c>
      <c r="D83" s="258">
        <f t="shared" si="7"/>
        <v>30.614848201377665</v>
      </c>
      <c r="E83" s="259">
        <f t="shared" si="8"/>
        <v>19.984692575899313</v>
      </c>
      <c r="F83" s="260">
        <f t="shared" si="9"/>
        <v>153.07424100688834</v>
      </c>
      <c r="G83" s="261"/>
      <c r="H83" s="257">
        <f t="shared" si="10"/>
        <v>200.27213198401225</v>
      </c>
      <c r="I83" s="259">
        <f t="shared" si="11"/>
        <v>76.962326728463296</v>
      </c>
      <c r="J83" s="261"/>
      <c r="K83" s="260">
        <f t="shared" si="12"/>
        <v>430.30869971936386</v>
      </c>
      <c r="M83" s="1030">
        <f>T_01!I20</f>
        <v>235180</v>
      </c>
    </row>
    <row r="84" spans="1:13" ht="13.5" customHeight="1" x14ac:dyDescent="0.2">
      <c r="A84" s="187" t="s">
        <v>38</v>
      </c>
      <c r="B84" s="295">
        <f t="shared" si="13"/>
        <v>130.77704418486542</v>
      </c>
      <c r="C84" s="296">
        <f t="shared" si="6"/>
        <v>41.899441340782126</v>
      </c>
      <c r="D84" s="296">
        <f t="shared" si="7"/>
        <v>53.326561706449972</v>
      </c>
      <c r="E84" s="297">
        <f t="shared" si="8"/>
        <v>13.966480446927374</v>
      </c>
      <c r="F84" s="298">
        <f t="shared" si="9"/>
        <v>239.96952767902491</v>
      </c>
      <c r="G84" s="261"/>
      <c r="H84" s="295">
        <f t="shared" si="10"/>
        <v>441.84865413915696</v>
      </c>
      <c r="I84" s="297">
        <f t="shared" si="11"/>
        <v>0</v>
      </c>
      <c r="J84" s="261"/>
      <c r="K84" s="298">
        <f t="shared" si="12"/>
        <v>681.81818181818187</v>
      </c>
      <c r="M84" s="300">
        <f>T_01!I21</f>
        <v>78760</v>
      </c>
    </row>
    <row r="85" spans="1:13" ht="13.5" customHeight="1" x14ac:dyDescent="0.2">
      <c r="A85" s="15" t="s">
        <v>39</v>
      </c>
      <c r="B85" s="257">
        <f t="shared" si="13"/>
        <v>77.700077700077699</v>
      </c>
      <c r="C85" s="258">
        <f t="shared" si="6"/>
        <v>41.070041070041071</v>
      </c>
      <c r="D85" s="258">
        <f t="shared" si="7"/>
        <v>47.73004773004773</v>
      </c>
      <c r="E85" s="259">
        <f t="shared" si="8"/>
        <v>67.710067710067705</v>
      </c>
      <c r="F85" s="260">
        <f t="shared" si="9"/>
        <v>234.2102342102342</v>
      </c>
      <c r="G85" s="261"/>
      <c r="H85" s="257">
        <f t="shared" si="10"/>
        <v>432.90043290043292</v>
      </c>
      <c r="I85" s="259">
        <f t="shared" si="11"/>
        <v>7.7700077700077701</v>
      </c>
      <c r="J85" s="261"/>
      <c r="K85" s="260">
        <f t="shared" si="12"/>
        <v>674.88067488067486</v>
      </c>
      <c r="M85" s="1030">
        <f>T_01!I22</f>
        <v>90090</v>
      </c>
    </row>
    <row r="86" spans="1:13" ht="13.5" customHeight="1" x14ac:dyDescent="0.2">
      <c r="A86" s="187" t="s">
        <v>40</v>
      </c>
      <c r="B86" s="295">
        <f t="shared" si="13"/>
        <v>40.718312800167048</v>
      </c>
      <c r="C86" s="296">
        <f t="shared" si="6"/>
        <v>37.586134892461892</v>
      </c>
      <c r="D86" s="296">
        <f t="shared" si="7"/>
        <v>25.057423261641262</v>
      </c>
      <c r="E86" s="297">
        <f t="shared" si="8"/>
        <v>15.660889538525788</v>
      </c>
      <c r="F86" s="298">
        <f t="shared" si="9"/>
        <v>119.02276049279598</v>
      </c>
      <c r="G86" s="261"/>
      <c r="H86" s="295">
        <f t="shared" si="10"/>
        <v>86.656922113176023</v>
      </c>
      <c r="I86" s="297">
        <f t="shared" si="11"/>
        <v>29.233660471914806</v>
      </c>
      <c r="J86" s="261"/>
      <c r="K86" s="298">
        <f t="shared" si="12"/>
        <v>234.91334307788679</v>
      </c>
      <c r="M86" s="300">
        <f>T_01!I23</f>
        <v>95780</v>
      </c>
    </row>
    <row r="87" spans="1:13" ht="13.5" customHeight="1" x14ac:dyDescent="0.2">
      <c r="A87" s="15" t="s">
        <v>393</v>
      </c>
      <c r="B87" s="257">
        <f t="shared" si="13"/>
        <v>63.079777365491651</v>
      </c>
      <c r="C87" s="258">
        <f t="shared" si="6"/>
        <v>29.68460111317254</v>
      </c>
      <c r="D87" s="258">
        <f t="shared" si="7"/>
        <v>33.395176252319111</v>
      </c>
      <c r="E87" s="259">
        <f t="shared" si="8"/>
        <v>18.552875695732837</v>
      </c>
      <c r="F87" s="260">
        <f t="shared" si="9"/>
        <v>144.71243042671614</v>
      </c>
      <c r="G87" s="261"/>
      <c r="H87" s="257">
        <f t="shared" si="10"/>
        <v>241.18738404452691</v>
      </c>
      <c r="I87" s="259">
        <f t="shared" si="11"/>
        <v>159.55473098330242</v>
      </c>
      <c r="J87" s="261"/>
      <c r="K87" s="260">
        <f t="shared" si="12"/>
        <v>545.4545454545455</v>
      </c>
      <c r="M87" s="1030">
        <f>T_01!I24</f>
        <v>26950</v>
      </c>
    </row>
    <row r="88" spans="1:13" ht="13.5" customHeight="1" x14ac:dyDescent="0.2">
      <c r="A88" s="187" t="s">
        <v>41</v>
      </c>
      <c r="B88" s="295">
        <f t="shared" si="13"/>
        <v>119.30186317107298</v>
      </c>
      <c r="C88" s="296">
        <f t="shared" si="6"/>
        <v>38.294425215406143</v>
      </c>
      <c r="D88" s="296">
        <f t="shared" si="7"/>
        <v>30.193681419839457</v>
      </c>
      <c r="E88" s="297">
        <f t="shared" si="8"/>
        <v>12.519331320421237</v>
      </c>
      <c r="F88" s="298">
        <f t="shared" si="9"/>
        <v>200.3093011267398</v>
      </c>
      <c r="G88" s="261"/>
      <c r="H88" s="295">
        <f t="shared" si="10"/>
        <v>419.02938360704024</v>
      </c>
      <c r="I88" s="297">
        <f t="shared" si="11"/>
        <v>11.046468812136387</v>
      </c>
      <c r="J88" s="261"/>
      <c r="K88" s="298">
        <f t="shared" si="12"/>
        <v>630.38515354591641</v>
      </c>
      <c r="M88" s="300">
        <f>T_01!I25</f>
        <v>135790</v>
      </c>
    </row>
    <row r="89" spans="1:13" ht="13.5" customHeight="1" x14ac:dyDescent="0.2">
      <c r="A89" s="15" t="s">
        <v>42</v>
      </c>
      <c r="B89" s="257">
        <f t="shared" si="13"/>
        <v>90.304741734321681</v>
      </c>
      <c r="C89" s="258">
        <f t="shared" si="6"/>
        <v>37.357336157194965</v>
      </c>
      <c r="D89" s="258">
        <f t="shared" si="7"/>
        <v>55.888928109189315</v>
      </c>
      <c r="E89" s="259">
        <f t="shared" si="8"/>
        <v>9.7070243558065652</v>
      </c>
      <c r="F89" s="260">
        <f t="shared" si="9"/>
        <v>193.25803035651253</v>
      </c>
      <c r="G89" s="261"/>
      <c r="H89" s="257">
        <f t="shared" si="10"/>
        <v>354.74761736674907</v>
      </c>
      <c r="I89" s="259">
        <f t="shared" si="11"/>
        <v>0</v>
      </c>
      <c r="J89" s="261"/>
      <c r="K89" s="260">
        <f t="shared" si="12"/>
        <v>548.00564772326163</v>
      </c>
      <c r="M89" s="1030">
        <f>T_01!I26</f>
        <v>339960</v>
      </c>
    </row>
    <row r="90" spans="1:13" ht="13.5" customHeight="1" x14ac:dyDescent="0.2">
      <c r="A90" s="187" t="s">
        <v>43</v>
      </c>
      <c r="B90" s="295">
        <f t="shared" si="13"/>
        <v>31.81818181818182</v>
      </c>
      <c r="C90" s="296">
        <f t="shared" si="6"/>
        <v>9.0909090909090899</v>
      </c>
      <c r="D90" s="296">
        <f t="shared" si="7"/>
        <v>22.727272727272727</v>
      </c>
      <c r="E90" s="297">
        <f t="shared" si="8"/>
        <v>4.545454545454545</v>
      </c>
      <c r="F90" s="298">
        <f t="shared" si="9"/>
        <v>68.181818181818187</v>
      </c>
      <c r="G90" s="261"/>
      <c r="H90" s="295">
        <f t="shared" si="10"/>
        <v>40.909090909090907</v>
      </c>
      <c r="I90" s="297">
        <f t="shared" si="11"/>
        <v>54.545454545454547</v>
      </c>
      <c r="J90" s="261"/>
      <c r="K90" s="298">
        <f t="shared" si="12"/>
        <v>163.63636363636363</v>
      </c>
      <c r="M90" s="300">
        <f>T_01!I27</f>
        <v>22000</v>
      </c>
    </row>
    <row r="91" spans="1:13" ht="13.5" customHeight="1" x14ac:dyDescent="0.2">
      <c r="A91" s="15" t="s">
        <v>44</v>
      </c>
      <c r="B91" s="257">
        <f t="shared" si="13"/>
        <v>76.770350761085368</v>
      </c>
      <c r="C91" s="258">
        <f t="shared" si="6"/>
        <v>37.723362011912641</v>
      </c>
      <c r="D91" s="258">
        <f t="shared" si="7"/>
        <v>28.457974851091993</v>
      </c>
      <c r="E91" s="259">
        <f t="shared" si="8"/>
        <v>11.912640635340834</v>
      </c>
      <c r="F91" s="260">
        <f t="shared" si="9"/>
        <v>154.86432825943083</v>
      </c>
      <c r="G91" s="261"/>
      <c r="H91" s="257">
        <f t="shared" si="10"/>
        <v>117.14096624751819</v>
      </c>
      <c r="I91" s="259">
        <f t="shared" si="11"/>
        <v>34.414295168762408</v>
      </c>
      <c r="J91" s="261"/>
      <c r="K91" s="260">
        <f t="shared" si="12"/>
        <v>306.41958967571145</v>
      </c>
      <c r="M91" s="1030">
        <f>T_01!I28</f>
        <v>151100</v>
      </c>
    </row>
    <row r="92" spans="1:13" ht="13.5" customHeight="1" x14ac:dyDescent="0.2">
      <c r="A92" s="187" t="s">
        <v>45</v>
      </c>
      <c r="B92" s="295">
        <f t="shared" si="13"/>
        <v>126.10982299383589</v>
      </c>
      <c r="C92" s="296">
        <f t="shared" si="6"/>
        <v>39.586043092235478</v>
      </c>
      <c r="D92" s="296">
        <f t="shared" si="7"/>
        <v>40.151557993553133</v>
      </c>
      <c r="E92" s="297">
        <f t="shared" si="8"/>
        <v>18.09647684216479</v>
      </c>
      <c r="F92" s="298">
        <f t="shared" si="9"/>
        <v>223.94390092178926</v>
      </c>
      <c r="G92" s="261"/>
      <c r="H92" s="295">
        <f t="shared" si="10"/>
        <v>284.45399536277779</v>
      </c>
      <c r="I92" s="297">
        <f t="shared" si="11"/>
        <v>3.9586043092235479</v>
      </c>
      <c r="J92" s="261"/>
      <c r="K92" s="298">
        <f t="shared" si="12"/>
        <v>512.35650059379066</v>
      </c>
      <c r="M92" s="300">
        <f>T_01!I29</f>
        <v>176830</v>
      </c>
    </row>
    <row r="93" spans="1:13" ht="13.5" customHeight="1" x14ac:dyDescent="0.2">
      <c r="A93" s="15" t="s">
        <v>46</v>
      </c>
      <c r="B93" s="257">
        <f t="shared" si="13"/>
        <v>86.9414014953921</v>
      </c>
      <c r="C93" s="258">
        <f t="shared" si="6"/>
        <v>30.429490523387237</v>
      </c>
      <c r="D93" s="258">
        <f t="shared" si="7"/>
        <v>19.996522343940185</v>
      </c>
      <c r="E93" s="259">
        <f t="shared" si="8"/>
        <v>39.993044687880371</v>
      </c>
      <c r="F93" s="260">
        <f t="shared" si="9"/>
        <v>177.3604590505999</v>
      </c>
      <c r="G93" s="261"/>
      <c r="H93" s="257">
        <f t="shared" si="10"/>
        <v>115.63206398887151</v>
      </c>
      <c r="I93" s="259">
        <f t="shared" si="11"/>
        <v>46.948356807511736</v>
      </c>
      <c r="J93" s="261"/>
      <c r="K93" s="260">
        <f t="shared" si="12"/>
        <v>339.94087984698314</v>
      </c>
      <c r="M93" s="1030">
        <f>T_01!I30</f>
        <v>115020</v>
      </c>
    </row>
    <row r="94" spans="1:13" ht="13.5" customHeight="1" x14ac:dyDescent="0.2">
      <c r="A94" s="187" t="s">
        <v>47</v>
      </c>
      <c r="B94" s="295">
        <f t="shared" si="13"/>
        <v>56.32582322357019</v>
      </c>
      <c r="C94" s="296">
        <f t="shared" si="6"/>
        <v>30.329289428076255</v>
      </c>
      <c r="D94" s="296">
        <f t="shared" si="7"/>
        <v>21.663778162911612</v>
      </c>
      <c r="E94" s="297">
        <f t="shared" si="8"/>
        <v>34.662045060658578</v>
      </c>
      <c r="F94" s="298">
        <f t="shared" si="9"/>
        <v>142.98093587521663</v>
      </c>
      <c r="G94" s="261"/>
      <c r="H94" s="295">
        <f t="shared" si="10"/>
        <v>47.660311958405551</v>
      </c>
      <c r="I94" s="297">
        <f t="shared" si="11"/>
        <v>51.99306759098787</v>
      </c>
      <c r="J94" s="261"/>
      <c r="K94" s="298">
        <f t="shared" si="12"/>
        <v>242.63431542461007</v>
      </c>
      <c r="M94" s="300">
        <f>T_01!I31</f>
        <v>23080</v>
      </c>
    </row>
    <row r="95" spans="1:13" ht="13.5" customHeight="1" x14ac:dyDescent="0.2">
      <c r="A95" s="15" t="s">
        <v>48</v>
      </c>
      <c r="B95" s="257">
        <f t="shared" si="13"/>
        <v>93.184238551650694</v>
      </c>
      <c r="C95" s="258">
        <f t="shared" si="6"/>
        <v>39.048633297834577</v>
      </c>
      <c r="D95" s="258">
        <f t="shared" si="7"/>
        <v>35.498757543485979</v>
      </c>
      <c r="E95" s="259">
        <f t="shared" si="8"/>
        <v>13.312034078807242</v>
      </c>
      <c r="F95" s="260">
        <f t="shared" si="9"/>
        <v>181.0436634717785</v>
      </c>
      <c r="G95" s="261"/>
      <c r="H95" s="257">
        <f t="shared" si="10"/>
        <v>221.86723464678735</v>
      </c>
      <c r="I95" s="259">
        <f t="shared" si="11"/>
        <v>13.312034078807242</v>
      </c>
      <c r="J95" s="261"/>
      <c r="K95" s="260">
        <f t="shared" si="12"/>
        <v>416.2229321973731</v>
      </c>
      <c r="M95" s="1030">
        <f>T_01!I32</f>
        <v>112680</v>
      </c>
    </row>
    <row r="96" spans="1:13" ht="13.5" customHeight="1" x14ac:dyDescent="0.2">
      <c r="A96" s="187" t="s">
        <v>49</v>
      </c>
      <c r="B96" s="295">
        <f t="shared" si="13"/>
        <v>87.374673916459756</v>
      </c>
      <c r="C96" s="296">
        <f t="shared" si="6"/>
        <v>35.829902253512273</v>
      </c>
      <c r="D96" s="296">
        <f t="shared" si="7"/>
        <v>47.144608228305621</v>
      </c>
      <c r="E96" s="297">
        <f t="shared" si="8"/>
        <v>12.886192915736869</v>
      </c>
      <c r="F96" s="298">
        <f t="shared" si="9"/>
        <v>183.2353773140145</v>
      </c>
      <c r="G96" s="261"/>
      <c r="H96" s="295">
        <f t="shared" si="10"/>
        <v>250.1807209982085</v>
      </c>
      <c r="I96" s="297">
        <f t="shared" si="11"/>
        <v>2.2000817173209293</v>
      </c>
      <c r="J96" s="261"/>
      <c r="K96" s="298">
        <f t="shared" si="12"/>
        <v>435.6161800295439</v>
      </c>
      <c r="M96" s="300">
        <f>T_01!I33</f>
        <v>318170</v>
      </c>
    </row>
    <row r="97" spans="1:15" ht="13.5" customHeight="1" x14ac:dyDescent="0.2">
      <c r="A97" s="15" t="s">
        <v>50</v>
      </c>
      <c r="B97" s="257">
        <f t="shared" si="13"/>
        <v>91.489361702127653</v>
      </c>
      <c r="C97" s="258">
        <f t="shared" si="6"/>
        <v>47.87234042553191</v>
      </c>
      <c r="D97" s="258">
        <f t="shared" si="7"/>
        <v>28.723404255319146</v>
      </c>
      <c r="E97" s="259">
        <f t="shared" si="8"/>
        <v>18.085106382978722</v>
      </c>
      <c r="F97" s="260">
        <f t="shared" si="9"/>
        <v>186.17021276595744</v>
      </c>
      <c r="G97" s="261"/>
      <c r="H97" s="257">
        <f t="shared" si="10"/>
        <v>177.65957446808511</v>
      </c>
      <c r="I97" s="259">
        <f t="shared" si="11"/>
        <v>22.340425531914892</v>
      </c>
      <c r="J97" s="261"/>
      <c r="K97" s="260">
        <f t="shared" si="12"/>
        <v>386.17021276595744</v>
      </c>
      <c r="M97" s="1030">
        <f>T_01!I34</f>
        <v>94000</v>
      </c>
    </row>
    <row r="98" spans="1:15" ht="13.5" customHeight="1" x14ac:dyDescent="0.2">
      <c r="A98" s="187" t="s">
        <v>51</v>
      </c>
      <c r="B98" s="295">
        <f t="shared" si="13"/>
        <v>176.31960718669791</v>
      </c>
      <c r="C98" s="296">
        <f t="shared" si="6"/>
        <v>52.449503403637991</v>
      </c>
      <c r="D98" s="296">
        <f t="shared" si="7"/>
        <v>59.14518468920879</v>
      </c>
      <c r="E98" s="297">
        <f t="shared" si="8"/>
        <v>12.275415690213146</v>
      </c>
      <c r="F98" s="298">
        <f t="shared" si="9"/>
        <v>300.18971096975787</v>
      </c>
      <c r="G98" s="261"/>
      <c r="H98" s="295">
        <f t="shared" si="10"/>
        <v>268.94319830376077</v>
      </c>
      <c r="I98" s="297">
        <f t="shared" si="11"/>
        <v>4.4637875237138713</v>
      </c>
      <c r="J98" s="261"/>
      <c r="K98" s="298">
        <f t="shared" si="12"/>
        <v>573.59669679723243</v>
      </c>
      <c r="M98" s="300">
        <f>T_01!I35</f>
        <v>89610</v>
      </c>
    </row>
    <row r="99" spans="1:15" ht="13.5" customHeight="1" x14ac:dyDescent="0.2">
      <c r="A99" s="15" t="s">
        <v>52</v>
      </c>
      <c r="B99" s="257">
        <f t="shared" si="13"/>
        <v>93.210523412939168</v>
      </c>
      <c r="C99" s="258">
        <f t="shared" si="6"/>
        <v>40.814075340576913</v>
      </c>
      <c r="D99" s="258">
        <f t="shared" si="7"/>
        <v>42.468700016546244</v>
      </c>
      <c r="E99" s="259">
        <f t="shared" si="8"/>
        <v>56.257238982957368</v>
      </c>
      <c r="F99" s="260">
        <f t="shared" si="9"/>
        <v>232.7505377530197</v>
      </c>
      <c r="G99" s="261"/>
      <c r="H99" s="257">
        <f t="shared" si="10"/>
        <v>396.00683911532735</v>
      </c>
      <c r="I99" s="259">
        <f t="shared" si="11"/>
        <v>2.7577077932822238</v>
      </c>
      <c r="J99" s="261"/>
      <c r="K99" s="260">
        <f t="shared" si="12"/>
        <v>631.51508466162932</v>
      </c>
      <c r="M99" s="1030">
        <f>T_01!I36</f>
        <v>181310</v>
      </c>
    </row>
    <row r="100" spans="1:15" x14ac:dyDescent="0.2">
      <c r="A100" s="189"/>
      <c r="B100" s="295"/>
      <c r="C100" s="296"/>
      <c r="D100" s="296"/>
      <c r="E100" s="297"/>
      <c r="F100" s="298"/>
      <c r="G100" s="261"/>
      <c r="H100" s="295"/>
      <c r="I100" s="297"/>
      <c r="J100" s="261"/>
      <c r="K100" s="298"/>
      <c r="M100" s="301"/>
    </row>
    <row r="101" spans="1:15" ht="30" customHeight="1" x14ac:dyDescent="0.2">
      <c r="A101" s="150" t="s">
        <v>159</v>
      </c>
      <c r="B101" s="262">
        <f>B59/M101*100000</f>
        <v>97.8837929508922</v>
      </c>
      <c r="C101" s="263">
        <f>C59/M101*100000</f>
        <v>42.047633092464238</v>
      </c>
      <c r="D101" s="263">
        <f>D59/M101*100000</f>
        <v>37.015189500073738</v>
      </c>
      <c r="E101" s="264">
        <f>E59/M101*100000</f>
        <v>19.44772157498894</v>
      </c>
      <c r="F101" s="265">
        <f>F59/M101*100000</f>
        <v>196.39433711841912</v>
      </c>
      <c r="G101" s="266"/>
      <c r="H101" s="262">
        <f>H59/M101*100000</f>
        <v>270.94086417932459</v>
      </c>
      <c r="I101" s="264">
        <f>I59/M101*100000</f>
        <v>14.065034655655507</v>
      </c>
      <c r="J101" s="266"/>
      <c r="K101" s="265">
        <f>K59/M101*100000</f>
        <v>481.40023595339926</v>
      </c>
      <c r="L101" s="105"/>
      <c r="M101" s="172">
        <f>SUM(M68:M99)</f>
        <v>5424800</v>
      </c>
    </row>
    <row r="102" spans="1:15" ht="13.5" customHeight="1" x14ac:dyDescent="0.2">
      <c r="A102" s="105"/>
      <c r="B102" s="255"/>
      <c r="C102" s="255"/>
      <c r="D102" s="255"/>
      <c r="E102" s="255"/>
      <c r="F102" s="255"/>
      <c r="G102" s="174"/>
      <c r="H102" s="255"/>
      <c r="I102" s="255"/>
      <c r="J102" s="174"/>
      <c r="K102" s="255"/>
      <c r="L102" s="105"/>
      <c r="M102" s="113"/>
    </row>
    <row r="103" spans="1:15" x14ac:dyDescent="0.2">
      <c r="A103" s="13" t="s">
        <v>162</v>
      </c>
    </row>
    <row r="104" spans="1:15" x14ac:dyDescent="0.2">
      <c r="A104" s="1" t="s">
        <v>963</v>
      </c>
    </row>
    <row r="105" spans="1:15" s="256" customFormat="1" x14ac:dyDescent="0.2">
      <c r="A105" s="1643" t="s">
        <v>879</v>
      </c>
      <c r="B105" s="1643"/>
      <c r="C105" s="1643"/>
      <c r="D105" s="1643"/>
      <c r="E105" s="1643"/>
      <c r="F105" s="1643"/>
      <c r="G105" s="1643"/>
      <c r="H105" s="1643"/>
      <c r="I105" s="1643"/>
      <c r="J105" s="1643"/>
      <c r="K105" s="1643"/>
      <c r="L105" s="1643"/>
      <c r="M105" s="1643"/>
      <c r="N105" s="1643"/>
      <c r="O105" s="1643"/>
    </row>
    <row r="106" spans="1:15" s="256" customFormat="1" x14ac:dyDescent="0.2">
      <c r="A106" s="303" t="s">
        <v>675</v>
      </c>
      <c r="B106" s="303"/>
      <c r="C106" s="303"/>
      <c r="D106" s="303"/>
      <c r="E106" s="303"/>
      <c r="F106" s="303"/>
      <c r="G106" s="303"/>
      <c r="H106" s="303"/>
      <c r="I106" s="303"/>
      <c r="J106" s="303"/>
      <c r="K106" s="303"/>
      <c r="L106" s="303"/>
      <c r="M106" s="303"/>
      <c r="N106" s="303"/>
      <c r="O106" s="303"/>
    </row>
    <row r="107" spans="1:15" x14ac:dyDescent="0.2">
      <c r="A107" s="148"/>
    </row>
    <row r="108" spans="1:15" x14ac:dyDescent="0.2">
      <c r="A108" s="51" t="s">
        <v>136</v>
      </c>
    </row>
    <row r="110" spans="1:15" x14ac:dyDescent="0.2">
      <c r="A110" s="51"/>
    </row>
    <row r="112" spans="1:15" ht="14.25" x14ac:dyDescent="0.2">
      <c r="A112" s="1634"/>
      <c r="B112" s="1634"/>
      <c r="C112" s="1634"/>
      <c r="D112" s="1634"/>
      <c r="E112" s="1634"/>
      <c r="F112" s="1634"/>
      <c r="G112" s="1634"/>
      <c r="H112" s="1634"/>
      <c r="I112" s="1634"/>
      <c r="J112" s="1634"/>
    </row>
    <row r="113" spans="1:10" ht="14.25" x14ac:dyDescent="0.2">
      <c r="A113" s="1634"/>
      <c r="B113" s="1634"/>
      <c r="C113" s="1634"/>
      <c r="D113" s="1634"/>
      <c r="E113" s="1634"/>
      <c r="F113" s="1634"/>
      <c r="G113" s="1634"/>
      <c r="H113" s="1634"/>
      <c r="I113" s="1634"/>
      <c r="J113" s="1634"/>
    </row>
    <row r="114" spans="1:10" ht="14.25" x14ac:dyDescent="0.2">
      <c r="A114" s="1634"/>
      <c r="B114" s="1634"/>
      <c r="C114" s="1634"/>
      <c r="D114" s="1634"/>
      <c r="E114" s="1634"/>
      <c r="F114" s="1634"/>
      <c r="G114" s="1634"/>
      <c r="H114" s="1634"/>
      <c r="I114" s="1634"/>
      <c r="J114" s="1634"/>
    </row>
    <row r="115" spans="1:10" x14ac:dyDescent="0.2">
      <c r="A115" s="304"/>
      <c r="B115" s="304"/>
      <c r="C115" s="304"/>
      <c r="D115" s="304"/>
      <c r="E115" s="304"/>
      <c r="F115" s="304"/>
      <c r="G115" s="304"/>
      <c r="H115" s="304"/>
      <c r="I115" s="304"/>
      <c r="J115" s="304"/>
    </row>
    <row r="116" spans="1:10" ht="15" x14ac:dyDescent="0.25">
      <c r="A116" s="305"/>
      <c r="B116" s="304"/>
      <c r="C116" s="304"/>
      <c r="D116" s="304"/>
      <c r="E116" s="304"/>
      <c r="F116" s="304"/>
      <c r="G116" s="304"/>
      <c r="H116" s="304"/>
      <c r="I116" s="304"/>
      <c r="J116" s="304"/>
    </row>
  </sheetData>
  <sheetProtection algorithmName="SHA-512" hashValue="7/it+rL0h3nJS6yM4Td6C+SDGHLuGIyHQzP6zBqkcDnEPEbORbTw0ANAXMbDu5FkXVXmqh292Wbo53WxecJErg==" saltValue="56FBiLiVAcGANY6VLOmcIA==" spinCount="100000" sheet="1" objects="1" scenarios="1"/>
  <mergeCells count="23">
    <mergeCell ref="K3:K4"/>
    <mergeCell ref="B24:E24"/>
    <mergeCell ref="A20:K20"/>
    <mergeCell ref="A105:O105"/>
    <mergeCell ref="A112:J112"/>
    <mergeCell ref="M66:M67"/>
    <mergeCell ref="H66:H67"/>
    <mergeCell ref="B66:E66"/>
    <mergeCell ref="F66:F67"/>
    <mergeCell ref="I66:I67"/>
    <mergeCell ref="K66:K67"/>
    <mergeCell ref="F24:F25"/>
    <mergeCell ref="H24:H25"/>
    <mergeCell ref="I24:I25"/>
    <mergeCell ref="K24:K25"/>
    <mergeCell ref="A22:D22"/>
    <mergeCell ref="A64:G64"/>
    <mergeCell ref="A114:J114"/>
    <mergeCell ref="B3:E3"/>
    <mergeCell ref="F3:F4"/>
    <mergeCell ref="H3:H4"/>
    <mergeCell ref="I3:I4"/>
    <mergeCell ref="A113:J113"/>
  </mergeCells>
  <hyperlinks>
    <hyperlink ref="A108" location="Contents!A1" display="Return to contents " xr:uid="{00000000-0004-0000-0900-000000000000}"/>
    <hyperlink ref="A106" r:id="rId1" xr:uid="{00000000-0004-0000-0900-000001000000}"/>
  </hyperlinks>
  <pageMargins left="0.70866141732283472" right="0.70866141732283472" top="0.74803149606299213" bottom="0.74803149606299213" header="0.31496062992125984" footer="0.31496062992125984"/>
  <pageSetup paperSize="9" scale="56" orientation="portrait" r:id="rId2"/>
  <headerFooter>
    <oddFooter>&amp;L&amp;P&amp;C&amp;A</oddFooter>
  </headerFooter>
  <rowBreaks count="1" manualBreakCount="1">
    <brk id="63" max="16383" man="1"/>
  </rowBreaks>
  <drawing r:id="rId3"/>
  <extLst>
    <ext xmlns:x14="http://schemas.microsoft.com/office/spreadsheetml/2009/9/main" uri="{A8765BA9-456A-4dab-B4F3-ACF838C121DE}">
      <x14:slicerList>
        <x14:slicer r:id="rId4"/>
      </x14:slicerList>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3">
    <tabColor rgb="FF960000"/>
    <pageSetUpPr fitToPage="1"/>
  </sheetPr>
  <dimension ref="A1:AX9"/>
  <sheetViews>
    <sheetView showGridLines="0" workbookViewId="0"/>
  </sheetViews>
  <sheetFormatPr defaultRowHeight="12.75" x14ac:dyDescent="0.2"/>
  <sheetData>
    <row r="1" spans="1:50" ht="38.25" customHeight="1" x14ac:dyDescent="0.35">
      <c r="A1" s="1259" t="str">
        <f>"Casualties by Time of Call Long-Term Average"</f>
        <v>Casualties by Time of Call Long-Term Average</v>
      </c>
      <c r="F1" s="1474"/>
    </row>
    <row r="5" spans="1:50" x14ac:dyDescent="0.2">
      <c r="I5" s="768" t="str">
        <f>'25'!B4</f>
        <v>Midnight</v>
      </c>
      <c r="J5" s="768" t="str">
        <f>'25'!C4</f>
        <v>1am</v>
      </c>
      <c r="K5" s="768" t="str">
        <f>'25'!D4</f>
        <v>2am</v>
      </c>
      <c r="L5" s="768" t="str">
        <f>'25'!E4</f>
        <v>3am</v>
      </c>
      <c r="M5" s="768" t="str">
        <f>'25'!F4</f>
        <v>4am</v>
      </c>
      <c r="N5" s="768" t="str">
        <f>'25'!G4</f>
        <v>5am</v>
      </c>
      <c r="O5" s="768" t="str">
        <f>'25'!H4</f>
        <v>6am</v>
      </c>
      <c r="P5" s="768" t="str">
        <f>'25'!I4</f>
        <v>7am</v>
      </c>
      <c r="Q5" s="768" t="str">
        <f>'25'!J4</f>
        <v>8am</v>
      </c>
      <c r="R5" s="768" t="str">
        <f>'25'!K4</f>
        <v>9am</v>
      </c>
      <c r="S5" s="768" t="str">
        <f>'25'!L4</f>
        <v>10am</v>
      </c>
      <c r="T5" s="768" t="str">
        <f>'25'!M4</f>
        <v>11am</v>
      </c>
      <c r="U5" s="768" t="str">
        <f>'25'!N4</f>
        <v>Midday</v>
      </c>
      <c r="V5" s="768" t="str">
        <f>'25'!O4</f>
        <v>1pm</v>
      </c>
      <c r="W5" s="768" t="str">
        <f>'25'!P4</f>
        <v>2pm</v>
      </c>
      <c r="X5" s="768" t="str">
        <f>'25'!Q4</f>
        <v>3pm</v>
      </c>
      <c r="Y5" s="768" t="str">
        <f>'25'!R4</f>
        <v>4pm</v>
      </c>
      <c r="Z5" s="768" t="str">
        <f>'25'!S4</f>
        <v>5pm</v>
      </c>
      <c r="AA5" s="768" t="str">
        <f>'25'!T4</f>
        <v>6pm</v>
      </c>
      <c r="AB5" s="768" t="str">
        <f>'25'!U4</f>
        <v>7pm</v>
      </c>
      <c r="AC5" s="768" t="str">
        <f>'25'!V4</f>
        <v>8pm</v>
      </c>
      <c r="AD5" s="768" t="str">
        <f>'25'!W4</f>
        <v>9pm</v>
      </c>
      <c r="AE5" s="768" t="str">
        <f>'25'!X4</f>
        <v>10pm</v>
      </c>
      <c r="AF5" s="768" t="str">
        <f>'25'!Y4</f>
        <v>11pm</v>
      </c>
      <c r="AG5" s="768"/>
      <c r="AH5" s="768"/>
      <c r="AI5" s="768"/>
      <c r="AJ5" s="768"/>
      <c r="AK5" s="768"/>
      <c r="AL5" s="768"/>
      <c r="AM5" s="768"/>
      <c r="AN5" s="768"/>
      <c r="AO5" s="768"/>
      <c r="AP5" s="768"/>
      <c r="AQ5" s="768"/>
      <c r="AR5" s="768"/>
      <c r="AS5" s="768"/>
      <c r="AT5" s="768"/>
      <c r="AU5" s="768"/>
      <c r="AV5" s="768"/>
      <c r="AW5" s="768"/>
      <c r="AX5" s="768"/>
    </row>
    <row r="6" spans="1:50" x14ac:dyDescent="0.2">
      <c r="H6" t="s">
        <v>904</v>
      </c>
      <c r="I6">
        <f>SUM('25'!B5:'25'!B15)</f>
        <v>18</v>
      </c>
      <c r="J6">
        <f>SUM('25'!C5:'25'!C15)</f>
        <v>23</v>
      </c>
      <c r="K6">
        <f>SUM('25'!D5:'25'!D15)</f>
        <v>30</v>
      </c>
      <c r="L6">
        <f>SUM('25'!E5:'25'!E15)</f>
        <v>23</v>
      </c>
      <c r="M6">
        <f>SUM('25'!F5:'25'!F15)</f>
        <v>19</v>
      </c>
      <c r="N6">
        <f>SUM('25'!G5:'25'!G15)</f>
        <v>22</v>
      </c>
      <c r="O6">
        <f>SUM('25'!H5:'25'!H15)</f>
        <v>14</v>
      </c>
      <c r="P6">
        <f>SUM('25'!I5:'25'!I15)</f>
        <v>28</v>
      </c>
      <c r="Q6">
        <f>SUM('25'!J5:'25'!J15)</f>
        <v>19</v>
      </c>
      <c r="R6">
        <f>SUM('25'!K5:'25'!K15)</f>
        <v>12</v>
      </c>
      <c r="S6">
        <f>SUM('25'!L5:'25'!L15)</f>
        <v>17</v>
      </c>
      <c r="T6">
        <f>SUM('25'!M5:'25'!M15)</f>
        <v>15</v>
      </c>
      <c r="U6">
        <f>SUM('25'!N5:'25'!N15)</f>
        <v>16</v>
      </c>
      <c r="V6">
        <f>SUM('25'!O5:'25'!O15)</f>
        <v>19</v>
      </c>
      <c r="W6">
        <f>SUM('25'!P5:'25'!P15)</f>
        <v>14</v>
      </c>
      <c r="X6">
        <f>SUM('25'!Q5:'25'!Q15)</f>
        <v>19</v>
      </c>
      <c r="Y6">
        <f>SUM('25'!R5:'25'!R15)</f>
        <v>28</v>
      </c>
      <c r="Z6">
        <f>SUM('25'!S5:'25'!S15)</f>
        <v>17</v>
      </c>
      <c r="AA6">
        <f>SUM('25'!T5:'25'!T15)</f>
        <v>28</v>
      </c>
      <c r="AB6">
        <f>SUM('25'!U5:'25'!U15)</f>
        <v>23</v>
      </c>
      <c r="AC6">
        <f>SUM('25'!V5:'25'!V15)</f>
        <v>18</v>
      </c>
      <c r="AD6">
        <f>SUM('25'!W5:'25'!W15)</f>
        <v>16</v>
      </c>
      <c r="AE6">
        <f>SUM('25'!X5:'25'!X15)</f>
        <v>18</v>
      </c>
      <c r="AF6">
        <f>SUM('25'!Y5:'25'!Y15)</f>
        <v>17</v>
      </c>
    </row>
    <row r="7" spans="1:50" x14ac:dyDescent="0.2">
      <c r="I7">
        <f>I6/SUM('24'!B20:B30)*1000</f>
        <v>7.5598488030239395</v>
      </c>
      <c r="J7">
        <f>J6/SUM('24'!C20:C30)*1000</f>
        <v>10.895310279488394</v>
      </c>
      <c r="K7">
        <f>K6/SUM('24'!D20:D30)*1000</f>
        <v>17.016449234259785</v>
      </c>
      <c r="L7">
        <f>L6/SUM('24'!E20:E30)*1000</f>
        <v>16.117729502452697</v>
      </c>
      <c r="M7">
        <f>M6/SUM('24'!F20:F30)*1000</f>
        <v>15.261044176706827</v>
      </c>
      <c r="N7">
        <f>N6/SUM('24'!G20:G30)*1000</f>
        <v>21.696252465483234</v>
      </c>
      <c r="O7">
        <f>O6/SUM('24'!H20:H30)*1000</f>
        <v>14.736842105263158</v>
      </c>
      <c r="P7">
        <f>P6/SUM('24'!I20:I30)*1000</f>
        <v>24.955436720142604</v>
      </c>
      <c r="Q7">
        <f>Q6/SUM('24'!J20:J30)*1000</f>
        <v>13.939838591342626</v>
      </c>
      <c r="R7">
        <f>R6/SUM('24'!K20:K30)*1000</f>
        <v>6.8220579874928937</v>
      </c>
      <c r="S7">
        <f>S6/SUM('24'!L20:L30)*1000</f>
        <v>8.1378650071804692</v>
      </c>
      <c r="T7">
        <f>T6/SUM('24'!M20:M30)*1000</f>
        <v>5.8985450255603622</v>
      </c>
      <c r="U7">
        <f>U6/SUM('24'!N20:N30)*1000</f>
        <v>5.5096418732782375</v>
      </c>
      <c r="V7">
        <f>V6/SUM('24'!O20:O30)*1000</f>
        <v>6.0336614798348682</v>
      </c>
      <c r="W7">
        <f>W6/SUM('24'!P20:P30)*1000</f>
        <v>4.3437790878063911</v>
      </c>
      <c r="X7">
        <f>X6/SUM('24'!Q20:Q30)*1000</f>
        <v>5.4644808743169397</v>
      </c>
      <c r="Y7">
        <f>Y6/SUM('24'!R20:R30)*1000</f>
        <v>6.4397424103035883</v>
      </c>
      <c r="Z7">
        <f>Z6/SUM('24'!S20:S30)*1000</f>
        <v>3.1847133757961785</v>
      </c>
      <c r="AA7">
        <f>AA6/SUM('24'!T20:T30)*1000</f>
        <v>5.5314105096799677</v>
      </c>
      <c r="AB7">
        <f>AB6/SUM('24'!U20:U30)*1000</f>
        <v>4.8894557823129254</v>
      </c>
      <c r="AC7">
        <f>AC6/SUM('24'!V20:V30)*1000</f>
        <v>4.3657530924084407</v>
      </c>
      <c r="AD7">
        <f>AD6/SUM('24'!W20:W30)*1000</f>
        <v>4.3668122270742353</v>
      </c>
      <c r="AE7">
        <f>AE6/SUM('24'!X20:X30)*1000</f>
        <v>5.6162246489859591</v>
      </c>
      <c r="AF7">
        <f>AF6/SUM('24'!Y20:Y30)*1000</f>
        <v>6.2431142122658834</v>
      </c>
    </row>
    <row r="8" spans="1:50" x14ac:dyDescent="0.2">
      <c r="I8" s="768">
        <f>SUM('25'!B35:'25'!B45)</f>
        <v>622</v>
      </c>
      <c r="J8" s="768">
        <f>SUM('25'!C35:'25'!C45)</f>
        <v>536</v>
      </c>
      <c r="K8" s="768">
        <f>SUM('25'!D35:'25'!D45)</f>
        <v>534</v>
      </c>
      <c r="L8" s="768">
        <f>SUM('25'!E35:'25'!E45)</f>
        <v>481</v>
      </c>
      <c r="M8" s="768">
        <f>SUM('25'!F35:'25'!F45)</f>
        <v>416</v>
      </c>
      <c r="N8" s="768">
        <f>SUM('25'!G35:'25'!G45)</f>
        <v>297</v>
      </c>
      <c r="O8" s="768">
        <f>SUM('25'!H35:'25'!H45)</f>
        <v>252</v>
      </c>
      <c r="P8" s="768">
        <f>SUM('25'!I35:'25'!I45)</f>
        <v>231</v>
      </c>
      <c r="Q8" s="768">
        <f>SUM('25'!J35:'25'!J45)</f>
        <v>279</v>
      </c>
      <c r="R8" s="768">
        <f>SUM('25'!K35:'25'!K45)</f>
        <v>276</v>
      </c>
      <c r="S8" s="768">
        <f>SUM('25'!L35:'25'!L45)</f>
        <v>315</v>
      </c>
      <c r="T8" s="768">
        <f>SUM('25'!M35:'25'!M45)</f>
        <v>367</v>
      </c>
      <c r="U8" s="768">
        <f>SUM('25'!N35:'25'!N45)</f>
        <v>399</v>
      </c>
      <c r="V8" s="768">
        <f>SUM('25'!O35:'25'!O45)</f>
        <v>406</v>
      </c>
      <c r="W8" s="768">
        <f>SUM('25'!P35:'25'!P45)</f>
        <v>458</v>
      </c>
      <c r="X8" s="768">
        <f>SUM('25'!Q35:'25'!Q45)</f>
        <v>504</v>
      </c>
      <c r="Y8" s="768">
        <f>SUM('25'!R35:'25'!R45)</f>
        <v>686</v>
      </c>
      <c r="Z8" s="768">
        <f>SUM('25'!S35:'25'!S45)</f>
        <v>849</v>
      </c>
      <c r="AA8" s="768">
        <f>SUM('25'!T35:'25'!T45)</f>
        <v>889</v>
      </c>
      <c r="AB8" s="768">
        <f>SUM('25'!U35:'25'!U45)</f>
        <v>903</v>
      </c>
      <c r="AC8" s="768">
        <f>SUM('25'!V35:'25'!V45)</f>
        <v>807</v>
      </c>
      <c r="AD8" s="768">
        <f>SUM('25'!W35:'25'!W45)</f>
        <v>781</v>
      </c>
      <c r="AE8" s="768">
        <f>SUM('25'!X35:'25'!X45)</f>
        <v>736</v>
      </c>
      <c r="AF8" s="768">
        <f>SUM('25'!Y35:'25'!Y45)</f>
        <v>710</v>
      </c>
    </row>
    <row r="9" spans="1:50" x14ac:dyDescent="0.2">
      <c r="I9">
        <f>I8/SUM('24'!B20:B30)*1000</f>
        <v>261.23477530449389</v>
      </c>
      <c r="J9">
        <f>J8/SUM('24'!C20:C30)*1000</f>
        <v>253.90810042633822</v>
      </c>
      <c r="K9">
        <f>K8/SUM('24'!D20:D30)*1000</f>
        <v>302.89279636982417</v>
      </c>
      <c r="L9">
        <f>L8/SUM('24'!E20:E30)*1000</f>
        <v>337.07077785564121</v>
      </c>
      <c r="M9">
        <f>M8/SUM('24'!F20:F30)*1000</f>
        <v>334.13654618473896</v>
      </c>
      <c r="N9">
        <f>N8/SUM('24'!G20:G30)*1000</f>
        <v>292.89940828402365</v>
      </c>
      <c r="O9">
        <f>O8/SUM('24'!H20:H30)*1000</f>
        <v>265.26315789473688</v>
      </c>
      <c r="P9">
        <f>P8/SUM('24'!I20:I30)*1000</f>
        <v>205.88235294117646</v>
      </c>
      <c r="Q9">
        <f>Q8/SUM('24'!J20:J30)*1000</f>
        <v>204.69552457813649</v>
      </c>
      <c r="R9">
        <f>R8/SUM('24'!K20:K30)*1000</f>
        <v>156.90733371233657</v>
      </c>
      <c r="S9">
        <f>S8/SUM('24'!L20:L30)*1000</f>
        <v>150.78985160363811</v>
      </c>
      <c r="T9">
        <f>T8/SUM('24'!M20:M30)*1000</f>
        <v>144.31773495871019</v>
      </c>
      <c r="U9">
        <f>U8/SUM('24'!N20:N30)*1000</f>
        <v>137.39669421487602</v>
      </c>
      <c r="V9">
        <f>V8/SUM('24'!O20:O30)*1000</f>
        <v>128.92981899015561</v>
      </c>
      <c r="W9">
        <f>W8/SUM('24'!P20:P30)*1000</f>
        <v>142.10363015823765</v>
      </c>
      <c r="X9">
        <f>X8/SUM('24'!Q20:Q30)*1000</f>
        <v>144.95254529767041</v>
      </c>
      <c r="Y9">
        <f>Y8/SUM('24'!R20:R30)*1000</f>
        <v>157.7736890524379</v>
      </c>
      <c r="Z9">
        <f>Z8/SUM('24'!S20:S30)*1000</f>
        <v>159.04833270887971</v>
      </c>
      <c r="AA9">
        <f>AA8/SUM('24'!T20:T30)*1000</f>
        <v>175.622283682339</v>
      </c>
      <c r="AB9">
        <f>AB8/SUM('24'!U20:U30)*1000</f>
        <v>191.96428571428572</v>
      </c>
      <c r="AC9">
        <f>AC8/SUM('24'!V20:V30)*1000</f>
        <v>195.7312636429784</v>
      </c>
      <c r="AD9">
        <f>AD8/SUM('24'!W20:W30)*1000</f>
        <v>213.15502183406113</v>
      </c>
      <c r="AE9">
        <f>AE8/SUM('24'!X20:X30)*1000</f>
        <v>229.64118564742589</v>
      </c>
      <c r="AF9">
        <f>AF8/SUM('24'!Y20:Y30)*1000</f>
        <v>260.7418288652222</v>
      </c>
    </row>
  </sheetData>
  <sheetProtection algorithmName="SHA-512" hashValue="gHhm3kMUPkoPyI3DlJKujkDZnzaYDHJT5GdUSSljD1ah12wcZtE32xToqwgua1LTyHJpNF7smGcupzoA2nFYkQ==" saltValue="WAPKVVtE+QwXXYtVWDmjZw==" spinCount="100000" sheet="1" objects="1" scenarios="1"/>
  <pageMargins left="0.7" right="0.7" top="0.75" bottom="0.75" header="0.3" footer="0.3"/>
  <pageSetup paperSize="9" scale="91" fitToHeight="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49">
    <tabColor theme="6"/>
    <pageSetUpPr fitToPage="1"/>
  </sheetPr>
  <dimension ref="A1:K74"/>
  <sheetViews>
    <sheetView showGridLines="0" workbookViewId="0">
      <selection sqref="A1:G1"/>
    </sheetView>
  </sheetViews>
  <sheetFormatPr defaultRowHeight="12.75" x14ac:dyDescent="0.2"/>
  <cols>
    <col min="1" max="1" width="30" customWidth="1"/>
    <col min="2" max="2" width="27.140625" customWidth="1"/>
    <col min="4" max="4" width="14.42578125" customWidth="1"/>
    <col min="5" max="5" width="12.28515625" customWidth="1"/>
  </cols>
  <sheetData>
    <row r="1" spans="1:11" ht="38.25" customHeight="1" x14ac:dyDescent="0.2">
      <c r="A1" s="1698" t="s">
        <v>1039</v>
      </c>
      <c r="B1" s="1698"/>
      <c r="C1" s="1698"/>
      <c r="D1" s="1698"/>
      <c r="E1" s="1698"/>
      <c r="F1" s="1698"/>
      <c r="G1" s="1698"/>
    </row>
    <row r="2" spans="1:11" ht="30.75" customHeight="1" x14ac:dyDescent="0.25">
      <c r="A2" s="87"/>
      <c r="D2" s="1570" t="s">
        <v>53</v>
      </c>
    </row>
    <row r="3" spans="1:11" ht="25.5" customHeight="1" x14ac:dyDescent="0.25">
      <c r="A3" s="787" t="s">
        <v>22</v>
      </c>
      <c r="B3" s="1282" t="s">
        <v>155</v>
      </c>
      <c r="D3" s="1576" t="s">
        <v>4</v>
      </c>
      <c r="E3" s="1576" t="s">
        <v>1040</v>
      </c>
      <c r="F3" s="1576" t="s">
        <v>180</v>
      </c>
      <c r="G3" s="1056" t="s">
        <v>181</v>
      </c>
      <c r="H3" s="1576" t="s">
        <v>200</v>
      </c>
      <c r="I3" s="1576" t="s">
        <v>201</v>
      </c>
      <c r="J3" s="1576" t="s">
        <v>202</v>
      </c>
      <c r="K3" s="1576" t="s">
        <v>203</v>
      </c>
    </row>
    <row r="4" spans="1:11" ht="18.75" customHeight="1" x14ac:dyDescent="0.2">
      <c r="A4" s="462" t="s">
        <v>23</v>
      </c>
      <c r="B4" s="861">
        <f>T_ref!B5</f>
        <v>228800</v>
      </c>
      <c r="D4" s="1575" t="s">
        <v>392</v>
      </c>
      <c r="E4" s="1579">
        <f>Tref!B16</f>
        <v>5170000</v>
      </c>
      <c r="F4" s="1579">
        <f>Tref!C16</f>
        <v>2673441</v>
      </c>
      <c r="G4" s="1579">
        <f>Tref!D16</f>
        <v>2496559</v>
      </c>
      <c r="H4" s="1579">
        <f>Tref!C31</f>
        <v>988575</v>
      </c>
      <c r="I4" s="1579">
        <f>Tref!D31</f>
        <v>867055</v>
      </c>
      <c r="J4" s="1579">
        <f>Tref!E31</f>
        <v>2165600</v>
      </c>
      <c r="K4" s="1580">
        <f>Tref!F31</f>
        <v>1148770</v>
      </c>
    </row>
    <row r="5" spans="1:11" x14ac:dyDescent="0.2">
      <c r="A5" s="461" t="s">
        <v>24</v>
      </c>
      <c r="B5" s="1591">
        <f>T_ref!B6</f>
        <v>261800</v>
      </c>
      <c r="D5" s="1572" t="s">
        <v>391</v>
      </c>
      <c r="E5" s="1578">
        <f>Tref!B17</f>
        <v>5202900</v>
      </c>
      <c r="F5" s="1578">
        <f>Tref!C17</f>
        <v>2687602</v>
      </c>
      <c r="G5" s="1578">
        <f>Tref!D17</f>
        <v>2515298</v>
      </c>
      <c r="H5" s="1578">
        <f>Tref!C32</f>
        <v>987067</v>
      </c>
      <c r="I5" s="1578">
        <f>Tref!D32</f>
        <v>883307</v>
      </c>
      <c r="J5" s="1578">
        <f>Tref!E32</f>
        <v>2159794</v>
      </c>
      <c r="K5" s="1581">
        <f>Tref!F32</f>
        <v>1172732</v>
      </c>
    </row>
    <row r="6" spans="1:11" x14ac:dyDescent="0.2">
      <c r="A6" s="462" t="s">
        <v>25</v>
      </c>
      <c r="B6" s="865">
        <f>T_ref!B7</f>
        <v>116280</v>
      </c>
      <c r="D6" s="1571" t="s">
        <v>390</v>
      </c>
      <c r="E6" s="1577">
        <f>Tref!B18</f>
        <v>5231900</v>
      </c>
      <c r="F6" s="1577">
        <f>Tref!C18</f>
        <v>2699931</v>
      </c>
      <c r="G6" s="1577">
        <f>Tref!D18</f>
        <v>2531969</v>
      </c>
      <c r="H6" s="1577">
        <f>Tref!C33</f>
        <v>984309</v>
      </c>
      <c r="I6" s="1577">
        <f>Tref!D33</f>
        <v>893916</v>
      </c>
      <c r="J6" s="1577">
        <f>Tref!E33</f>
        <v>2159788</v>
      </c>
      <c r="K6" s="1582">
        <f>Tref!F33</f>
        <v>1193887</v>
      </c>
    </row>
    <row r="7" spans="1:11" x14ac:dyDescent="0.2">
      <c r="A7" s="461" t="s">
        <v>26</v>
      </c>
      <c r="B7" s="1591">
        <f>T_ref!B8</f>
        <v>86810</v>
      </c>
      <c r="D7" s="1572" t="s">
        <v>389</v>
      </c>
      <c r="E7" s="1578">
        <f>Tref!B19</f>
        <v>5262200</v>
      </c>
      <c r="F7" s="1578">
        <f>Tref!C19</f>
        <v>2713982</v>
      </c>
      <c r="G7" s="1578">
        <f>Tref!D19</f>
        <v>2548218</v>
      </c>
      <c r="H7" s="1578">
        <f>Tref!C34</f>
        <v>981096</v>
      </c>
      <c r="I7" s="1578">
        <f>Tref!D34</f>
        <v>903573</v>
      </c>
      <c r="J7" s="1578">
        <f>Tref!E34</f>
        <v>2163995</v>
      </c>
      <c r="K7" s="1581">
        <f>Tref!F34</f>
        <v>1213536</v>
      </c>
    </row>
    <row r="8" spans="1:11" x14ac:dyDescent="0.2">
      <c r="A8" s="462" t="s">
        <v>27</v>
      </c>
      <c r="B8" s="865">
        <f>T_ref!B9</f>
        <v>51450</v>
      </c>
      <c r="D8" s="1571" t="s">
        <v>388</v>
      </c>
      <c r="E8" s="1577">
        <f>Tref!B20</f>
        <v>5299900</v>
      </c>
      <c r="F8" s="1577">
        <f>Tref!C20</f>
        <v>2729600</v>
      </c>
      <c r="G8" s="1577">
        <f>Tref!D20</f>
        <v>2570300</v>
      </c>
      <c r="H8" s="1577">
        <f>Tref!C35</f>
        <v>978075</v>
      </c>
      <c r="I8" s="1577">
        <f>Tref!D35</f>
        <v>915437</v>
      </c>
      <c r="J8" s="1577">
        <f>Tref!E35</f>
        <v>2173561</v>
      </c>
      <c r="K8" s="1582">
        <f>Tref!F35</f>
        <v>1232827</v>
      </c>
    </row>
    <row r="9" spans="1:11" x14ac:dyDescent="0.2">
      <c r="A9" s="461" t="s">
        <v>28</v>
      </c>
      <c r="B9" s="1591">
        <f>T_ref!B10</f>
        <v>149200</v>
      </c>
      <c r="D9" s="1572" t="s">
        <v>387</v>
      </c>
      <c r="E9" s="1578">
        <f>Tref!B21</f>
        <v>5313600</v>
      </c>
      <c r="F9" s="1578">
        <f>Tref!C21</f>
        <v>2736310</v>
      </c>
      <c r="G9" s="1578">
        <f>Tref!D21</f>
        <v>2577290</v>
      </c>
      <c r="H9" s="1578">
        <f>Tref!C36</f>
        <v>976055</v>
      </c>
      <c r="I9" s="1578">
        <f>Tref!D36</f>
        <v>914515</v>
      </c>
      <c r="J9" s="1578">
        <f>Tref!E36</f>
        <v>2174666</v>
      </c>
      <c r="K9" s="1581">
        <f>Tref!F36</f>
        <v>1248364</v>
      </c>
    </row>
    <row r="10" spans="1:11" x14ac:dyDescent="0.2">
      <c r="A10" s="462" t="s">
        <v>29</v>
      </c>
      <c r="B10" s="865">
        <f>T_ref!B11</f>
        <v>148710</v>
      </c>
      <c r="D10" s="1571" t="s">
        <v>386</v>
      </c>
      <c r="E10" s="1577">
        <f>Tref!B22</f>
        <v>5327700</v>
      </c>
      <c r="F10" s="1577">
        <f>Tref!C22</f>
        <v>2741020</v>
      </c>
      <c r="G10" s="1577">
        <f>Tref!D22</f>
        <v>2586680</v>
      </c>
      <c r="H10" s="1577">
        <f>Tref!C37</f>
        <v>973340</v>
      </c>
      <c r="I10" s="1577">
        <f>Tref!D37</f>
        <v>914383</v>
      </c>
      <c r="J10" s="1577">
        <f>Tref!E37</f>
        <v>2175770</v>
      </c>
      <c r="K10" s="1582">
        <f>Tref!F37</f>
        <v>1264207</v>
      </c>
    </row>
    <row r="11" spans="1:11" x14ac:dyDescent="0.2">
      <c r="A11" s="461" t="s">
        <v>30</v>
      </c>
      <c r="B11" s="1591">
        <f>T_ref!B12</f>
        <v>121940</v>
      </c>
      <c r="D11" s="1572" t="s">
        <v>385</v>
      </c>
      <c r="E11" s="1578">
        <f>Tref!B23</f>
        <v>5347600</v>
      </c>
      <c r="F11" s="1578">
        <f>Tref!C23</f>
        <v>2751070</v>
      </c>
      <c r="G11" s="1578">
        <f>Tref!D23</f>
        <v>2596530</v>
      </c>
      <c r="H11" s="1578">
        <f>Tref!C38</f>
        <v>970875</v>
      </c>
      <c r="I11" s="1578">
        <f>Tref!D38</f>
        <v>915972</v>
      </c>
      <c r="J11" s="1578">
        <f>Tref!E38</f>
        <v>2176493</v>
      </c>
      <c r="K11" s="1581">
        <f>Tref!F38</f>
        <v>1284260</v>
      </c>
    </row>
    <row r="12" spans="1:11" x14ac:dyDescent="0.2">
      <c r="A12" s="462" t="s">
        <v>31</v>
      </c>
      <c r="B12" s="865">
        <f>T_ref!B13</f>
        <v>108130</v>
      </c>
      <c r="D12" s="1571" t="s">
        <v>384</v>
      </c>
      <c r="E12" s="1577">
        <f>Tref!B24</f>
        <v>5373000</v>
      </c>
      <c r="F12" s="1577">
        <f>Tref!C24</f>
        <v>2762531</v>
      </c>
      <c r="G12" s="1577">
        <f>Tref!D24</f>
        <v>2610469</v>
      </c>
      <c r="H12" s="1577">
        <f>Tref!C39</f>
        <v>971022</v>
      </c>
      <c r="I12" s="1577">
        <f>Tref!D39</f>
        <v>920189</v>
      </c>
      <c r="J12" s="1577">
        <f>Tref!E39</f>
        <v>2181793</v>
      </c>
      <c r="K12" s="1582">
        <f>Tref!F39</f>
        <v>1299996</v>
      </c>
    </row>
    <row r="13" spans="1:11" x14ac:dyDescent="0.2">
      <c r="A13" s="461" t="s">
        <v>32</v>
      </c>
      <c r="B13" s="1591">
        <f>T_ref!B14</f>
        <v>104840</v>
      </c>
      <c r="D13" s="1572" t="s">
        <v>931</v>
      </c>
      <c r="E13" s="1578">
        <f>Tref!B25</f>
        <v>5404700</v>
      </c>
      <c r="F13" s="1578">
        <f>Tref!C25</f>
        <v>2777197</v>
      </c>
      <c r="G13" s="1578">
        <f>Tref!D25</f>
        <v>2627503</v>
      </c>
      <c r="H13" s="1578">
        <f>Tref!C40</f>
        <v>972780</v>
      </c>
      <c r="I13" s="1578">
        <f>Tref!D40</f>
        <v>924449</v>
      </c>
      <c r="J13" s="1578">
        <f>Tref!E40</f>
        <v>2187067</v>
      </c>
      <c r="K13" s="1581">
        <f>Tref!F40</f>
        <v>1320404</v>
      </c>
    </row>
    <row r="14" spans="1:11" x14ac:dyDescent="0.2">
      <c r="A14" s="462" t="s">
        <v>33</v>
      </c>
      <c r="B14" s="865">
        <f>T_ref!B15</f>
        <v>94760</v>
      </c>
      <c r="D14" s="1573" t="s">
        <v>932</v>
      </c>
      <c r="E14" s="1583">
        <f>Tref!B26</f>
        <v>5424800</v>
      </c>
      <c r="F14" s="1583">
        <f>Tref!C26</f>
        <v>2784500</v>
      </c>
      <c r="G14" s="1583">
        <f>Tref!D26</f>
        <v>2640300</v>
      </c>
      <c r="H14" s="1583">
        <f>Tref!C41</f>
        <v>973036</v>
      </c>
      <c r="I14" s="1583">
        <f>Tref!D41</f>
        <v>920015</v>
      </c>
      <c r="J14" s="1583">
        <f>Tref!E41</f>
        <v>2190171</v>
      </c>
      <c r="K14" s="1584">
        <f>Tref!F41</f>
        <v>1341578</v>
      </c>
    </row>
    <row r="15" spans="1:11" x14ac:dyDescent="0.2">
      <c r="A15" s="461" t="s">
        <v>137</v>
      </c>
      <c r="B15" s="1591">
        <f>T_ref!B16</f>
        <v>513210</v>
      </c>
      <c r="D15" s="624"/>
    </row>
    <row r="16" spans="1:11" x14ac:dyDescent="0.2">
      <c r="A16" s="462" t="s">
        <v>34</v>
      </c>
      <c r="B16" s="865">
        <f>T_ref!B17</f>
        <v>160130</v>
      </c>
      <c r="D16" s="624"/>
    </row>
    <row r="17" spans="1:7" x14ac:dyDescent="0.2">
      <c r="A17" s="461" t="s">
        <v>35</v>
      </c>
      <c r="B17" s="1591">
        <f>T_ref!B18</f>
        <v>371410</v>
      </c>
      <c r="D17" s="624"/>
    </row>
    <row r="18" spans="1:7" x14ac:dyDescent="0.2">
      <c r="A18" s="462" t="s">
        <v>36</v>
      </c>
      <c r="B18" s="865">
        <f>T_ref!B19</f>
        <v>621020</v>
      </c>
      <c r="D18" s="624"/>
    </row>
    <row r="19" spans="1:7" ht="12.75" customHeight="1" x14ac:dyDescent="0.2">
      <c r="A19" s="461" t="s">
        <v>37</v>
      </c>
      <c r="B19" s="1591">
        <f>T_ref!B20</f>
        <v>235180</v>
      </c>
      <c r="D19" s="1574"/>
      <c r="E19" s="1055" t="s">
        <v>381</v>
      </c>
      <c r="F19" s="1056" t="s">
        <v>382</v>
      </c>
      <c r="G19" s="1056" t="s">
        <v>383</v>
      </c>
    </row>
    <row r="20" spans="1:7" x14ac:dyDescent="0.2">
      <c r="A20" s="462" t="s">
        <v>38</v>
      </c>
      <c r="B20" s="865">
        <f>T_ref!B21</f>
        <v>78760</v>
      </c>
      <c r="D20" s="1571" t="s">
        <v>392</v>
      </c>
      <c r="E20" s="1109">
        <f>'T10'!$K5</f>
        <v>51381100</v>
      </c>
      <c r="F20" s="1109">
        <f>'T10'!$K16</f>
        <v>3006300</v>
      </c>
      <c r="G20" s="1110">
        <f>Tref!B16</f>
        <v>5170000</v>
      </c>
    </row>
    <row r="21" spans="1:7" x14ac:dyDescent="0.2">
      <c r="A21" s="461" t="s">
        <v>39</v>
      </c>
      <c r="B21" s="1591">
        <f>T_ref!B22</f>
        <v>90090</v>
      </c>
      <c r="D21" s="1572" t="s">
        <v>391</v>
      </c>
      <c r="E21" s="1057">
        <f>'T10'!$K6</f>
        <v>51815900</v>
      </c>
      <c r="F21" s="1057">
        <f>'T10'!$K17</f>
        <v>3025900</v>
      </c>
      <c r="G21" s="1058">
        <f>Tref!B17</f>
        <v>5202900</v>
      </c>
    </row>
    <row r="22" spans="1:7" x14ac:dyDescent="0.2">
      <c r="A22" s="462" t="s">
        <v>40</v>
      </c>
      <c r="B22" s="865">
        <f>T_ref!B23</f>
        <v>95780</v>
      </c>
      <c r="D22" s="1571" t="s">
        <v>390</v>
      </c>
      <c r="E22" s="1109">
        <f>'T10'!$K7</f>
        <v>52196400</v>
      </c>
      <c r="F22" s="1109">
        <f>'T10'!$K18</f>
        <v>3038900</v>
      </c>
      <c r="G22" s="1110">
        <f>Tref!B18</f>
        <v>5231900</v>
      </c>
    </row>
    <row r="23" spans="1:7" x14ac:dyDescent="0.2">
      <c r="A23" s="461" t="s">
        <v>393</v>
      </c>
      <c r="B23" s="1591">
        <f>T_ref!B24</f>
        <v>26950</v>
      </c>
      <c r="D23" s="1572" t="s">
        <v>389</v>
      </c>
      <c r="E23" s="1057">
        <f>'T10'!$K8</f>
        <v>52642500</v>
      </c>
      <c r="F23" s="1057">
        <f>'T10'!$K19</f>
        <v>3050000</v>
      </c>
      <c r="G23" s="1058">
        <f>Tref!B19</f>
        <v>5262200</v>
      </c>
    </row>
    <row r="24" spans="1:7" x14ac:dyDescent="0.2">
      <c r="A24" s="462" t="s">
        <v>41</v>
      </c>
      <c r="B24" s="865">
        <f>T_ref!B25</f>
        <v>135790</v>
      </c>
      <c r="D24" s="1571" t="s">
        <v>388</v>
      </c>
      <c r="E24" s="1109">
        <f>'T10'!$K9</f>
        <v>53107200</v>
      </c>
      <c r="F24" s="1109">
        <f>'T10'!$K20</f>
        <v>3063800</v>
      </c>
      <c r="G24" s="1110">
        <f>Tref!B20</f>
        <v>5299900</v>
      </c>
    </row>
    <row r="25" spans="1:7" x14ac:dyDescent="0.2">
      <c r="A25" s="461" t="s">
        <v>42</v>
      </c>
      <c r="B25" s="1591">
        <f>T_ref!B26</f>
        <v>339960</v>
      </c>
      <c r="D25" s="1572" t="s">
        <v>387</v>
      </c>
      <c r="E25" s="1057">
        <f>'T10'!$K10</f>
        <v>53493700</v>
      </c>
      <c r="F25" s="1057">
        <f>'T10'!$K21</f>
        <v>3074100</v>
      </c>
      <c r="G25" s="1058">
        <f>Tref!B21</f>
        <v>5313600</v>
      </c>
    </row>
    <row r="26" spans="1:7" x14ac:dyDescent="0.2">
      <c r="A26" s="462" t="s">
        <v>43</v>
      </c>
      <c r="B26" s="865">
        <f>T_ref!B27</f>
        <v>22000</v>
      </c>
      <c r="D26" s="1571" t="s">
        <v>386</v>
      </c>
      <c r="E26" s="1109">
        <f>'T10'!$K11</f>
        <v>53865800</v>
      </c>
      <c r="F26" s="1109">
        <f>'T10'!$K22</f>
        <v>3082400</v>
      </c>
      <c r="G26" s="1110">
        <f>Tref!B22</f>
        <v>5327700</v>
      </c>
    </row>
    <row r="27" spans="1:7" x14ac:dyDescent="0.2">
      <c r="A27" s="461" t="s">
        <v>44</v>
      </c>
      <c r="B27" s="1591">
        <f>T_ref!B28</f>
        <v>151100</v>
      </c>
      <c r="D27" s="1572" t="s">
        <v>385</v>
      </c>
      <c r="E27" s="1057">
        <f>'T10'!$K12</f>
        <v>54316600</v>
      </c>
      <c r="F27" s="1057">
        <f>'T10'!$K23</f>
        <v>3092000</v>
      </c>
      <c r="G27" s="1058">
        <f>Tref!B23</f>
        <v>5347600</v>
      </c>
    </row>
    <row r="28" spans="1:7" x14ac:dyDescent="0.2">
      <c r="A28" s="462" t="s">
        <v>45</v>
      </c>
      <c r="B28" s="865">
        <f>T_ref!B29</f>
        <v>176830</v>
      </c>
      <c r="D28" s="1571" t="s">
        <v>384</v>
      </c>
      <c r="E28" s="1111">
        <f>'T10'!$K13</f>
        <v>54786300</v>
      </c>
      <c r="F28" s="1111">
        <f>'T10'!$K24</f>
        <v>3099100</v>
      </c>
      <c r="G28" s="1112">
        <f>Tref!B24</f>
        <v>5373000</v>
      </c>
    </row>
    <row r="29" spans="1:7" x14ac:dyDescent="0.2">
      <c r="A29" s="461" t="s">
        <v>46</v>
      </c>
      <c r="B29" s="1591">
        <f>T_ref!B30</f>
        <v>115020</v>
      </c>
      <c r="D29" s="1572" t="s">
        <v>931</v>
      </c>
      <c r="E29" s="1057">
        <f>'T10'!$K14</f>
        <v>55268100</v>
      </c>
      <c r="F29" s="1057">
        <f>'T10'!$K25</f>
        <v>3113200</v>
      </c>
      <c r="G29" s="1058">
        <f>Tref!B25</f>
        <v>5404700</v>
      </c>
    </row>
    <row r="30" spans="1:7" x14ac:dyDescent="0.2">
      <c r="A30" s="462" t="s">
        <v>47</v>
      </c>
      <c r="B30" s="865">
        <f>T_ref!B31</f>
        <v>23080</v>
      </c>
      <c r="D30" s="1573" t="s">
        <v>932</v>
      </c>
      <c r="E30" s="1511">
        <f>'T10'!$K15</f>
        <v>55619400</v>
      </c>
      <c r="F30" s="1511">
        <f>'T10'!$K26</f>
        <v>3125200</v>
      </c>
      <c r="G30" s="1512">
        <f>Tref!B26</f>
        <v>5424800</v>
      </c>
    </row>
    <row r="31" spans="1:7" x14ac:dyDescent="0.2">
      <c r="A31" s="461" t="s">
        <v>48</v>
      </c>
      <c r="B31" s="1591">
        <f>T_ref!B32</f>
        <v>112680</v>
      </c>
    </row>
    <row r="32" spans="1:7" x14ac:dyDescent="0.2">
      <c r="A32" s="462" t="s">
        <v>49</v>
      </c>
      <c r="B32" s="865">
        <f>T_ref!B33</f>
        <v>318170</v>
      </c>
    </row>
    <row r="33" spans="1:3" x14ac:dyDescent="0.2">
      <c r="A33" s="461" t="s">
        <v>50</v>
      </c>
      <c r="B33" s="1591">
        <f>T_ref!B34</f>
        <v>94000</v>
      </c>
    </row>
    <row r="34" spans="1:3" x14ac:dyDescent="0.2">
      <c r="A34" s="462" t="s">
        <v>51</v>
      </c>
      <c r="B34" s="865">
        <f>T_ref!B35</f>
        <v>89610</v>
      </c>
    </row>
    <row r="35" spans="1:3" x14ac:dyDescent="0.2">
      <c r="A35" s="461" t="s">
        <v>52</v>
      </c>
      <c r="B35" s="1591">
        <f>T_ref!B36</f>
        <v>181310</v>
      </c>
    </row>
    <row r="36" spans="1:3" x14ac:dyDescent="0.2">
      <c r="A36" s="463"/>
      <c r="B36" s="788"/>
    </row>
    <row r="37" spans="1:3" ht="30" customHeight="1" x14ac:dyDescent="0.2">
      <c r="A37" s="464" t="s">
        <v>159</v>
      </c>
      <c r="B37" s="219">
        <f>SUM(B4:B36)</f>
        <v>5424800</v>
      </c>
    </row>
    <row r="38" spans="1:3" ht="13.5" customHeight="1" x14ac:dyDescent="0.2">
      <c r="A38" s="465"/>
      <c r="B38" s="113"/>
    </row>
    <row r="39" spans="1:3" x14ac:dyDescent="0.2">
      <c r="A39" s="51" t="s">
        <v>136</v>
      </c>
    </row>
    <row r="43" spans="1:3" x14ac:dyDescent="0.2">
      <c r="A43" s="1124"/>
      <c r="B43" s="1124"/>
      <c r="C43" s="1124"/>
    </row>
    <row r="44" spans="1:3" x14ac:dyDescent="0.2">
      <c r="A44" s="1124"/>
      <c r="B44" s="1124"/>
      <c r="C44" s="1124"/>
    </row>
    <row r="45" spans="1:3" x14ac:dyDescent="0.2">
      <c r="A45" s="1124"/>
      <c r="B45" s="1124"/>
      <c r="C45" s="1124"/>
    </row>
    <row r="46" spans="1:3" x14ac:dyDescent="0.2">
      <c r="A46" s="1124"/>
      <c r="B46" s="1124"/>
      <c r="C46" s="1124"/>
    </row>
    <row r="47" spans="1:3" x14ac:dyDescent="0.2">
      <c r="A47" s="1124"/>
      <c r="B47" s="1124"/>
      <c r="C47" s="1124"/>
    </row>
    <row r="48" spans="1:3" x14ac:dyDescent="0.2">
      <c r="A48" s="1124"/>
      <c r="B48" s="1124"/>
      <c r="C48" s="1124"/>
    </row>
    <row r="49" spans="1:3" x14ac:dyDescent="0.2">
      <c r="A49" s="1124"/>
      <c r="B49" s="1124"/>
      <c r="C49" s="1124"/>
    </row>
    <row r="50" spans="1:3" x14ac:dyDescent="0.2">
      <c r="A50" s="1124"/>
      <c r="B50" s="1124"/>
      <c r="C50" s="1124"/>
    </row>
    <row r="51" spans="1:3" x14ac:dyDescent="0.2">
      <c r="A51" s="1124"/>
      <c r="B51" s="1124"/>
      <c r="C51" s="1124"/>
    </row>
    <row r="52" spans="1:3" x14ac:dyDescent="0.2">
      <c r="A52" s="1124"/>
      <c r="B52" s="1124"/>
      <c r="C52" s="1124"/>
    </row>
    <row r="53" spans="1:3" x14ac:dyDescent="0.2">
      <c r="A53" s="1124"/>
      <c r="B53" s="1124"/>
      <c r="C53" s="1124"/>
    </row>
    <row r="54" spans="1:3" x14ac:dyDescent="0.2">
      <c r="A54" s="1124"/>
      <c r="B54" s="1124"/>
      <c r="C54" s="1124"/>
    </row>
    <row r="55" spans="1:3" x14ac:dyDescent="0.2">
      <c r="A55" s="1124"/>
      <c r="B55" s="1124"/>
      <c r="C55" s="1124"/>
    </row>
    <row r="56" spans="1:3" x14ac:dyDescent="0.2">
      <c r="A56" s="1124"/>
      <c r="B56" s="1124"/>
      <c r="C56" s="1124"/>
    </row>
    <row r="57" spans="1:3" x14ac:dyDescent="0.2">
      <c r="A57" s="1124"/>
      <c r="B57" s="1124"/>
      <c r="C57" s="1124"/>
    </row>
    <row r="58" spans="1:3" x14ac:dyDescent="0.2">
      <c r="A58" s="1124"/>
      <c r="B58" s="1124"/>
      <c r="C58" s="1124"/>
    </row>
    <row r="59" spans="1:3" x14ac:dyDescent="0.2">
      <c r="A59" s="1124"/>
      <c r="B59" s="1124"/>
      <c r="C59" s="1124"/>
    </row>
    <row r="60" spans="1:3" x14ac:dyDescent="0.2">
      <c r="A60" s="1124"/>
      <c r="B60" s="1124"/>
      <c r="C60" s="1124"/>
    </row>
    <row r="61" spans="1:3" x14ac:dyDescent="0.2">
      <c r="A61" s="1124"/>
      <c r="B61" s="1124"/>
      <c r="C61" s="1124"/>
    </row>
    <row r="62" spans="1:3" x14ac:dyDescent="0.2">
      <c r="A62" s="1124"/>
      <c r="B62" s="1124"/>
      <c r="C62" s="1124"/>
    </row>
    <row r="63" spans="1:3" x14ac:dyDescent="0.2">
      <c r="A63" s="1124"/>
      <c r="B63" s="1124"/>
      <c r="C63" s="1124"/>
    </row>
    <row r="64" spans="1:3" x14ac:dyDescent="0.2">
      <c r="A64" s="1124"/>
      <c r="B64" s="1124"/>
      <c r="C64" s="1124"/>
    </row>
    <row r="65" spans="1:3" x14ac:dyDescent="0.2">
      <c r="A65" s="1124"/>
      <c r="B65" s="1124"/>
      <c r="C65" s="1124"/>
    </row>
    <row r="66" spans="1:3" x14ac:dyDescent="0.2">
      <c r="A66" s="1124"/>
      <c r="B66" s="1124"/>
      <c r="C66" s="1124"/>
    </row>
    <row r="67" spans="1:3" x14ac:dyDescent="0.2">
      <c r="A67" s="1124"/>
      <c r="B67" s="1124"/>
      <c r="C67" s="1124"/>
    </row>
    <row r="68" spans="1:3" x14ac:dyDescent="0.2">
      <c r="A68" s="1124"/>
      <c r="B68" s="1124"/>
      <c r="C68" s="1124"/>
    </row>
    <row r="69" spans="1:3" x14ac:dyDescent="0.2">
      <c r="A69" s="1124"/>
      <c r="B69" s="1124"/>
      <c r="C69" s="1124"/>
    </row>
    <row r="70" spans="1:3" x14ac:dyDescent="0.2">
      <c r="A70" s="1124"/>
      <c r="B70" s="1124"/>
      <c r="C70" s="1124"/>
    </row>
    <row r="71" spans="1:3" x14ac:dyDescent="0.2">
      <c r="A71" s="1124"/>
      <c r="B71" s="1124"/>
      <c r="C71" s="1124"/>
    </row>
    <row r="72" spans="1:3" x14ac:dyDescent="0.2">
      <c r="A72" s="1124"/>
      <c r="B72" s="1124"/>
      <c r="C72" s="1124"/>
    </row>
    <row r="73" spans="1:3" x14ac:dyDescent="0.2">
      <c r="A73" s="1124"/>
      <c r="B73" s="1124"/>
      <c r="C73" s="1124"/>
    </row>
    <row r="74" spans="1:3" x14ac:dyDescent="0.2">
      <c r="A74" s="1124"/>
      <c r="B74" s="1124"/>
      <c r="C74" s="1124"/>
    </row>
  </sheetData>
  <sheetProtection algorithmName="SHA-512" hashValue="Dc1mkM2g46GpNYxdITybywUvIYRJ2v7Cs7UbJ0wp0r1bQmHgtZ9PUtNyBBHiGNf6l1aWvn8oD4SLr+AFhkYWOw==" saltValue="lQc4i1OM+A6tw1+OrwmnFQ==" spinCount="100000" sheet="1" objects="1" scenarios="1"/>
  <sortState xmlns:xlrd2="http://schemas.microsoft.com/office/spreadsheetml/2017/richdata2" ref="A44:C75">
    <sortCondition ref="A44"/>
  </sortState>
  <mergeCells count="1">
    <mergeCell ref="A1:G1"/>
  </mergeCells>
  <hyperlinks>
    <hyperlink ref="A39" location="Contents!A1" display="Return to contents " xr:uid="{00000000-0004-0000-6400-000000000000}"/>
    <hyperlink ref="A3" location="Index" display="Back to Index" xr:uid="{00000000-0004-0000-6400-000001000000}"/>
  </hyperlinks>
  <printOptions horizontalCentered="1"/>
  <pageMargins left="0.70866141732283472" right="0.70866141732283472" top="0.74803149606299213" bottom="0.74803149606299213" header="0.31496062992125984" footer="0.31496062992125984"/>
  <pageSetup paperSize="9" scale="85" orientation="landscape"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0">
    <tabColor theme="6"/>
    <pageSetUpPr fitToPage="1"/>
  </sheetPr>
  <dimension ref="A1:C40"/>
  <sheetViews>
    <sheetView showGridLines="0" workbookViewId="0">
      <selection sqref="A1:B1"/>
    </sheetView>
  </sheetViews>
  <sheetFormatPr defaultRowHeight="12.75" x14ac:dyDescent="0.2"/>
  <cols>
    <col min="1" max="1" width="30" style="71" customWidth="1"/>
    <col min="2" max="2" width="22.42578125" style="71" bestFit="1" customWidth="1"/>
    <col min="3" max="16384" width="9.140625" style="71"/>
  </cols>
  <sheetData>
    <row r="1" spans="1:3" s="142" customFormat="1" ht="38.25" customHeight="1" x14ac:dyDescent="0.2">
      <c r="A1" s="1767" t="s">
        <v>874</v>
      </c>
      <c r="B1" s="1767"/>
    </row>
    <row r="2" spans="1:3" x14ac:dyDescent="0.2">
      <c r="A2" s="135"/>
    </row>
    <row r="3" spans="1:3" ht="15" customHeight="1" x14ac:dyDescent="0.25">
      <c r="A3" s="853" t="s">
        <v>22</v>
      </c>
      <c r="B3" s="1281" t="s">
        <v>367</v>
      </c>
    </row>
    <row r="4" spans="1:3" ht="18.75" customHeight="1" x14ac:dyDescent="0.2">
      <c r="A4" s="187" t="s">
        <v>23</v>
      </c>
      <c r="B4" s="674">
        <f>T_ref!B45</f>
        <v>116821</v>
      </c>
      <c r="C4"/>
    </row>
    <row r="5" spans="1:3" x14ac:dyDescent="0.2">
      <c r="A5" s="15" t="s">
        <v>24</v>
      </c>
      <c r="B5" s="675">
        <f>T_ref!B46</f>
        <v>117363</v>
      </c>
      <c r="C5"/>
    </row>
    <row r="6" spans="1:3" x14ac:dyDescent="0.2">
      <c r="A6" s="187" t="s">
        <v>25</v>
      </c>
      <c r="B6" s="674">
        <f>T_ref!B47</f>
        <v>56135</v>
      </c>
      <c r="C6"/>
    </row>
    <row r="7" spans="1:3" x14ac:dyDescent="0.2">
      <c r="A7" s="15" t="s">
        <v>26</v>
      </c>
      <c r="B7" s="675">
        <f>T_ref!B48</f>
        <v>47884</v>
      </c>
      <c r="C7"/>
    </row>
    <row r="8" spans="1:3" x14ac:dyDescent="0.2">
      <c r="A8" s="187" t="s">
        <v>27</v>
      </c>
      <c r="B8" s="674">
        <f>T_ref!B49</f>
        <v>24377</v>
      </c>
      <c r="C8"/>
    </row>
    <row r="9" spans="1:3" x14ac:dyDescent="0.2">
      <c r="A9" s="15" t="s">
        <v>28</v>
      </c>
      <c r="B9" s="675">
        <f>T_ref!B50</f>
        <v>74687</v>
      </c>
      <c r="C9"/>
    </row>
    <row r="10" spans="1:3" x14ac:dyDescent="0.2">
      <c r="A10" s="187" t="s">
        <v>29</v>
      </c>
      <c r="B10" s="674">
        <f>T_ref!B51</f>
        <v>74354</v>
      </c>
      <c r="C10"/>
    </row>
    <row r="11" spans="1:3" x14ac:dyDescent="0.2">
      <c r="A11" s="15" t="s">
        <v>30</v>
      </c>
      <c r="B11" s="675">
        <f>T_ref!B52</f>
        <v>58158</v>
      </c>
      <c r="C11"/>
    </row>
    <row r="12" spans="1:3" x14ac:dyDescent="0.2">
      <c r="A12" s="187" t="s">
        <v>31</v>
      </c>
      <c r="B12" s="674">
        <f>T_ref!B53</f>
        <v>46430</v>
      </c>
      <c r="C12"/>
    </row>
    <row r="13" spans="1:3" x14ac:dyDescent="0.2">
      <c r="A13" s="15" t="s">
        <v>32</v>
      </c>
      <c r="B13" s="675">
        <f>T_ref!B54</f>
        <v>47407</v>
      </c>
      <c r="C13"/>
    </row>
    <row r="14" spans="1:3" x14ac:dyDescent="0.2">
      <c r="A14" s="187" t="s">
        <v>33</v>
      </c>
      <c r="B14" s="674">
        <f>T_ref!B55</f>
        <v>38677</v>
      </c>
      <c r="C14"/>
    </row>
    <row r="15" spans="1:3" x14ac:dyDescent="0.2">
      <c r="A15" s="15" t="s">
        <v>137</v>
      </c>
      <c r="B15" s="675">
        <f>T_ref!B56</f>
        <v>246818</v>
      </c>
      <c r="C15"/>
    </row>
    <row r="16" spans="1:3" x14ac:dyDescent="0.2">
      <c r="A16" s="187" t="s">
        <v>34</v>
      </c>
      <c r="B16" s="674">
        <f>T_ref!B57</f>
        <v>74361</v>
      </c>
      <c r="C16"/>
    </row>
    <row r="17" spans="1:3" x14ac:dyDescent="0.2">
      <c r="A17" s="15" t="s">
        <v>35</v>
      </c>
      <c r="B17" s="675">
        <f>T_ref!B58</f>
        <v>175915</v>
      </c>
      <c r="C17"/>
    </row>
    <row r="18" spans="1:3" x14ac:dyDescent="0.2">
      <c r="A18" s="187" t="s">
        <v>36</v>
      </c>
      <c r="B18" s="674">
        <f>T_ref!B59</f>
        <v>308293</v>
      </c>
      <c r="C18"/>
    </row>
    <row r="19" spans="1:3" x14ac:dyDescent="0.2">
      <c r="A19" s="15" t="s">
        <v>37</v>
      </c>
      <c r="B19" s="675">
        <f>T_ref!B60</f>
        <v>117291</v>
      </c>
      <c r="C19"/>
    </row>
    <row r="20" spans="1:3" x14ac:dyDescent="0.2">
      <c r="A20" s="187" t="s">
        <v>38</v>
      </c>
      <c r="B20" s="674">
        <f>T_ref!B61</f>
        <v>38848</v>
      </c>
      <c r="C20"/>
    </row>
    <row r="21" spans="1:3" x14ac:dyDescent="0.2">
      <c r="A21" s="15" t="s">
        <v>39</v>
      </c>
      <c r="B21" s="675">
        <f>T_ref!B62</f>
        <v>39937</v>
      </c>
      <c r="C21"/>
    </row>
    <row r="22" spans="1:3" x14ac:dyDescent="0.2">
      <c r="A22" s="187" t="s">
        <v>40</v>
      </c>
      <c r="B22" s="674">
        <f>T_ref!B63</f>
        <v>44838</v>
      </c>
      <c r="C22"/>
    </row>
    <row r="23" spans="1:3" x14ac:dyDescent="0.2">
      <c r="A23" s="15" t="s">
        <v>393</v>
      </c>
      <c r="B23" s="675">
        <f>T_ref!B64</f>
        <v>14714</v>
      </c>
      <c r="C23"/>
    </row>
    <row r="24" spans="1:3" x14ac:dyDescent="0.2">
      <c r="A24" s="187" t="s">
        <v>41</v>
      </c>
      <c r="B24" s="674">
        <f>T_ref!B65</f>
        <v>67960</v>
      </c>
      <c r="C24"/>
    </row>
    <row r="25" spans="1:3" x14ac:dyDescent="0.2">
      <c r="A25" s="15" t="s">
        <v>42</v>
      </c>
      <c r="B25" s="675">
        <f>T_ref!B66</f>
        <v>154286</v>
      </c>
      <c r="C25"/>
    </row>
    <row r="26" spans="1:3" x14ac:dyDescent="0.2">
      <c r="A26" s="187" t="s">
        <v>43</v>
      </c>
      <c r="B26" s="674">
        <f>T_ref!B67</f>
        <v>11192</v>
      </c>
      <c r="C26"/>
    </row>
    <row r="27" spans="1:3" x14ac:dyDescent="0.2">
      <c r="A27" s="15" t="s">
        <v>44</v>
      </c>
      <c r="B27" s="675">
        <f>T_ref!B68</f>
        <v>71810</v>
      </c>
      <c r="C27"/>
    </row>
    <row r="28" spans="1:3" x14ac:dyDescent="0.2">
      <c r="A28" s="187" t="s">
        <v>45</v>
      </c>
      <c r="B28" s="674">
        <f>T_ref!B69</f>
        <v>86449</v>
      </c>
      <c r="C28"/>
    </row>
    <row r="29" spans="1:3" x14ac:dyDescent="0.2">
      <c r="A29" s="15" t="s">
        <v>46</v>
      </c>
      <c r="B29" s="675">
        <f>T_ref!B70</f>
        <v>58167</v>
      </c>
      <c r="C29"/>
    </row>
    <row r="30" spans="1:3" x14ac:dyDescent="0.2">
      <c r="A30" s="187" t="s">
        <v>47</v>
      </c>
      <c r="B30" s="674">
        <f>T_ref!B71</f>
        <v>11180</v>
      </c>
      <c r="C30"/>
    </row>
    <row r="31" spans="1:3" x14ac:dyDescent="0.2">
      <c r="A31" s="15" t="s">
        <v>48</v>
      </c>
      <c r="B31" s="675">
        <f>T_ref!B72</f>
        <v>55252</v>
      </c>
      <c r="C31"/>
    </row>
    <row r="32" spans="1:3" x14ac:dyDescent="0.2">
      <c r="A32" s="187" t="s">
        <v>49</v>
      </c>
      <c r="B32" s="674">
        <f>T_ref!B73</f>
        <v>149972</v>
      </c>
      <c r="C32"/>
    </row>
    <row r="33" spans="1:3" x14ac:dyDescent="0.2">
      <c r="A33" s="15" t="s">
        <v>50</v>
      </c>
      <c r="B33" s="675">
        <f>T_ref!B74</f>
        <v>41250</v>
      </c>
      <c r="C33"/>
    </row>
    <row r="34" spans="1:3" x14ac:dyDescent="0.2">
      <c r="A34" s="187" t="s">
        <v>51</v>
      </c>
      <c r="B34" s="674">
        <f>T_ref!B75</f>
        <v>45093</v>
      </c>
      <c r="C34"/>
    </row>
    <row r="35" spans="1:3" x14ac:dyDescent="0.2">
      <c r="A35" s="15" t="s">
        <v>52</v>
      </c>
      <c r="B35" s="675">
        <f>T_ref!B76</f>
        <v>79112</v>
      </c>
      <c r="C35"/>
    </row>
    <row r="36" spans="1:3" x14ac:dyDescent="0.2">
      <c r="A36" s="183"/>
      <c r="B36" s="672"/>
      <c r="C36"/>
    </row>
    <row r="37" spans="1:3" ht="30" customHeight="1" x14ac:dyDescent="0.2">
      <c r="A37" s="171" t="s">
        <v>159</v>
      </c>
      <c r="B37" s="673">
        <f>SUM(B4:B36)</f>
        <v>2595031</v>
      </c>
      <c r="C37"/>
    </row>
    <row r="38" spans="1:3" x14ac:dyDescent="0.2">
      <c r="A38" s="133"/>
      <c r="B38" s="133"/>
    </row>
    <row r="39" spans="1:3" x14ac:dyDescent="0.2">
      <c r="A39" s="51" t="s">
        <v>136</v>
      </c>
      <c r="B39" s="135"/>
    </row>
    <row r="40" spans="1:3" x14ac:dyDescent="0.2">
      <c r="A40" s="134"/>
      <c r="B40" s="134"/>
    </row>
  </sheetData>
  <sheetProtection algorithmName="SHA-512" hashValue="Bw0Mk6+yrX4sAsL5xc9IAE4sm3Ndu3r2q/VbxTeh/ht1tdM9GeRHVdFYZacIPsnnah3PdSdKwCzE0yn6Wte4Mw==" saltValue="131ZL0/5r9SekKfAL6nxXQ==" spinCount="100000" sheet="1" objects="1" scenarios="1"/>
  <mergeCells count="1">
    <mergeCell ref="A1:B1"/>
  </mergeCells>
  <hyperlinks>
    <hyperlink ref="A39" location="Contents!A1" display="Return to contents " xr:uid="{00000000-0004-0000-6500-000000000000}"/>
    <hyperlink ref="A3" location="Index" display="Back to Index" xr:uid="{00000000-0004-0000-6500-000001000000}"/>
  </hyperlinks>
  <printOptions horizontalCentered="1"/>
  <pageMargins left="0.70866141732283472" right="0.70866141732283472" top="0.74803149606299213" bottom="0.74803149606299213" header="0.31496062992125984" footer="0.31496062992125984"/>
  <pageSetup paperSize="9"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68"/>
  <dimension ref="A1:X13"/>
  <sheetViews>
    <sheetView workbookViewId="0">
      <selection activeCell="B2" sqref="B2"/>
    </sheetView>
  </sheetViews>
  <sheetFormatPr defaultRowHeight="15" x14ac:dyDescent="0.25"/>
  <cols>
    <col min="1" max="1" width="13.28515625" style="803" bestFit="1" customWidth="1"/>
    <col min="2" max="2" width="17.42578125" style="803" bestFit="1" customWidth="1"/>
    <col min="3" max="3" width="26.140625" style="803" customWidth="1"/>
    <col min="4" max="4" width="24.7109375" style="803" customWidth="1"/>
    <col min="5" max="5" width="18.7109375" style="803" customWidth="1"/>
    <col min="6" max="6" width="16.85546875" style="803" customWidth="1"/>
    <col min="7" max="8" width="18.42578125" style="803" customWidth="1"/>
    <col min="9" max="9" width="34.140625" style="803" customWidth="1"/>
    <col min="10" max="16" width="9.140625" style="803"/>
    <col min="25" max="16384" width="9.140625" style="803"/>
  </cols>
  <sheetData>
    <row r="1" spans="1:16" x14ac:dyDescent="0.25">
      <c r="A1" s="1254" t="s">
        <v>394</v>
      </c>
      <c r="B1" s="803" t="str">
        <f>'Long-Term Trend'!A25 &amp; " to " &amp; LEFT('Long-Term Trend'!A32, 7)</f>
        <v>2010-11 to 2017-18</v>
      </c>
    </row>
    <row r="2" spans="1:16" x14ac:dyDescent="0.25">
      <c r="A2" s="1254" t="s">
        <v>398</v>
      </c>
      <c r="B2" s="803" t="str">
        <f xml:space="preserve"> LEFT('Long-Term Trend'!A32, 7)</f>
        <v>2017-18</v>
      </c>
    </row>
    <row r="3" spans="1:16" x14ac:dyDescent="0.25">
      <c r="A3" s="386" t="s">
        <v>403</v>
      </c>
    </row>
    <row r="4" spans="1:16" x14ac:dyDescent="0.25">
      <c r="I4"/>
      <c r="J4"/>
      <c r="K4"/>
      <c r="L4"/>
      <c r="M4"/>
      <c r="N4"/>
      <c r="O4"/>
      <c r="P4"/>
    </row>
    <row r="5" spans="1:16" x14ac:dyDescent="0.25">
      <c r="B5" s="1254" t="s">
        <v>402</v>
      </c>
    </row>
    <row r="6" spans="1:16" x14ac:dyDescent="0.25">
      <c r="B6" s="803" t="str">
        <f>LEFT('Long-Term Trend'!A25, 7)</f>
        <v>2010-11</v>
      </c>
    </row>
    <row r="7" spans="1:16" x14ac:dyDescent="0.25">
      <c r="B7" s="803" t="str">
        <f>LEFT('Long-Term Trend'!A26, 7)</f>
        <v>2011-12</v>
      </c>
    </row>
    <row r="8" spans="1:16" x14ac:dyDescent="0.25">
      <c r="B8" s="803" t="str">
        <f>LEFT('Long-Term Trend'!A27, 7)</f>
        <v>2012-13</v>
      </c>
    </row>
    <row r="9" spans="1:16" x14ac:dyDescent="0.25">
      <c r="B9" s="803" t="str">
        <f>LEFT('Long-Term Trend'!A28, 7)</f>
        <v>2013-14</v>
      </c>
    </row>
    <row r="10" spans="1:16" x14ac:dyDescent="0.25">
      <c r="B10" s="803" t="str">
        <f>LEFT('Long-Term Trend'!A29, 7)</f>
        <v>2014-15</v>
      </c>
    </row>
    <row r="11" spans="1:16" x14ac:dyDescent="0.25">
      <c r="B11" s="803" t="str">
        <f>LEFT('Long-Term Trend'!A30, 7)</f>
        <v>2015-16</v>
      </c>
    </row>
    <row r="12" spans="1:16" x14ac:dyDescent="0.25">
      <c r="B12" s="803" t="str">
        <f>LEFT('Long-Term Trend'!A31, 7)</f>
        <v>2016-17</v>
      </c>
    </row>
    <row r="13" spans="1:16" x14ac:dyDescent="0.25">
      <c r="B13" s="803" t="str">
        <f>LEFT('Long-Term Trend'!A32, 7)</f>
        <v>2017-18</v>
      </c>
    </row>
  </sheetData>
  <hyperlinks>
    <hyperlink ref="A3" location="Index" display="Back to Index" xr:uid="{00000000-0004-0000-6600-000000000000}"/>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fitToPage="1"/>
  </sheetPr>
  <dimension ref="A1:J10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0.42578125" bestFit="1" customWidth="1"/>
    <col min="3" max="3" width="12.42578125" customWidth="1"/>
    <col min="4" max="4" width="9.5703125" customWidth="1"/>
    <col min="5" max="5" width="15.42578125" customWidth="1"/>
    <col min="6" max="6" width="13.7109375" customWidth="1"/>
    <col min="7" max="7" width="8.140625" customWidth="1"/>
    <col min="8" max="8" width="15.140625" bestFit="1" customWidth="1"/>
    <col min="9" max="9" width="13.42578125" bestFit="1" customWidth="1"/>
    <col min="10" max="10" width="7.140625" customWidth="1"/>
  </cols>
  <sheetData>
    <row r="1" spans="1:10" x14ac:dyDescent="0.2"/>
    <row r="4" spans="1:10" x14ac:dyDescent="0.2">
      <c r="A4" s="1606" t="s">
        <v>4</v>
      </c>
      <c r="B4" s="1606" t="s">
        <v>1073</v>
      </c>
      <c r="C4" s="1606" t="s">
        <v>1074</v>
      </c>
      <c r="D4" s="1606" t="s">
        <v>1075</v>
      </c>
      <c r="E4" s="1606" t="s">
        <v>1076</v>
      </c>
      <c r="F4" s="1606" t="s">
        <v>1077</v>
      </c>
      <c r="G4" s="1606" t="s">
        <v>1078</v>
      </c>
      <c r="H4" s="1606" t="s">
        <v>1079</v>
      </c>
      <c r="I4" s="1606" t="s">
        <v>1080</v>
      </c>
    </row>
    <row r="5" spans="1:10" x14ac:dyDescent="0.2">
      <c r="A5" s="1607" t="s">
        <v>160</v>
      </c>
      <c r="B5" s="1607">
        <v>11013</v>
      </c>
      <c r="C5" s="1607">
        <v>5677</v>
      </c>
      <c r="D5" s="1607">
        <v>2497</v>
      </c>
      <c r="E5" s="1607">
        <v>1965</v>
      </c>
      <c r="F5" s="1607">
        <v>874</v>
      </c>
      <c r="G5" s="1607">
        <v>14732</v>
      </c>
      <c r="H5" s="1607">
        <v>883</v>
      </c>
      <c r="I5" s="1607">
        <v>26628</v>
      </c>
    </row>
    <row r="6" spans="1:10" x14ac:dyDescent="0.2">
      <c r="A6" s="1607" t="s">
        <v>379</v>
      </c>
      <c r="B6" s="1607">
        <v>10904</v>
      </c>
      <c r="C6" s="1607">
        <v>5548</v>
      </c>
      <c r="D6" s="1607">
        <v>2279</v>
      </c>
      <c r="E6" s="1607">
        <v>2119</v>
      </c>
      <c r="F6" s="1607">
        <v>958</v>
      </c>
      <c r="G6" s="1607">
        <v>15657</v>
      </c>
      <c r="H6" s="1607">
        <v>710</v>
      </c>
      <c r="I6" s="1607">
        <v>27271</v>
      </c>
    </row>
    <row r="7" spans="1:10" x14ac:dyDescent="0.2">
      <c r="A7" s="1607" t="s">
        <v>603</v>
      </c>
      <c r="B7" s="1607">
        <v>10654</v>
      </c>
      <c r="C7" s="1607">
        <v>5310</v>
      </c>
      <c r="D7" s="1607">
        <v>2281</v>
      </c>
      <c r="E7" s="1607">
        <v>2008</v>
      </c>
      <c r="F7" s="1607">
        <v>1055</v>
      </c>
      <c r="G7" s="1607">
        <v>14698</v>
      </c>
      <c r="H7" s="1607">
        <v>763</v>
      </c>
      <c r="I7" s="1607">
        <v>26115</v>
      </c>
    </row>
    <row r="10" spans="1:10" x14ac:dyDescent="0.2">
      <c r="A10" s="1608" t="s">
        <v>4</v>
      </c>
      <c r="B10" s="1608" t="s">
        <v>1081</v>
      </c>
      <c r="C10" s="1608" t="s">
        <v>1073</v>
      </c>
      <c r="D10" s="1608" t="s">
        <v>1082</v>
      </c>
      <c r="E10" s="1608" t="s">
        <v>1083</v>
      </c>
      <c r="F10" s="1608" t="s">
        <v>1084</v>
      </c>
      <c r="G10" s="1608" t="s">
        <v>1085</v>
      </c>
      <c r="H10" s="1608" t="s">
        <v>1078</v>
      </c>
      <c r="I10" s="1608" t="s">
        <v>1079</v>
      </c>
      <c r="J10" s="1608" t="s">
        <v>1086</v>
      </c>
    </row>
    <row r="11" spans="1:10" x14ac:dyDescent="0.2">
      <c r="A11" s="1607" t="s">
        <v>160</v>
      </c>
      <c r="B11" s="1607" t="s">
        <v>23</v>
      </c>
      <c r="C11" s="1607">
        <v>553</v>
      </c>
      <c r="D11" s="1607">
        <v>334</v>
      </c>
      <c r="E11" s="1607">
        <v>121</v>
      </c>
      <c r="F11" s="1607">
        <v>80</v>
      </c>
      <c r="G11" s="1607">
        <v>18</v>
      </c>
      <c r="H11" s="1607">
        <v>441</v>
      </c>
      <c r="I11" s="1607">
        <v>10</v>
      </c>
      <c r="J11" s="1607">
        <v>230350</v>
      </c>
    </row>
    <row r="12" spans="1:10" x14ac:dyDescent="0.2">
      <c r="A12" s="1607" t="s">
        <v>160</v>
      </c>
      <c r="B12" s="1607" t="s">
        <v>24</v>
      </c>
      <c r="C12" s="1607">
        <v>404</v>
      </c>
      <c r="D12" s="1607">
        <v>192</v>
      </c>
      <c r="E12" s="1607">
        <v>83</v>
      </c>
      <c r="F12" s="1607">
        <v>90</v>
      </c>
      <c r="G12" s="1607">
        <v>39</v>
      </c>
      <c r="H12" s="1607">
        <v>184</v>
      </c>
      <c r="I12" s="1607">
        <v>77</v>
      </c>
      <c r="J12" s="1607">
        <v>261960</v>
      </c>
    </row>
    <row r="13" spans="1:10" x14ac:dyDescent="0.2">
      <c r="A13" s="1607" t="s">
        <v>160</v>
      </c>
      <c r="B13" s="1607" t="s">
        <v>25</v>
      </c>
      <c r="C13" s="1607">
        <v>181</v>
      </c>
      <c r="D13" s="1607">
        <v>95</v>
      </c>
      <c r="E13" s="1607">
        <v>42</v>
      </c>
      <c r="F13" s="1607">
        <v>32</v>
      </c>
      <c r="G13" s="1607">
        <v>12</v>
      </c>
      <c r="H13" s="1607">
        <v>147</v>
      </c>
      <c r="I13" s="1607">
        <v>21</v>
      </c>
      <c r="J13" s="1607">
        <v>116900</v>
      </c>
    </row>
    <row r="14" spans="1:10" x14ac:dyDescent="0.2">
      <c r="A14" s="1607" t="s">
        <v>160</v>
      </c>
      <c r="B14" s="1607" t="s">
        <v>26</v>
      </c>
      <c r="C14" s="1607">
        <v>137</v>
      </c>
      <c r="D14" s="1607">
        <v>64</v>
      </c>
      <c r="E14" s="1607">
        <v>38</v>
      </c>
      <c r="F14" s="1607">
        <v>21</v>
      </c>
      <c r="G14" s="1607">
        <v>14</v>
      </c>
      <c r="H14" s="1607">
        <v>68</v>
      </c>
      <c r="I14" s="1607">
        <v>67</v>
      </c>
      <c r="J14" s="1607">
        <v>86890</v>
      </c>
    </row>
    <row r="15" spans="1:10" x14ac:dyDescent="0.2">
      <c r="A15" s="1607" t="s">
        <v>160</v>
      </c>
      <c r="B15" s="1607" t="s">
        <v>27</v>
      </c>
      <c r="C15" s="1607">
        <v>112</v>
      </c>
      <c r="D15" s="1607">
        <v>75</v>
      </c>
      <c r="E15" s="1607">
        <v>23</v>
      </c>
      <c r="F15" s="1607">
        <v>4</v>
      </c>
      <c r="G15" s="1607">
        <v>10</v>
      </c>
      <c r="H15" s="1607">
        <v>102</v>
      </c>
      <c r="I15" s="1607">
        <v>4</v>
      </c>
      <c r="J15" s="1607">
        <v>51360</v>
      </c>
    </row>
    <row r="16" spans="1:10" x14ac:dyDescent="0.2">
      <c r="A16" s="1607" t="s">
        <v>160</v>
      </c>
      <c r="B16" s="1607" t="s">
        <v>28</v>
      </c>
      <c r="C16" s="1607">
        <v>229</v>
      </c>
      <c r="D16" s="1607">
        <v>94</v>
      </c>
      <c r="E16" s="1607">
        <v>45</v>
      </c>
      <c r="F16" s="1607">
        <v>67</v>
      </c>
      <c r="G16" s="1607">
        <v>23</v>
      </c>
      <c r="H16" s="1607">
        <v>155</v>
      </c>
      <c r="I16" s="1607">
        <v>57</v>
      </c>
      <c r="J16" s="1607">
        <v>149670</v>
      </c>
    </row>
    <row r="17" spans="1:10" x14ac:dyDescent="0.2">
      <c r="A17" s="1607" t="s">
        <v>160</v>
      </c>
      <c r="B17" s="1607" t="s">
        <v>29</v>
      </c>
      <c r="C17" s="1607">
        <v>383</v>
      </c>
      <c r="D17" s="1607">
        <v>256</v>
      </c>
      <c r="E17" s="1607">
        <v>78</v>
      </c>
      <c r="F17" s="1607">
        <v>40</v>
      </c>
      <c r="G17" s="1607">
        <v>9</v>
      </c>
      <c r="H17" s="1607">
        <v>680</v>
      </c>
      <c r="I17" s="1607">
        <v>3</v>
      </c>
      <c r="J17" s="1607">
        <v>148210</v>
      </c>
    </row>
    <row r="18" spans="1:10" x14ac:dyDescent="0.2">
      <c r="A18" s="1607" t="s">
        <v>160</v>
      </c>
      <c r="B18" s="1607" t="s">
        <v>30</v>
      </c>
      <c r="C18" s="1607">
        <v>219</v>
      </c>
      <c r="D18" s="1607">
        <v>104</v>
      </c>
      <c r="E18" s="1607">
        <v>54</v>
      </c>
      <c r="F18" s="1607">
        <v>42</v>
      </c>
      <c r="G18" s="1607">
        <v>19</v>
      </c>
      <c r="H18" s="1607">
        <v>616</v>
      </c>
      <c r="I18" s="1607">
        <v>13</v>
      </c>
      <c r="J18" s="1607">
        <v>122060</v>
      </c>
    </row>
    <row r="19" spans="1:10" x14ac:dyDescent="0.2">
      <c r="A19" s="1607" t="s">
        <v>160</v>
      </c>
      <c r="B19" s="1607" t="s">
        <v>31</v>
      </c>
      <c r="C19" s="1607">
        <v>147</v>
      </c>
      <c r="D19" s="1607">
        <v>77</v>
      </c>
      <c r="E19" s="1607">
        <v>29</v>
      </c>
      <c r="F19" s="1607">
        <v>31</v>
      </c>
      <c r="G19" s="1607">
        <v>10</v>
      </c>
      <c r="H19" s="1607">
        <v>171</v>
      </c>
      <c r="I19" s="1607">
        <v>1</v>
      </c>
      <c r="J19" s="1607">
        <v>106960</v>
      </c>
    </row>
    <row r="20" spans="1:10" x14ac:dyDescent="0.2">
      <c r="A20" s="1607" t="s">
        <v>160</v>
      </c>
      <c r="B20" s="1607" t="s">
        <v>32</v>
      </c>
      <c r="C20" s="1607">
        <v>197</v>
      </c>
      <c r="D20" s="1607">
        <v>85</v>
      </c>
      <c r="E20" s="1607">
        <v>35</v>
      </c>
      <c r="F20" s="1607">
        <v>50</v>
      </c>
      <c r="G20" s="1607">
        <v>27</v>
      </c>
      <c r="H20" s="1607">
        <v>195</v>
      </c>
      <c r="I20" s="1607">
        <v>27</v>
      </c>
      <c r="J20" s="1607">
        <v>103050</v>
      </c>
    </row>
    <row r="21" spans="1:10" x14ac:dyDescent="0.2">
      <c r="A21" s="1607" t="s">
        <v>160</v>
      </c>
      <c r="B21" s="1607" t="s">
        <v>33</v>
      </c>
      <c r="C21" s="1607">
        <v>131</v>
      </c>
      <c r="D21" s="1607">
        <v>71</v>
      </c>
      <c r="E21" s="1607">
        <v>33</v>
      </c>
      <c r="F21" s="1607">
        <v>16</v>
      </c>
      <c r="G21" s="1607">
        <v>11</v>
      </c>
      <c r="H21" s="1607">
        <v>147</v>
      </c>
      <c r="I21" s="1607">
        <v>3</v>
      </c>
      <c r="J21" s="1607">
        <v>92940</v>
      </c>
    </row>
    <row r="22" spans="1:10" x14ac:dyDescent="0.2">
      <c r="A22" s="1607" t="s">
        <v>160</v>
      </c>
      <c r="B22" s="1607" t="s">
        <v>665</v>
      </c>
      <c r="C22" s="1607">
        <v>1224</v>
      </c>
      <c r="D22" s="1607">
        <v>633</v>
      </c>
      <c r="E22" s="1607">
        <v>289</v>
      </c>
      <c r="F22" s="1607">
        <v>203</v>
      </c>
      <c r="G22" s="1607">
        <v>99</v>
      </c>
      <c r="H22" s="1607">
        <v>1893</v>
      </c>
      <c r="I22" s="1607">
        <v>8</v>
      </c>
      <c r="J22" s="1607">
        <v>498810</v>
      </c>
    </row>
    <row r="23" spans="1:10" x14ac:dyDescent="0.2">
      <c r="A23" s="1607" t="s">
        <v>160</v>
      </c>
      <c r="B23" s="1607" t="s">
        <v>34</v>
      </c>
      <c r="C23" s="1607">
        <v>307</v>
      </c>
      <c r="D23" s="1607">
        <v>134</v>
      </c>
      <c r="E23" s="1607">
        <v>71</v>
      </c>
      <c r="F23" s="1607">
        <v>55</v>
      </c>
      <c r="G23" s="1607">
        <v>47</v>
      </c>
      <c r="H23" s="1607">
        <v>343</v>
      </c>
      <c r="I23" s="1607">
        <v>5</v>
      </c>
      <c r="J23" s="1607">
        <v>158460</v>
      </c>
    </row>
    <row r="24" spans="1:10" x14ac:dyDescent="0.2">
      <c r="A24" s="1607" t="s">
        <v>160</v>
      </c>
      <c r="B24" s="1607" t="s">
        <v>35</v>
      </c>
      <c r="C24" s="1607">
        <v>578</v>
      </c>
      <c r="D24" s="1607">
        <v>279</v>
      </c>
      <c r="E24" s="1607">
        <v>134</v>
      </c>
      <c r="F24" s="1607">
        <v>117</v>
      </c>
      <c r="G24" s="1607">
        <v>48</v>
      </c>
      <c r="H24" s="1607">
        <v>740</v>
      </c>
      <c r="I24" s="1607">
        <v>28</v>
      </c>
      <c r="J24" s="1607">
        <v>368080</v>
      </c>
    </row>
    <row r="25" spans="1:10" x14ac:dyDescent="0.2">
      <c r="A25" s="1607" t="s">
        <v>160</v>
      </c>
      <c r="B25" s="1607" t="s">
        <v>36</v>
      </c>
      <c r="C25" s="1607">
        <v>1738</v>
      </c>
      <c r="D25" s="1607">
        <v>960</v>
      </c>
      <c r="E25" s="1607">
        <v>408</v>
      </c>
      <c r="F25" s="1607">
        <v>291</v>
      </c>
      <c r="G25" s="1607">
        <v>79</v>
      </c>
      <c r="H25" s="1607">
        <v>2436</v>
      </c>
      <c r="I25" s="1607">
        <v>10</v>
      </c>
      <c r="J25" s="1607">
        <v>606340</v>
      </c>
    </row>
    <row r="26" spans="1:10" x14ac:dyDescent="0.2">
      <c r="A26" s="1607" t="s">
        <v>160</v>
      </c>
      <c r="B26" s="1607" t="s">
        <v>37</v>
      </c>
      <c r="C26" s="1607">
        <v>377</v>
      </c>
      <c r="D26" s="1607">
        <v>131</v>
      </c>
      <c r="E26" s="1607">
        <v>103</v>
      </c>
      <c r="F26" s="1607">
        <v>87</v>
      </c>
      <c r="G26" s="1607">
        <v>56</v>
      </c>
      <c r="H26" s="1607">
        <v>342</v>
      </c>
      <c r="I26" s="1607">
        <v>238</v>
      </c>
      <c r="J26" s="1607">
        <v>234110</v>
      </c>
    </row>
    <row r="27" spans="1:10" x14ac:dyDescent="0.2">
      <c r="A27" s="1607" t="s">
        <v>160</v>
      </c>
      <c r="B27" s="1607" t="s">
        <v>38</v>
      </c>
      <c r="C27" s="1607">
        <v>215</v>
      </c>
      <c r="D27" s="1607">
        <v>129</v>
      </c>
      <c r="E27" s="1607">
        <v>37</v>
      </c>
      <c r="F27" s="1607">
        <v>32</v>
      </c>
      <c r="G27" s="1607">
        <v>17</v>
      </c>
      <c r="H27" s="1607">
        <v>405</v>
      </c>
      <c r="I27" s="1607">
        <v>2</v>
      </c>
      <c r="J27" s="1607">
        <v>79500</v>
      </c>
    </row>
    <row r="28" spans="1:10" x14ac:dyDescent="0.2">
      <c r="A28" s="1607" t="s">
        <v>160</v>
      </c>
      <c r="B28" s="1607" t="s">
        <v>39</v>
      </c>
      <c r="C28" s="1607">
        <v>170</v>
      </c>
      <c r="D28" s="1607">
        <v>69</v>
      </c>
      <c r="E28" s="1607">
        <v>32</v>
      </c>
      <c r="F28" s="1607">
        <v>29</v>
      </c>
      <c r="G28" s="1607">
        <v>40</v>
      </c>
      <c r="H28" s="1607">
        <v>301</v>
      </c>
      <c r="I28" s="1607">
        <v>14</v>
      </c>
      <c r="J28" s="1607">
        <v>87390</v>
      </c>
    </row>
    <row r="29" spans="1:10" x14ac:dyDescent="0.2">
      <c r="A29" s="1607" t="s">
        <v>160</v>
      </c>
      <c r="B29" s="1607" t="s">
        <v>40</v>
      </c>
      <c r="C29" s="1607">
        <v>125</v>
      </c>
      <c r="D29" s="1607">
        <v>50</v>
      </c>
      <c r="E29" s="1607">
        <v>36</v>
      </c>
      <c r="F29" s="1607">
        <v>28</v>
      </c>
      <c r="G29" s="1607">
        <v>11</v>
      </c>
      <c r="H29" s="1607">
        <v>95</v>
      </c>
      <c r="I29" s="1607">
        <v>29</v>
      </c>
      <c r="J29" s="1607">
        <v>95510</v>
      </c>
    </row>
    <row r="30" spans="1:10" x14ac:dyDescent="0.2">
      <c r="A30" s="1607" t="s">
        <v>160</v>
      </c>
      <c r="B30" s="1607" t="s">
        <v>393</v>
      </c>
      <c r="C30" s="1607">
        <v>41</v>
      </c>
      <c r="D30" s="1607">
        <v>20</v>
      </c>
      <c r="E30" s="1607">
        <v>7</v>
      </c>
      <c r="F30" s="1607">
        <v>9</v>
      </c>
      <c r="G30" s="1607">
        <v>5</v>
      </c>
      <c r="H30" s="1607">
        <v>30</v>
      </c>
      <c r="I30" s="1607">
        <v>38</v>
      </c>
      <c r="J30" s="1607">
        <v>27070</v>
      </c>
    </row>
    <row r="31" spans="1:10" x14ac:dyDescent="0.2">
      <c r="A31" s="1607" t="s">
        <v>160</v>
      </c>
      <c r="B31" s="1607" t="s">
        <v>41</v>
      </c>
      <c r="C31" s="1607">
        <v>284</v>
      </c>
      <c r="D31" s="1607">
        <v>176</v>
      </c>
      <c r="E31" s="1607">
        <v>63</v>
      </c>
      <c r="F31" s="1607">
        <v>34</v>
      </c>
      <c r="G31" s="1607">
        <v>11</v>
      </c>
      <c r="H31" s="1607">
        <v>507</v>
      </c>
      <c r="I31" s="1607">
        <v>16</v>
      </c>
      <c r="J31" s="1607">
        <v>136130</v>
      </c>
    </row>
    <row r="32" spans="1:10" x14ac:dyDescent="0.2">
      <c r="A32" s="1607" t="s">
        <v>160</v>
      </c>
      <c r="B32" s="1607" t="s">
        <v>42</v>
      </c>
      <c r="C32" s="1607">
        <v>655</v>
      </c>
      <c r="D32" s="1607">
        <v>336</v>
      </c>
      <c r="E32" s="1607">
        <v>140</v>
      </c>
      <c r="F32" s="1607">
        <v>146</v>
      </c>
      <c r="G32" s="1607">
        <v>33</v>
      </c>
      <c r="H32" s="1607">
        <v>1540</v>
      </c>
      <c r="I32" s="1607">
        <v>4</v>
      </c>
      <c r="J32" s="1607">
        <v>338260</v>
      </c>
    </row>
    <row r="33" spans="1:10" x14ac:dyDescent="0.2">
      <c r="A33" s="1607" t="s">
        <v>160</v>
      </c>
      <c r="B33" s="1607" t="s">
        <v>43</v>
      </c>
      <c r="C33" s="1607">
        <v>37</v>
      </c>
      <c r="D33" s="1607">
        <v>11</v>
      </c>
      <c r="E33" s="1607">
        <v>9</v>
      </c>
      <c r="F33" s="1607">
        <v>11</v>
      </c>
      <c r="G33" s="1607">
        <v>6</v>
      </c>
      <c r="H33" s="1607">
        <v>13</v>
      </c>
      <c r="I33" s="1607">
        <v>13</v>
      </c>
      <c r="J33" s="1607">
        <v>21670</v>
      </c>
    </row>
    <row r="34" spans="1:10" x14ac:dyDescent="0.2">
      <c r="A34" s="1607" t="s">
        <v>160</v>
      </c>
      <c r="B34" s="1607" t="s">
        <v>44</v>
      </c>
      <c r="C34" s="1607">
        <v>270</v>
      </c>
      <c r="D34" s="1607">
        <v>123</v>
      </c>
      <c r="E34" s="1607">
        <v>74</v>
      </c>
      <c r="F34" s="1607">
        <v>50</v>
      </c>
      <c r="G34" s="1607">
        <v>23</v>
      </c>
      <c r="H34" s="1607">
        <v>144</v>
      </c>
      <c r="I34" s="1607">
        <v>66</v>
      </c>
      <c r="J34" s="1607">
        <v>149930</v>
      </c>
    </row>
    <row r="35" spans="1:10" x14ac:dyDescent="0.2">
      <c r="A35" s="1607" t="s">
        <v>160</v>
      </c>
      <c r="B35" s="1607" t="s">
        <v>45</v>
      </c>
      <c r="C35" s="1607">
        <v>406</v>
      </c>
      <c r="D35" s="1607">
        <v>242</v>
      </c>
      <c r="E35" s="1607">
        <v>89</v>
      </c>
      <c r="F35" s="1607">
        <v>56</v>
      </c>
      <c r="G35" s="1607">
        <v>19</v>
      </c>
      <c r="H35" s="1607">
        <v>566</v>
      </c>
      <c r="I35" s="1607">
        <v>5</v>
      </c>
      <c r="J35" s="1607">
        <v>174560</v>
      </c>
    </row>
    <row r="36" spans="1:10" x14ac:dyDescent="0.2">
      <c r="A36" s="1607" t="s">
        <v>160</v>
      </c>
      <c r="B36" s="1607" t="s">
        <v>46</v>
      </c>
      <c r="C36" s="1607">
        <v>226</v>
      </c>
      <c r="D36" s="1607">
        <v>109</v>
      </c>
      <c r="E36" s="1607">
        <v>48</v>
      </c>
      <c r="F36" s="1607">
        <v>32</v>
      </c>
      <c r="G36" s="1607">
        <v>37</v>
      </c>
      <c r="H36" s="1607">
        <v>92</v>
      </c>
      <c r="I36" s="1607">
        <v>55</v>
      </c>
      <c r="J36" s="1607">
        <v>114030</v>
      </c>
    </row>
    <row r="37" spans="1:10" x14ac:dyDescent="0.2">
      <c r="A37" s="1607" t="s">
        <v>160</v>
      </c>
      <c r="B37" s="1607" t="s">
        <v>47</v>
      </c>
      <c r="C37" s="1607">
        <v>37</v>
      </c>
      <c r="D37" s="1607">
        <v>19</v>
      </c>
      <c r="E37" s="1607">
        <v>4</v>
      </c>
      <c r="F37" s="1607">
        <v>7</v>
      </c>
      <c r="G37" s="1607">
        <v>7</v>
      </c>
      <c r="H37" s="1607">
        <v>11</v>
      </c>
      <c r="I37" s="1607">
        <v>11</v>
      </c>
      <c r="J37" s="1607">
        <v>23200</v>
      </c>
    </row>
    <row r="38" spans="1:10" x14ac:dyDescent="0.2">
      <c r="A38" s="1607" t="s">
        <v>160</v>
      </c>
      <c r="B38" s="1607" t="s">
        <v>48</v>
      </c>
      <c r="C38" s="1607">
        <v>189</v>
      </c>
      <c r="D38" s="1607">
        <v>101</v>
      </c>
      <c r="E38" s="1607">
        <v>54</v>
      </c>
      <c r="F38" s="1607">
        <v>30</v>
      </c>
      <c r="G38" s="1607">
        <v>4</v>
      </c>
      <c r="H38" s="1607">
        <v>211</v>
      </c>
      <c r="I38" s="1607">
        <v>16</v>
      </c>
      <c r="J38" s="1607">
        <v>112400</v>
      </c>
    </row>
    <row r="39" spans="1:10" x14ac:dyDescent="0.2">
      <c r="A39" s="1607" t="s">
        <v>160</v>
      </c>
      <c r="B39" s="1607" t="s">
        <v>49</v>
      </c>
      <c r="C39" s="1607">
        <v>539</v>
      </c>
      <c r="D39" s="1607">
        <v>294</v>
      </c>
      <c r="E39" s="1607">
        <v>99</v>
      </c>
      <c r="F39" s="1607">
        <v>123</v>
      </c>
      <c r="G39" s="1607">
        <v>23</v>
      </c>
      <c r="H39" s="1607">
        <v>906</v>
      </c>
      <c r="I39" s="1607">
        <v>14</v>
      </c>
      <c r="J39" s="1607">
        <v>316230</v>
      </c>
    </row>
    <row r="40" spans="1:10" x14ac:dyDescent="0.2">
      <c r="A40" s="1607" t="s">
        <v>160</v>
      </c>
      <c r="B40" s="1607" t="s">
        <v>50</v>
      </c>
      <c r="C40" s="1607">
        <v>232</v>
      </c>
      <c r="D40" s="1607">
        <v>108</v>
      </c>
      <c r="E40" s="1607">
        <v>72</v>
      </c>
      <c r="F40" s="1607">
        <v>34</v>
      </c>
      <c r="G40" s="1607">
        <v>18</v>
      </c>
      <c r="H40" s="1607">
        <v>209</v>
      </c>
      <c r="I40" s="1607">
        <v>23</v>
      </c>
      <c r="J40" s="1607">
        <v>92830</v>
      </c>
    </row>
    <row r="41" spans="1:10" x14ac:dyDescent="0.2">
      <c r="A41" s="1607" t="s">
        <v>160</v>
      </c>
      <c r="B41" s="1607" t="s">
        <v>51</v>
      </c>
      <c r="C41" s="1607">
        <v>270</v>
      </c>
      <c r="D41" s="1607">
        <v>156</v>
      </c>
      <c r="E41" s="1607">
        <v>59</v>
      </c>
      <c r="F41" s="1607">
        <v>40</v>
      </c>
      <c r="G41" s="1607">
        <v>15</v>
      </c>
      <c r="H41" s="1607">
        <v>312</v>
      </c>
      <c r="I41" s="1607">
        <v>1</v>
      </c>
      <c r="J41" s="1607">
        <v>89590</v>
      </c>
    </row>
    <row r="42" spans="1:10" x14ac:dyDescent="0.2">
      <c r="A42" s="1607" t="s">
        <v>160</v>
      </c>
      <c r="B42" s="1607" t="s">
        <v>52</v>
      </c>
      <c r="C42" s="1607">
        <v>400</v>
      </c>
      <c r="D42" s="1607">
        <v>150</v>
      </c>
      <c r="E42" s="1607">
        <v>88</v>
      </c>
      <c r="F42" s="1607">
        <v>78</v>
      </c>
      <c r="G42" s="1607">
        <v>84</v>
      </c>
      <c r="H42" s="1607">
        <v>730</v>
      </c>
      <c r="I42" s="1607">
        <v>4</v>
      </c>
      <c r="J42" s="1607">
        <v>178550</v>
      </c>
    </row>
    <row r="43" spans="1:10" x14ac:dyDescent="0.2">
      <c r="A43" s="1607" t="s">
        <v>379</v>
      </c>
      <c r="B43" s="1607" t="s">
        <v>23</v>
      </c>
      <c r="C43" s="1607">
        <v>564</v>
      </c>
      <c r="D43" s="1607">
        <v>350</v>
      </c>
      <c r="E43" s="1607">
        <v>108</v>
      </c>
      <c r="F43" s="1607">
        <v>84</v>
      </c>
      <c r="G43" s="1607">
        <v>22</v>
      </c>
      <c r="H43" s="1607">
        <v>315</v>
      </c>
      <c r="I43" s="1607">
        <v>13</v>
      </c>
      <c r="J43" s="1607">
        <v>229840</v>
      </c>
    </row>
    <row r="44" spans="1:10" x14ac:dyDescent="0.2">
      <c r="A44" s="1607" t="s">
        <v>379</v>
      </c>
      <c r="B44" s="1607" t="s">
        <v>24</v>
      </c>
      <c r="C44" s="1607">
        <v>399</v>
      </c>
      <c r="D44" s="1607">
        <v>184</v>
      </c>
      <c r="E44" s="1607">
        <v>88</v>
      </c>
      <c r="F44" s="1607">
        <v>89</v>
      </c>
      <c r="G44" s="1607">
        <v>38</v>
      </c>
      <c r="H44" s="1607">
        <v>264</v>
      </c>
      <c r="I44" s="1607">
        <v>80</v>
      </c>
      <c r="J44" s="1607">
        <v>262190</v>
      </c>
    </row>
    <row r="45" spans="1:10" x14ac:dyDescent="0.2">
      <c r="A45" s="1607" t="s">
        <v>379</v>
      </c>
      <c r="B45" s="1607" t="s">
        <v>25</v>
      </c>
      <c r="C45" s="1607">
        <v>186</v>
      </c>
      <c r="D45" s="1607">
        <v>98</v>
      </c>
      <c r="E45" s="1607">
        <v>28</v>
      </c>
      <c r="F45" s="1607">
        <v>47</v>
      </c>
      <c r="G45" s="1607">
        <v>13</v>
      </c>
      <c r="H45" s="1607">
        <v>126</v>
      </c>
      <c r="I45" s="1607">
        <v>9</v>
      </c>
      <c r="J45" s="1607">
        <v>116520</v>
      </c>
    </row>
    <row r="46" spans="1:10" x14ac:dyDescent="0.2">
      <c r="A46" s="1607" t="s">
        <v>379</v>
      </c>
      <c r="B46" s="1607" t="s">
        <v>26</v>
      </c>
      <c r="C46" s="1607">
        <v>150</v>
      </c>
      <c r="D46" s="1607">
        <v>80</v>
      </c>
      <c r="E46" s="1607">
        <v>31</v>
      </c>
      <c r="F46" s="1607">
        <v>26</v>
      </c>
      <c r="G46" s="1607">
        <v>13</v>
      </c>
      <c r="H46" s="1607">
        <v>122</v>
      </c>
      <c r="I46" s="1607">
        <v>43</v>
      </c>
      <c r="J46" s="1607">
        <v>87130</v>
      </c>
    </row>
    <row r="47" spans="1:10" x14ac:dyDescent="0.2">
      <c r="A47" s="1607" t="s">
        <v>379</v>
      </c>
      <c r="B47" s="1607" t="s">
        <v>27</v>
      </c>
      <c r="C47" s="1607">
        <v>109</v>
      </c>
      <c r="D47" s="1607">
        <v>72</v>
      </c>
      <c r="E47" s="1607">
        <v>20</v>
      </c>
      <c r="F47" s="1607">
        <v>13</v>
      </c>
      <c r="G47" s="1607">
        <v>4</v>
      </c>
      <c r="H47" s="1607">
        <v>84</v>
      </c>
      <c r="I47" s="1607">
        <v>3</v>
      </c>
      <c r="J47" s="1607">
        <v>51350</v>
      </c>
    </row>
    <row r="48" spans="1:10" x14ac:dyDescent="0.2">
      <c r="A48" s="1607" t="s">
        <v>379</v>
      </c>
      <c r="B48" s="1607" t="s">
        <v>28</v>
      </c>
      <c r="C48" s="1607">
        <v>247</v>
      </c>
      <c r="D48" s="1607">
        <v>118</v>
      </c>
      <c r="E48" s="1607">
        <v>55</v>
      </c>
      <c r="F48" s="1607">
        <v>54</v>
      </c>
      <c r="G48" s="1607">
        <v>20</v>
      </c>
      <c r="H48" s="1607">
        <v>169</v>
      </c>
      <c r="I48" s="1607">
        <v>46</v>
      </c>
      <c r="J48" s="1607">
        <v>149520</v>
      </c>
    </row>
    <row r="49" spans="1:10" x14ac:dyDescent="0.2">
      <c r="A49" s="1607" t="s">
        <v>379</v>
      </c>
      <c r="B49" s="1607" t="s">
        <v>29</v>
      </c>
      <c r="C49" s="1607">
        <v>382</v>
      </c>
      <c r="D49" s="1607">
        <v>257</v>
      </c>
      <c r="E49" s="1607">
        <v>67</v>
      </c>
      <c r="F49" s="1607">
        <v>39</v>
      </c>
      <c r="G49" s="1607">
        <v>19</v>
      </c>
      <c r="H49" s="1607">
        <v>818</v>
      </c>
      <c r="I49" s="1607">
        <v>2</v>
      </c>
      <c r="J49" s="1607">
        <v>148270</v>
      </c>
    </row>
    <row r="50" spans="1:10" x14ac:dyDescent="0.2">
      <c r="A50" s="1607" t="s">
        <v>379</v>
      </c>
      <c r="B50" s="1607" t="s">
        <v>30</v>
      </c>
      <c r="C50" s="1607">
        <v>255</v>
      </c>
      <c r="D50" s="1607">
        <v>146</v>
      </c>
      <c r="E50" s="1607">
        <v>55</v>
      </c>
      <c r="F50" s="1607">
        <v>46</v>
      </c>
      <c r="G50" s="1607">
        <v>8</v>
      </c>
      <c r="H50" s="1607">
        <v>640</v>
      </c>
      <c r="I50" s="1607">
        <v>12</v>
      </c>
      <c r="J50" s="1607">
        <v>122200</v>
      </c>
    </row>
    <row r="51" spans="1:10" x14ac:dyDescent="0.2">
      <c r="A51" s="1607" t="s">
        <v>379</v>
      </c>
      <c r="B51" s="1607" t="s">
        <v>31</v>
      </c>
      <c r="C51" s="1607">
        <v>166</v>
      </c>
      <c r="D51" s="1607">
        <v>82</v>
      </c>
      <c r="E51" s="1607">
        <v>36</v>
      </c>
      <c r="F51" s="1607">
        <v>38</v>
      </c>
      <c r="G51" s="1607">
        <v>10</v>
      </c>
      <c r="H51" s="1607">
        <v>180</v>
      </c>
      <c r="I51" s="1607">
        <v>2</v>
      </c>
      <c r="J51" s="1607">
        <v>107540</v>
      </c>
    </row>
    <row r="52" spans="1:10" x14ac:dyDescent="0.2">
      <c r="A52" s="1607" t="s">
        <v>379</v>
      </c>
      <c r="B52" s="1607" t="s">
        <v>32</v>
      </c>
      <c r="C52" s="1607">
        <v>155</v>
      </c>
      <c r="D52" s="1607">
        <v>59</v>
      </c>
      <c r="E52" s="1607">
        <v>44</v>
      </c>
      <c r="F52" s="1607">
        <v>27</v>
      </c>
      <c r="G52" s="1607">
        <v>25</v>
      </c>
      <c r="H52" s="1607">
        <v>255</v>
      </c>
      <c r="I52" s="1607">
        <v>19</v>
      </c>
      <c r="J52" s="1607">
        <v>104090</v>
      </c>
    </row>
    <row r="53" spans="1:10" x14ac:dyDescent="0.2">
      <c r="A53" s="1607" t="s">
        <v>379</v>
      </c>
      <c r="B53" s="1607" t="s">
        <v>33</v>
      </c>
      <c r="C53" s="1607">
        <v>106</v>
      </c>
      <c r="D53" s="1607">
        <v>64</v>
      </c>
      <c r="E53" s="1607">
        <v>18</v>
      </c>
      <c r="F53" s="1607">
        <v>16</v>
      </c>
      <c r="G53" s="1607">
        <v>8</v>
      </c>
      <c r="H53" s="1607">
        <v>152</v>
      </c>
      <c r="I53" s="1607">
        <v>5</v>
      </c>
      <c r="J53" s="1607">
        <v>93810</v>
      </c>
    </row>
    <row r="54" spans="1:10" x14ac:dyDescent="0.2">
      <c r="A54" s="1607" t="s">
        <v>379</v>
      </c>
      <c r="B54" s="1607" t="s">
        <v>665</v>
      </c>
      <c r="C54" s="1607">
        <v>1171</v>
      </c>
      <c r="D54" s="1607">
        <v>581</v>
      </c>
      <c r="E54" s="1607">
        <v>259</v>
      </c>
      <c r="F54" s="1607">
        <v>213</v>
      </c>
      <c r="G54" s="1607">
        <v>118</v>
      </c>
      <c r="H54" s="1607">
        <v>1874</v>
      </c>
      <c r="I54" s="1607">
        <v>8</v>
      </c>
      <c r="J54" s="1607">
        <v>507170</v>
      </c>
    </row>
    <row r="55" spans="1:10" x14ac:dyDescent="0.2">
      <c r="A55" s="1607" t="s">
        <v>379</v>
      </c>
      <c r="B55" s="1607" t="s">
        <v>34</v>
      </c>
      <c r="C55" s="1607">
        <v>281</v>
      </c>
      <c r="D55" s="1607">
        <v>117</v>
      </c>
      <c r="E55" s="1607">
        <v>65</v>
      </c>
      <c r="F55" s="1607">
        <v>50</v>
      </c>
      <c r="G55" s="1607">
        <v>49</v>
      </c>
      <c r="H55" s="1607">
        <v>412</v>
      </c>
      <c r="I55" s="1607">
        <v>5</v>
      </c>
      <c r="J55" s="1607">
        <v>159380</v>
      </c>
    </row>
    <row r="56" spans="1:10" x14ac:dyDescent="0.2">
      <c r="A56" s="1607" t="s">
        <v>379</v>
      </c>
      <c r="B56" s="1607" t="s">
        <v>35</v>
      </c>
      <c r="C56" s="1607">
        <v>631</v>
      </c>
      <c r="D56" s="1607">
        <v>272</v>
      </c>
      <c r="E56" s="1607">
        <v>145</v>
      </c>
      <c r="F56" s="1607">
        <v>103</v>
      </c>
      <c r="G56" s="1607">
        <v>111</v>
      </c>
      <c r="H56" s="1607">
        <v>737</v>
      </c>
      <c r="I56" s="1607">
        <v>16</v>
      </c>
      <c r="J56" s="1607">
        <v>370330</v>
      </c>
    </row>
    <row r="57" spans="1:10" x14ac:dyDescent="0.2">
      <c r="A57" s="1607" t="s">
        <v>379</v>
      </c>
      <c r="B57" s="1607" t="s">
        <v>36</v>
      </c>
      <c r="C57" s="1607">
        <v>1708</v>
      </c>
      <c r="D57" s="1607">
        <v>929</v>
      </c>
      <c r="E57" s="1607">
        <v>395</v>
      </c>
      <c r="F57" s="1607">
        <v>319</v>
      </c>
      <c r="G57" s="1607">
        <v>65</v>
      </c>
      <c r="H57" s="1607">
        <v>2559</v>
      </c>
      <c r="I57" s="1607">
        <v>5</v>
      </c>
      <c r="J57" s="1607">
        <v>615070</v>
      </c>
    </row>
    <row r="58" spans="1:10" x14ac:dyDescent="0.2">
      <c r="A58" s="1607" t="s">
        <v>379</v>
      </c>
      <c r="B58" s="1607" t="s">
        <v>37</v>
      </c>
      <c r="C58" s="1607">
        <v>377</v>
      </c>
      <c r="D58" s="1607">
        <v>161</v>
      </c>
      <c r="E58" s="1607">
        <v>91</v>
      </c>
      <c r="F58" s="1607">
        <v>89</v>
      </c>
      <c r="G58" s="1607">
        <v>36</v>
      </c>
      <c r="H58" s="1607">
        <v>360</v>
      </c>
      <c r="I58" s="1607">
        <v>183</v>
      </c>
      <c r="J58" s="1607">
        <v>234770</v>
      </c>
    </row>
    <row r="59" spans="1:10" x14ac:dyDescent="0.2">
      <c r="A59" s="1607" t="s">
        <v>379</v>
      </c>
      <c r="B59" s="1607" t="s">
        <v>38</v>
      </c>
      <c r="C59" s="1607">
        <v>215</v>
      </c>
      <c r="D59" s="1607">
        <v>131</v>
      </c>
      <c r="E59" s="1607">
        <v>32</v>
      </c>
      <c r="F59" s="1607">
        <v>43</v>
      </c>
      <c r="G59" s="1607">
        <v>9</v>
      </c>
      <c r="H59" s="1607">
        <v>569</v>
      </c>
      <c r="I59" s="1607">
        <v>2</v>
      </c>
      <c r="J59" s="1607">
        <v>79160</v>
      </c>
    </row>
    <row r="60" spans="1:10" x14ac:dyDescent="0.2">
      <c r="A60" s="1607" t="s">
        <v>379</v>
      </c>
      <c r="B60" s="1607" t="s">
        <v>39</v>
      </c>
      <c r="C60" s="1607">
        <v>205</v>
      </c>
      <c r="D60" s="1607">
        <v>78</v>
      </c>
      <c r="E60" s="1607">
        <v>32</v>
      </c>
      <c r="F60" s="1607">
        <v>45</v>
      </c>
      <c r="G60" s="1607">
        <v>50</v>
      </c>
      <c r="H60" s="1607">
        <v>371</v>
      </c>
      <c r="I60" s="1607">
        <v>9</v>
      </c>
      <c r="J60" s="1607">
        <v>88610</v>
      </c>
    </row>
    <row r="61" spans="1:10" x14ac:dyDescent="0.2">
      <c r="A61" s="1607" t="s">
        <v>379</v>
      </c>
      <c r="B61" s="1607" t="s">
        <v>40</v>
      </c>
      <c r="C61" s="1607">
        <v>128</v>
      </c>
      <c r="D61" s="1607">
        <v>55</v>
      </c>
      <c r="E61" s="1607">
        <v>29</v>
      </c>
      <c r="F61" s="1607">
        <v>36</v>
      </c>
      <c r="G61" s="1607">
        <v>8</v>
      </c>
      <c r="H61" s="1607">
        <v>127</v>
      </c>
      <c r="I61" s="1607">
        <v>35</v>
      </c>
      <c r="J61" s="1607">
        <v>96070</v>
      </c>
    </row>
    <row r="62" spans="1:10" x14ac:dyDescent="0.2">
      <c r="A62" s="1607" t="s">
        <v>379</v>
      </c>
      <c r="B62" s="1607" t="s">
        <v>393</v>
      </c>
      <c r="C62" s="1607">
        <v>36</v>
      </c>
      <c r="D62" s="1607">
        <v>23</v>
      </c>
      <c r="E62" s="1607">
        <v>5</v>
      </c>
      <c r="F62" s="1607">
        <v>1</v>
      </c>
      <c r="G62" s="1607">
        <v>7</v>
      </c>
      <c r="H62" s="1607">
        <v>52</v>
      </c>
      <c r="I62" s="1607">
        <v>38</v>
      </c>
      <c r="J62" s="1607">
        <v>26900</v>
      </c>
    </row>
    <row r="63" spans="1:10" x14ac:dyDescent="0.2">
      <c r="A63" s="1607" t="s">
        <v>379</v>
      </c>
      <c r="B63" s="1607" t="s">
        <v>41</v>
      </c>
      <c r="C63" s="1607">
        <v>269</v>
      </c>
      <c r="D63" s="1607">
        <v>167</v>
      </c>
      <c r="E63" s="1607">
        <v>43</v>
      </c>
      <c r="F63" s="1607">
        <v>32</v>
      </c>
      <c r="G63" s="1607">
        <v>27</v>
      </c>
      <c r="H63" s="1607">
        <v>621</v>
      </c>
      <c r="I63" s="1607">
        <v>11</v>
      </c>
      <c r="J63" s="1607">
        <v>135890</v>
      </c>
    </row>
    <row r="64" spans="1:10" x14ac:dyDescent="0.2">
      <c r="A64" s="1607" t="s">
        <v>379</v>
      </c>
      <c r="B64" s="1607" t="s">
        <v>42</v>
      </c>
      <c r="C64" s="1607">
        <v>687</v>
      </c>
      <c r="D64" s="1607">
        <v>353</v>
      </c>
      <c r="E64" s="1607">
        <v>112</v>
      </c>
      <c r="F64" s="1607">
        <v>177</v>
      </c>
      <c r="G64" s="1607">
        <v>45</v>
      </c>
      <c r="H64" s="1607">
        <v>1484</v>
      </c>
      <c r="I64" s="1607">
        <v>8</v>
      </c>
      <c r="J64" s="1607">
        <v>339390</v>
      </c>
    </row>
    <row r="65" spans="1:10" x14ac:dyDescent="0.2">
      <c r="A65" s="1607" t="s">
        <v>379</v>
      </c>
      <c r="B65" s="1607" t="s">
        <v>43</v>
      </c>
      <c r="C65" s="1607">
        <v>23</v>
      </c>
      <c r="D65" s="1607">
        <v>7</v>
      </c>
      <c r="E65" s="1607">
        <v>5</v>
      </c>
      <c r="F65" s="1607">
        <v>8</v>
      </c>
      <c r="G65" s="1607">
        <v>3</v>
      </c>
      <c r="H65" s="1607">
        <v>10</v>
      </c>
      <c r="I65" s="1607">
        <v>10</v>
      </c>
      <c r="J65" s="1607">
        <v>21850</v>
      </c>
    </row>
    <row r="66" spans="1:10" x14ac:dyDescent="0.2">
      <c r="A66" s="1607" t="s">
        <v>379</v>
      </c>
      <c r="B66" s="1607" t="s">
        <v>44</v>
      </c>
      <c r="C66" s="1607">
        <v>288</v>
      </c>
      <c r="D66" s="1607">
        <v>146</v>
      </c>
      <c r="E66" s="1607">
        <v>70</v>
      </c>
      <c r="F66" s="1607">
        <v>49</v>
      </c>
      <c r="G66" s="1607">
        <v>23</v>
      </c>
      <c r="H66" s="1607">
        <v>143</v>
      </c>
      <c r="I66" s="1607">
        <v>33</v>
      </c>
      <c r="J66" s="1607">
        <v>150680</v>
      </c>
    </row>
    <row r="67" spans="1:10" x14ac:dyDescent="0.2">
      <c r="A67" s="1607" t="s">
        <v>379</v>
      </c>
      <c r="B67" s="1607" t="s">
        <v>45</v>
      </c>
      <c r="C67" s="1607">
        <v>385</v>
      </c>
      <c r="D67" s="1607">
        <v>205</v>
      </c>
      <c r="E67" s="1607">
        <v>78</v>
      </c>
      <c r="F67" s="1607">
        <v>75</v>
      </c>
      <c r="G67" s="1607">
        <v>27</v>
      </c>
      <c r="H67" s="1607">
        <v>693</v>
      </c>
      <c r="I67" s="1607">
        <v>4</v>
      </c>
      <c r="J67" s="1607">
        <v>175930</v>
      </c>
    </row>
    <row r="68" spans="1:10" x14ac:dyDescent="0.2">
      <c r="A68" s="1607" t="s">
        <v>379</v>
      </c>
      <c r="B68" s="1607" t="s">
        <v>46</v>
      </c>
      <c r="C68" s="1607">
        <v>195</v>
      </c>
      <c r="D68" s="1607">
        <v>91</v>
      </c>
      <c r="E68" s="1607">
        <v>42</v>
      </c>
      <c r="F68" s="1607">
        <v>36</v>
      </c>
      <c r="G68" s="1607">
        <v>26</v>
      </c>
      <c r="H68" s="1607">
        <v>102</v>
      </c>
      <c r="I68" s="1607">
        <v>48</v>
      </c>
      <c r="J68" s="1607">
        <v>114530</v>
      </c>
    </row>
    <row r="69" spans="1:10" x14ac:dyDescent="0.2">
      <c r="A69" s="1607" t="s">
        <v>379</v>
      </c>
      <c r="B69" s="1607" t="s">
        <v>47</v>
      </c>
      <c r="C69" s="1607">
        <v>26</v>
      </c>
      <c r="D69" s="1607">
        <v>9</v>
      </c>
      <c r="E69" s="1607">
        <v>8</v>
      </c>
      <c r="F69" s="1607">
        <v>3</v>
      </c>
      <c r="G69" s="1607">
        <v>6</v>
      </c>
      <c r="H69" s="1607">
        <v>5</v>
      </c>
      <c r="I69" s="1607">
        <v>9</v>
      </c>
      <c r="J69" s="1607">
        <v>23200</v>
      </c>
    </row>
    <row r="70" spans="1:10" x14ac:dyDescent="0.2">
      <c r="A70" s="1607" t="s">
        <v>379</v>
      </c>
      <c r="B70" s="1607" t="s">
        <v>48</v>
      </c>
      <c r="C70" s="1607">
        <v>188</v>
      </c>
      <c r="D70" s="1607">
        <v>97</v>
      </c>
      <c r="E70" s="1607">
        <v>44</v>
      </c>
      <c r="F70" s="1607">
        <v>30</v>
      </c>
      <c r="G70" s="1607">
        <v>17</v>
      </c>
      <c r="H70" s="1607">
        <v>231</v>
      </c>
      <c r="I70" s="1607">
        <v>19</v>
      </c>
      <c r="J70" s="1607">
        <v>112470</v>
      </c>
    </row>
    <row r="71" spans="1:10" x14ac:dyDescent="0.2">
      <c r="A71" s="1607" t="s">
        <v>379</v>
      </c>
      <c r="B71" s="1607" t="s">
        <v>49</v>
      </c>
      <c r="C71" s="1607">
        <v>557</v>
      </c>
      <c r="D71" s="1607">
        <v>250</v>
      </c>
      <c r="E71" s="1607">
        <v>111</v>
      </c>
      <c r="F71" s="1607">
        <v>166</v>
      </c>
      <c r="G71" s="1607">
        <v>30</v>
      </c>
      <c r="H71" s="1607">
        <v>891</v>
      </c>
      <c r="I71" s="1607">
        <v>7</v>
      </c>
      <c r="J71" s="1607">
        <v>317100</v>
      </c>
    </row>
    <row r="72" spans="1:10" x14ac:dyDescent="0.2">
      <c r="A72" s="1607" t="s">
        <v>379</v>
      </c>
      <c r="B72" s="1607" t="s">
        <v>50</v>
      </c>
      <c r="C72" s="1607">
        <v>203</v>
      </c>
      <c r="D72" s="1607">
        <v>85</v>
      </c>
      <c r="E72" s="1607">
        <v>44</v>
      </c>
      <c r="F72" s="1607">
        <v>44</v>
      </c>
      <c r="G72" s="1607">
        <v>30</v>
      </c>
      <c r="H72" s="1607">
        <v>185</v>
      </c>
      <c r="I72" s="1607">
        <v>15</v>
      </c>
      <c r="J72" s="1607">
        <v>93750</v>
      </c>
    </row>
    <row r="73" spans="1:10" x14ac:dyDescent="0.2">
      <c r="A73" s="1607" t="s">
        <v>379</v>
      </c>
      <c r="B73" s="1607" t="s">
        <v>51</v>
      </c>
      <c r="C73" s="1607">
        <v>260</v>
      </c>
      <c r="D73" s="1607">
        <v>143</v>
      </c>
      <c r="E73" s="1607">
        <v>44</v>
      </c>
      <c r="F73" s="1607">
        <v>50</v>
      </c>
      <c r="G73" s="1607">
        <v>23</v>
      </c>
      <c r="H73" s="1607">
        <v>425</v>
      </c>
      <c r="I73" s="1607">
        <v>3</v>
      </c>
      <c r="J73" s="1607">
        <v>89860</v>
      </c>
    </row>
    <row r="74" spans="1:10" x14ac:dyDescent="0.2">
      <c r="A74" s="1607" t="s">
        <v>379</v>
      </c>
      <c r="B74" s="1607" t="s">
        <v>52</v>
      </c>
      <c r="C74" s="1607">
        <v>352</v>
      </c>
      <c r="D74" s="1607">
        <v>138</v>
      </c>
      <c r="E74" s="1607">
        <v>75</v>
      </c>
      <c r="F74" s="1607">
        <v>71</v>
      </c>
      <c r="G74" s="1607">
        <v>68</v>
      </c>
      <c r="H74" s="1607">
        <v>681</v>
      </c>
      <c r="I74" s="1607">
        <v>8</v>
      </c>
      <c r="J74" s="1607">
        <v>180130</v>
      </c>
    </row>
    <row r="75" spans="1:10" x14ac:dyDescent="0.2">
      <c r="A75" s="1607" t="s">
        <v>603</v>
      </c>
      <c r="B75" s="1607" t="s">
        <v>23</v>
      </c>
      <c r="C75" s="1607">
        <v>455</v>
      </c>
      <c r="D75" s="1607">
        <v>277</v>
      </c>
      <c r="E75" s="1607">
        <v>98</v>
      </c>
      <c r="F75" s="1607">
        <v>64</v>
      </c>
      <c r="G75" s="1607">
        <v>16</v>
      </c>
      <c r="H75" s="1607">
        <v>342</v>
      </c>
      <c r="I75" s="1607">
        <v>9</v>
      </c>
      <c r="J75" s="1607">
        <v>228800</v>
      </c>
    </row>
    <row r="76" spans="1:10" x14ac:dyDescent="0.2">
      <c r="A76" s="1607" t="s">
        <v>603</v>
      </c>
      <c r="B76" s="1607" t="s">
        <v>24</v>
      </c>
      <c r="C76" s="1607">
        <v>394</v>
      </c>
      <c r="D76" s="1607">
        <v>168</v>
      </c>
      <c r="E76" s="1607">
        <v>107</v>
      </c>
      <c r="F76" s="1607">
        <v>78</v>
      </c>
      <c r="G76" s="1607">
        <v>41</v>
      </c>
      <c r="H76" s="1607">
        <v>214</v>
      </c>
      <c r="I76" s="1607">
        <v>76</v>
      </c>
      <c r="J76" s="1607">
        <v>261800</v>
      </c>
    </row>
    <row r="77" spans="1:10" x14ac:dyDescent="0.2">
      <c r="A77" s="1607" t="s">
        <v>603</v>
      </c>
      <c r="B77" s="1607" t="s">
        <v>25</v>
      </c>
      <c r="C77" s="1607">
        <v>163</v>
      </c>
      <c r="D77" s="1607">
        <v>81</v>
      </c>
      <c r="E77" s="1607">
        <v>34</v>
      </c>
      <c r="F77" s="1607">
        <v>30</v>
      </c>
      <c r="G77" s="1607">
        <v>18</v>
      </c>
      <c r="H77" s="1607">
        <v>181</v>
      </c>
      <c r="I77" s="1607">
        <v>23</v>
      </c>
      <c r="J77" s="1607">
        <v>116280</v>
      </c>
    </row>
    <row r="78" spans="1:10" x14ac:dyDescent="0.2">
      <c r="A78" s="1607" t="s">
        <v>603</v>
      </c>
      <c r="B78" s="1607" t="s">
        <v>26</v>
      </c>
      <c r="C78" s="1607">
        <v>184</v>
      </c>
      <c r="D78" s="1607">
        <v>86</v>
      </c>
      <c r="E78" s="1607">
        <v>50</v>
      </c>
      <c r="F78" s="1607">
        <v>33</v>
      </c>
      <c r="G78" s="1607">
        <v>15</v>
      </c>
      <c r="H78" s="1607">
        <v>81</v>
      </c>
      <c r="I78" s="1607">
        <v>46</v>
      </c>
      <c r="J78" s="1607">
        <v>86810</v>
      </c>
    </row>
    <row r="79" spans="1:10" x14ac:dyDescent="0.2">
      <c r="A79" s="1607" t="s">
        <v>603</v>
      </c>
      <c r="B79" s="1607" t="s">
        <v>27</v>
      </c>
      <c r="C79" s="1607">
        <v>93</v>
      </c>
      <c r="D79" s="1607">
        <v>51</v>
      </c>
      <c r="E79" s="1607">
        <v>21</v>
      </c>
      <c r="F79" s="1607">
        <v>10</v>
      </c>
      <c r="G79" s="1607">
        <v>11</v>
      </c>
      <c r="H79" s="1607">
        <v>109</v>
      </c>
      <c r="I79" s="1607">
        <v>2</v>
      </c>
      <c r="J79" s="1607">
        <v>51450</v>
      </c>
    </row>
    <row r="80" spans="1:10" x14ac:dyDescent="0.2">
      <c r="A80" s="1607" t="s">
        <v>603</v>
      </c>
      <c r="B80" s="1607" t="s">
        <v>28</v>
      </c>
      <c r="C80" s="1607">
        <v>236</v>
      </c>
      <c r="D80" s="1607">
        <v>104</v>
      </c>
      <c r="E80" s="1607">
        <v>49</v>
      </c>
      <c r="F80" s="1607">
        <v>60</v>
      </c>
      <c r="G80" s="1607">
        <v>23</v>
      </c>
      <c r="H80" s="1607">
        <v>178</v>
      </c>
      <c r="I80" s="1607">
        <v>62</v>
      </c>
      <c r="J80" s="1607">
        <v>149200</v>
      </c>
    </row>
    <row r="81" spans="1:10" x14ac:dyDescent="0.2">
      <c r="A81" s="1607" t="s">
        <v>603</v>
      </c>
      <c r="B81" s="1607" t="s">
        <v>29</v>
      </c>
      <c r="C81" s="1607">
        <v>344</v>
      </c>
      <c r="D81" s="1607">
        <v>214</v>
      </c>
      <c r="E81" s="1607">
        <v>60</v>
      </c>
      <c r="F81" s="1607">
        <v>46</v>
      </c>
      <c r="G81" s="1607">
        <v>24</v>
      </c>
      <c r="H81" s="1607">
        <v>773</v>
      </c>
      <c r="I81" s="1607">
        <v>1</v>
      </c>
      <c r="J81" s="1607">
        <v>148710</v>
      </c>
    </row>
    <row r="82" spans="1:10" x14ac:dyDescent="0.2">
      <c r="A82" s="1607" t="s">
        <v>603</v>
      </c>
      <c r="B82" s="1607" t="s">
        <v>30</v>
      </c>
      <c r="C82" s="1607">
        <v>180</v>
      </c>
      <c r="D82" s="1607">
        <v>87</v>
      </c>
      <c r="E82" s="1607">
        <v>33</v>
      </c>
      <c r="F82" s="1607">
        <v>49</v>
      </c>
      <c r="G82" s="1607">
        <v>11</v>
      </c>
      <c r="H82" s="1607">
        <v>592</v>
      </c>
      <c r="I82" s="1607">
        <v>11</v>
      </c>
      <c r="J82" s="1607">
        <v>121940</v>
      </c>
    </row>
    <row r="83" spans="1:10" x14ac:dyDescent="0.2">
      <c r="A83" s="1607" t="s">
        <v>603</v>
      </c>
      <c r="B83" s="1607" t="s">
        <v>31</v>
      </c>
      <c r="C83" s="1607">
        <v>158</v>
      </c>
      <c r="D83" s="1607">
        <v>67</v>
      </c>
      <c r="E83" s="1607">
        <v>34</v>
      </c>
      <c r="F83" s="1607">
        <v>47</v>
      </c>
      <c r="G83" s="1607">
        <v>10</v>
      </c>
      <c r="H83" s="1607">
        <v>175</v>
      </c>
      <c r="I83" s="1607">
        <v>4</v>
      </c>
      <c r="J83" s="1607">
        <v>108130</v>
      </c>
    </row>
    <row r="84" spans="1:10" x14ac:dyDescent="0.2">
      <c r="A84" s="1607" t="s">
        <v>603</v>
      </c>
      <c r="B84" s="1607" t="s">
        <v>32</v>
      </c>
      <c r="C84" s="1607">
        <v>189</v>
      </c>
      <c r="D84" s="1607">
        <v>76</v>
      </c>
      <c r="E84" s="1607">
        <v>38</v>
      </c>
      <c r="F84" s="1607">
        <v>30</v>
      </c>
      <c r="G84" s="1607">
        <v>45</v>
      </c>
      <c r="H84" s="1607">
        <v>243</v>
      </c>
      <c r="I84" s="1607">
        <v>22</v>
      </c>
      <c r="J84" s="1607">
        <v>104840</v>
      </c>
    </row>
    <row r="85" spans="1:10" x14ac:dyDescent="0.2">
      <c r="A85" s="1607" t="s">
        <v>603</v>
      </c>
      <c r="B85" s="1607" t="s">
        <v>33</v>
      </c>
      <c r="C85" s="1607">
        <v>130</v>
      </c>
      <c r="D85" s="1607">
        <v>84</v>
      </c>
      <c r="E85" s="1607">
        <v>23</v>
      </c>
      <c r="F85" s="1607">
        <v>19</v>
      </c>
      <c r="G85" s="1607">
        <v>4</v>
      </c>
      <c r="H85" s="1607">
        <v>165</v>
      </c>
      <c r="I85" s="1607">
        <v>6</v>
      </c>
      <c r="J85" s="1607">
        <v>94760</v>
      </c>
    </row>
    <row r="86" spans="1:10" x14ac:dyDescent="0.2">
      <c r="A86" s="1607" t="s">
        <v>603</v>
      </c>
      <c r="B86" s="1607" t="s">
        <v>665</v>
      </c>
      <c r="C86" s="1607">
        <v>1038</v>
      </c>
      <c r="D86" s="1607">
        <v>523</v>
      </c>
      <c r="E86" s="1607">
        <v>239</v>
      </c>
      <c r="F86" s="1607">
        <v>182</v>
      </c>
      <c r="G86" s="1607">
        <v>94</v>
      </c>
      <c r="H86" s="1607">
        <v>1786</v>
      </c>
      <c r="I86" s="1607">
        <v>5</v>
      </c>
      <c r="J86" s="1607">
        <v>513210</v>
      </c>
    </row>
    <row r="87" spans="1:10" x14ac:dyDescent="0.2">
      <c r="A87" s="1607" t="s">
        <v>603</v>
      </c>
      <c r="B87" s="1607" t="s">
        <v>34</v>
      </c>
      <c r="C87" s="1607">
        <v>343</v>
      </c>
      <c r="D87" s="1607">
        <v>122</v>
      </c>
      <c r="E87" s="1607">
        <v>96</v>
      </c>
      <c r="F87" s="1607">
        <v>52</v>
      </c>
      <c r="G87" s="1607">
        <v>73</v>
      </c>
      <c r="H87" s="1607">
        <v>428</v>
      </c>
      <c r="I87" s="1607">
        <v>1</v>
      </c>
      <c r="J87" s="1607">
        <v>160130</v>
      </c>
    </row>
    <row r="88" spans="1:10" x14ac:dyDescent="0.2">
      <c r="A88" s="1607" t="s">
        <v>603</v>
      </c>
      <c r="B88" s="1607" t="s">
        <v>35</v>
      </c>
      <c r="C88" s="1607">
        <v>661</v>
      </c>
      <c r="D88" s="1607">
        <v>302</v>
      </c>
      <c r="E88" s="1607">
        <v>156</v>
      </c>
      <c r="F88" s="1607">
        <v>93</v>
      </c>
      <c r="G88" s="1607">
        <v>110</v>
      </c>
      <c r="H88" s="1607">
        <v>944</v>
      </c>
      <c r="I88" s="1607">
        <v>23</v>
      </c>
      <c r="J88" s="1607">
        <v>371410</v>
      </c>
    </row>
    <row r="89" spans="1:10" x14ac:dyDescent="0.2">
      <c r="A89" s="1607" t="s">
        <v>603</v>
      </c>
      <c r="B89" s="1607" t="s">
        <v>36</v>
      </c>
      <c r="C89" s="1607">
        <v>1709</v>
      </c>
      <c r="D89" s="1607">
        <v>962</v>
      </c>
      <c r="E89" s="1607">
        <v>367</v>
      </c>
      <c r="F89" s="1607">
        <v>300</v>
      </c>
      <c r="G89" s="1607">
        <v>80</v>
      </c>
      <c r="H89" s="1607">
        <v>2350</v>
      </c>
      <c r="I89" s="1607">
        <v>9</v>
      </c>
      <c r="J89" s="1607">
        <v>621020</v>
      </c>
    </row>
    <row r="90" spans="1:10" x14ac:dyDescent="0.2">
      <c r="A90" s="1607" t="s">
        <v>603</v>
      </c>
      <c r="B90" s="1607" t="s">
        <v>37</v>
      </c>
      <c r="C90" s="1607">
        <v>360</v>
      </c>
      <c r="D90" s="1607">
        <v>153</v>
      </c>
      <c r="E90" s="1607">
        <v>88</v>
      </c>
      <c r="F90" s="1607">
        <v>72</v>
      </c>
      <c r="G90" s="1607">
        <v>47</v>
      </c>
      <c r="H90" s="1607">
        <v>471</v>
      </c>
      <c r="I90" s="1607">
        <v>181</v>
      </c>
      <c r="J90" s="1607">
        <v>235180</v>
      </c>
    </row>
    <row r="91" spans="1:10" x14ac:dyDescent="0.2">
      <c r="A91" s="1607" t="s">
        <v>603</v>
      </c>
      <c r="B91" s="1607" t="s">
        <v>38</v>
      </c>
      <c r="C91" s="1607">
        <v>189</v>
      </c>
      <c r="D91" s="1607">
        <v>103</v>
      </c>
      <c r="E91" s="1607">
        <v>33</v>
      </c>
      <c r="F91" s="1607">
        <v>42</v>
      </c>
      <c r="G91" s="1607">
        <v>11</v>
      </c>
      <c r="H91" s="1607">
        <v>348</v>
      </c>
      <c r="I91" s="1607"/>
      <c r="J91" s="1607">
        <v>78760</v>
      </c>
    </row>
    <row r="92" spans="1:10" x14ac:dyDescent="0.2">
      <c r="A92" s="1607" t="s">
        <v>603</v>
      </c>
      <c r="B92" s="1607" t="s">
        <v>39</v>
      </c>
      <c r="C92" s="1607">
        <v>211</v>
      </c>
      <c r="D92" s="1607">
        <v>70</v>
      </c>
      <c r="E92" s="1607">
        <v>37</v>
      </c>
      <c r="F92" s="1607">
        <v>43</v>
      </c>
      <c r="G92" s="1607">
        <v>61</v>
      </c>
      <c r="H92" s="1607">
        <v>390</v>
      </c>
      <c r="I92" s="1607">
        <v>7</v>
      </c>
      <c r="J92" s="1607">
        <v>90090</v>
      </c>
    </row>
    <row r="93" spans="1:10" x14ac:dyDescent="0.2">
      <c r="A93" s="1607" t="s">
        <v>603</v>
      </c>
      <c r="B93" s="1607" t="s">
        <v>40</v>
      </c>
      <c r="C93" s="1607">
        <v>114</v>
      </c>
      <c r="D93" s="1607">
        <v>39</v>
      </c>
      <c r="E93" s="1607">
        <v>36</v>
      </c>
      <c r="F93" s="1607">
        <v>24</v>
      </c>
      <c r="G93" s="1607">
        <v>15</v>
      </c>
      <c r="H93" s="1607">
        <v>83</v>
      </c>
      <c r="I93" s="1607">
        <v>28</v>
      </c>
      <c r="J93" s="1607">
        <v>95780</v>
      </c>
    </row>
    <row r="94" spans="1:10" x14ac:dyDescent="0.2">
      <c r="A94" s="1607" t="s">
        <v>603</v>
      </c>
      <c r="B94" s="1607" t="s">
        <v>393</v>
      </c>
      <c r="C94" s="1607">
        <v>39</v>
      </c>
      <c r="D94" s="1607">
        <v>17</v>
      </c>
      <c r="E94" s="1607">
        <v>8</v>
      </c>
      <c r="F94" s="1607">
        <v>9</v>
      </c>
      <c r="G94" s="1607">
        <v>5</v>
      </c>
      <c r="H94" s="1607">
        <v>65</v>
      </c>
      <c r="I94" s="1607">
        <v>43</v>
      </c>
      <c r="J94" s="1607">
        <v>26950</v>
      </c>
    </row>
    <row r="95" spans="1:10" x14ac:dyDescent="0.2">
      <c r="A95" s="1607" t="s">
        <v>603</v>
      </c>
      <c r="B95" s="1607" t="s">
        <v>41</v>
      </c>
      <c r="C95" s="1607">
        <v>272</v>
      </c>
      <c r="D95" s="1607">
        <v>162</v>
      </c>
      <c r="E95" s="1607">
        <v>52</v>
      </c>
      <c r="F95" s="1607">
        <v>41</v>
      </c>
      <c r="G95" s="1607">
        <v>17</v>
      </c>
      <c r="H95" s="1607">
        <v>569</v>
      </c>
      <c r="I95" s="1607">
        <v>15</v>
      </c>
      <c r="J95" s="1607">
        <v>135790</v>
      </c>
    </row>
    <row r="96" spans="1:10" x14ac:dyDescent="0.2">
      <c r="A96" s="1607" t="s">
        <v>603</v>
      </c>
      <c r="B96" s="1607" t="s">
        <v>42</v>
      </c>
      <c r="C96" s="1607">
        <v>657</v>
      </c>
      <c r="D96" s="1607">
        <v>307</v>
      </c>
      <c r="E96" s="1607">
        <v>127</v>
      </c>
      <c r="F96" s="1607">
        <v>190</v>
      </c>
      <c r="G96" s="1607">
        <v>33</v>
      </c>
      <c r="H96" s="1607">
        <v>1206</v>
      </c>
      <c r="I96" s="1607"/>
      <c r="J96" s="1607">
        <v>339960</v>
      </c>
    </row>
    <row r="97" spans="1:10" x14ac:dyDescent="0.2">
      <c r="A97" s="1607" t="s">
        <v>603</v>
      </c>
      <c r="B97" s="1607" t="s">
        <v>43</v>
      </c>
      <c r="C97" s="1607">
        <v>15</v>
      </c>
      <c r="D97" s="1607">
        <v>7</v>
      </c>
      <c r="E97" s="1607">
        <v>2</v>
      </c>
      <c r="F97" s="1607">
        <v>5</v>
      </c>
      <c r="G97" s="1607">
        <v>1</v>
      </c>
      <c r="H97" s="1607">
        <v>9</v>
      </c>
      <c r="I97" s="1607">
        <v>12</v>
      </c>
      <c r="J97" s="1607">
        <v>22000</v>
      </c>
    </row>
    <row r="98" spans="1:10" x14ac:dyDescent="0.2">
      <c r="A98" s="1607" t="s">
        <v>603</v>
      </c>
      <c r="B98" s="1607" t="s">
        <v>44</v>
      </c>
      <c r="C98" s="1607">
        <v>234</v>
      </c>
      <c r="D98" s="1607">
        <v>116</v>
      </c>
      <c r="E98" s="1607">
        <v>57</v>
      </c>
      <c r="F98" s="1607">
        <v>43</v>
      </c>
      <c r="G98" s="1607">
        <v>18</v>
      </c>
      <c r="H98" s="1607">
        <v>177</v>
      </c>
      <c r="I98" s="1607">
        <v>52</v>
      </c>
      <c r="J98" s="1607">
        <v>151100</v>
      </c>
    </row>
    <row r="99" spans="1:10" x14ac:dyDescent="0.2">
      <c r="A99" s="1607" t="s">
        <v>603</v>
      </c>
      <c r="B99" s="1607" t="s">
        <v>45</v>
      </c>
      <c r="C99" s="1607">
        <v>396</v>
      </c>
      <c r="D99" s="1607">
        <v>223</v>
      </c>
      <c r="E99" s="1607">
        <v>70</v>
      </c>
      <c r="F99" s="1607">
        <v>71</v>
      </c>
      <c r="G99" s="1607">
        <v>32</v>
      </c>
      <c r="H99" s="1607">
        <v>503</v>
      </c>
      <c r="I99" s="1607">
        <v>7</v>
      </c>
      <c r="J99" s="1607">
        <v>176830</v>
      </c>
    </row>
    <row r="100" spans="1:10" x14ac:dyDescent="0.2">
      <c r="A100" s="1607" t="s">
        <v>603</v>
      </c>
      <c r="B100" s="1607" t="s">
        <v>46</v>
      </c>
      <c r="C100" s="1607">
        <v>204</v>
      </c>
      <c r="D100" s="1607">
        <v>100</v>
      </c>
      <c r="E100" s="1607">
        <v>35</v>
      </c>
      <c r="F100" s="1607">
        <v>23</v>
      </c>
      <c r="G100" s="1607">
        <v>46</v>
      </c>
      <c r="H100" s="1607">
        <v>133</v>
      </c>
      <c r="I100" s="1607">
        <v>54</v>
      </c>
      <c r="J100" s="1607">
        <v>115020</v>
      </c>
    </row>
    <row r="101" spans="1:10" x14ac:dyDescent="0.2">
      <c r="A101" s="1607" t="s">
        <v>603</v>
      </c>
      <c r="B101" s="1607" t="s">
        <v>47</v>
      </c>
      <c r="C101" s="1607">
        <v>33</v>
      </c>
      <c r="D101" s="1607">
        <v>13</v>
      </c>
      <c r="E101" s="1607">
        <v>7</v>
      </c>
      <c r="F101" s="1607">
        <v>5</v>
      </c>
      <c r="G101" s="1607">
        <v>8</v>
      </c>
      <c r="H101" s="1607">
        <v>11</v>
      </c>
      <c r="I101" s="1607">
        <v>12</v>
      </c>
      <c r="J101" s="1607">
        <v>23080</v>
      </c>
    </row>
    <row r="102" spans="1:10" x14ac:dyDescent="0.2">
      <c r="A102" s="1607" t="s">
        <v>603</v>
      </c>
      <c r="B102" s="1607" t="s">
        <v>48</v>
      </c>
      <c r="C102" s="1607">
        <v>204</v>
      </c>
      <c r="D102" s="1607">
        <v>105</v>
      </c>
      <c r="E102" s="1607">
        <v>44</v>
      </c>
      <c r="F102" s="1607">
        <v>40</v>
      </c>
      <c r="G102" s="1607">
        <v>15</v>
      </c>
      <c r="H102" s="1607">
        <v>250</v>
      </c>
      <c r="I102" s="1607">
        <v>15</v>
      </c>
      <c r="J102" s="1607">
        <v>112680</v>
      </c>
    </row>
    <row r="103" spans="1:10" x14ac:dyDescent="0.2">
      <c r="A103" s="1607" t="s">
        <v>603</v>
      </c>
      <c r="B103" s="1607" t="s">
        <v>49</v>
      </c>
      <c r="C103" s="1607">
        <v>583</v>
      </c>
      <c r="D103" s="1607">
        <v>278</v>
      </c>
      <c r="E103" s="1607">
        <v>114</v>
      </c>
      <c r="F103" s="1607">
        <v>150</v>
      </c>
      <c r="G103" s="1607">
        <v>41</v>
      </c>
      <c r="H103" s="1607">
        <v>796</v>
      </c>
      <c r="I103" s="1607">
        <v>7</v>
      </c>
      <c r="J103" s="1607">
        <v>318170</v>
      </c>
    </row>
    <row r="104" spans="1:10" x14ac:dyDescent="0.2">
      <c r="A104" s="1607" t="s">
        <v>603</v>
      </c>
      <c r="B104" s="1607" t="s">
        <v>50</v>
      </c>
      <c r="C104" s="1607">
        <v>175</v>
      </c>
      <c r="D104" s="1607">
        <v>86</v>
      </c>
      <c r="E104" s="1607">
        <v>45</v>
      </c>
      <c r="F104" s="1607">
        <v>27</v>
      </c>
      <c r="G104" s="1607">
        <v>17</v>
      </c>
      <c r="H104" s="1607">
        <v>167</v>
      </c>
      <c r="I104" s="1607">
        <v>21</v>
      </c>
      <c r="J104" s="1607">
        <v>94000</v>
      </c>
    </row>
    <row r="105" spans="1:10" x14ac:dyDescent="0.2">
      <c r="A105" s="1607" t="s">
        <v>603</v>
      </c>
      <c r="B105" s="1607" t="s">
        <v>51</v>
      </c>
      <c r="C105" s="1607">
        <v>269</v>
      </c>
      <c r="D105" s="1607">
        <v>158</v>
      </c>
      <c r="E105" s="1607">
        <v>47</v>
      </c>
      <c r="F105" s="1607">
        <v>53</v>
      </c>
      <c r="G105" s="1607">
        <v>11</v>
      </c>
      <c r="H105" s="1607">
        <v>241</v>
      </c>
      <c r="I105" s="1607">
        <v>4</v>
      </c>
      <c r="J105" s="1607">
        <v>89610</v>
      </c>
    </row>
    <row r="106" spans="1:10" x14ac:dyDescent="0.2">
      <c r="A106" s="1607" t="s">
        <v>603</v>
      </c>
      <c r="B106" s="1607" t="s">
        <v>52</v>
      </c>
      <c r="C106" s="1607">
        <v>422</v>
      </c>
      <c r="D106" s="1607">
        <v>169</v>
      </c>
      <c r="E106" s="1607">
        <v>74</v>
      </c>
      <c r="F106" s="1607">
        <v>77</v>
      </c>
      <c r="G106" s="1607">
        <v>102</v>
      </c>
      <c r="H106" s="1607">
        <v>718</v>
      </c>
      <c r="I106" s="1607">
        <v>5</v>
      </c>
      <c r="J106" s="1607">
        <v>181310</v>
      </c>
    </row>
  </sheetData>
  <pageMargins left="0.7" right="0.7" top="0.75" bottom="0.75" header="0.3" footer="0.3"/>
  <pageSetup paperSize="9" fitToHeight="50" orientation="landscape"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fitToPage="1"/>
  </sheetPr>
  <dimension ref="A1:H27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27.42578125" bestFit="1" customWidth="1"/>
    <col min="2" max="2" width="7.85546875" bestFit="1" customWidth="1"/>
    <col min="3" max="3" width="20.42578125" bestFit="1" customWidth="1"/>
    <col min="4" max="4" width="5" customWidth="1"/>
    <col min="5" max="5" width="9.5703125" customWidth="1"/>
    <col min="6" max="6" width="15.42578125" bestFit="1" customWidth="1"/>
    <col min="7" max="7" width="13.7109375" bestFit="1" customWidth="1"/>
    <col min="8" max="8" width="8.140625" customWidth="1"/>
  </cols>
  <sheetData>
    <row r="1" spans="1:7" x14ac:dyDescent="0.2"/>
    <row r="4" spans="1:7" x14ac:dyDescent="0.2">
      <c r="A4" s="1606" t="s">
        <v>1087</v>
      </c>
      <c r="B4" s="1606" t="s">
        <v>4</v>
      </c>
      <c r="C4" s="1606" t="s">
        <v>1088</v>
      </c>
      <c r="D4" s="1606" t="s">
        <v>1082</v>
      </c>
      <c r="E4" s="1606" t="s">
        <v>1083</v>
      </c>
      <c r="F4" s="1606" t="s">
        <v>1084</v>
      </c>
      <c r="G4" s="1606" t="s">
        <v>1085</v>
      </c>
    </row>
    <row r="5" spans="1:7" x14ac:dyDescent="0.2">
      <c r="A5" s="1607" t="s">
        <v>678</v>
      </c>
      <c r="B5" s="1607" t="s">
        <v>160</v>
      </c>
      <c r="C5" s="1607">
        <v>1013</v>
      </c>
      <c r="D5" s="1607">
        <v>825</v>
      </c>
      <c r="E5" s="1607">
        <v>103</v>
      </c>
      <c r="F5" s="1607">
        <v>56</v>
      </c>
      <c r="G5" s="1607">
        <v>29</v>
      </c>
    </row>
    <row r="6" spans="1:7" x14ac:dyDescent="0.2">
      <c r="A6" s="1607" t="s">
        <v>678</v>
      </c>
      <c r="B6" s="1607" t="s">
        <v>379</v>
      </c>
      <c r="C6" s="1607">
        <v>936</v>
      </c>
      <c r="D6" s="1607">
        <v>814</v>
      </c>
      <c r="E6" s="1607">
        <v>56</v>
      </c>
      <c r="F6" s="1607">
        <v>40</v>
      </c>
      <c r="G6" s="1607">
        <v>26</v>
      </c>
    </row>
    <row r="7" spans="1:7" x14ac:dyDescent="0.2">
      <c r="A7" s="1607" t="s">
        <v>678</v>
      </c>
      <c r="B7" s="1607" t="s">
        <v>603</v>
      </c>
      <c r="C7" s="1607">
        <v>879</v>
      </c>
      <c r="D7" s="1607">
        <v>737</v>
      </c>
      <c r="E7" s="1607">
        <v>88</v>
      </c>
      <c r="F7" s="1607">
        <v>35</v>
      </c>
      <c r="G7" s="1607">
        <v>19</v>
      </c>
    </row>
    <row r="8" spans="1:7" x14ac:dyDescent="0.2">
      <c r="A8" s="1607" t="s">
        <v>679</v>
      </c>
      <c r="B8" s="1607" t="s">
        <v>160</v>
      </c>
      <c r="C8" s="1607">
        <v>45</v>
      </c>
      <c r="D8" s="1607">
        <v>39</v>
      </c>
      <c r="E8" s="1607">
        <v>3</v>
      </c>
      <c r="F8" s="1607">
        <v>3</v>
      </c>
      <c r="G8" s="1607"/>
    </row>
    <row r="9" spans="1:7" x14ac:dyDescent="0.2">
      <c r="A9" s="1607" t="s">
        <v>679</v>
      </c>
      <c r="B9" s="1607" t="s">
        <v>379</v>
      </c>
      <c r="C9" s="1607">
        <v>44</v>
      </c>
      <c r="D9" s="1607">
        <v>36</v>
      </c>
      <c r="E9" s="1607">
        <v>3</v>
      </c>
      <c r="F9" s="1607">
        <v>5</v>
      </c>
      <c r="G9" s="1607"/>
    </row>
    <row r="10" spans="1:7" x14ac:dyDescent="0.2">
      <c r="A10" s="1607" t="s">
        <v>679</v>
      </c>
      <c r="B10" s="1607" t="s">
        <v>603</v>
      </c>
      <c r="C10" s="1607">
        <v>44</v>
      </c>
      <c r="D10" s="1607">
        <v>37</v>
      </c>
      <c r="E10" s="1607">
        <v>3</v>
      </c>
      <c r="F10" s="1607">
        <v>3</v>
      </c>
      <c r="G10" s="1607">
        <v>1</v>
      </c>
    </row>
    <row r="11" spans="1:7" x14ac:dyDescent="0.2">
      <c r="A11" s="1607" t="s">
        <v>680</v>
      </c>
      <c r="B11" s="1607" t="s">
        <v>160</v>
      </c>
      <c r="C11" s="1607">
        <v>1276</v>
      </c>
      <c r="D11" s="1607">
        <v>1063</v>
      </c>
      <c r="E11" s="1607">
        <v>117</v>
      </c>
      <c r="F11" s="1607">
        <v>61</v>
      </c>
      <c r="G11" s="1607">
        <v>35</v>
      </c>
    </row>
    <row r="12" spans="1:7" x14ac:dyDescent="0.2">
      <c r="A12" s="1607" t="s">
        <v>680</v>
      </c>
      <c r="B12" s="1607" t="s">
        <v>379</v>
      </c>
      <c r="C12" s="1607">
        <v>1266</v>
      </c>
      <c r="D12" s="1607">
        <v>1115</v>
      </c>
      <c r="E12" s="1607">
        <v>72</v>
      </c>
      <c r="F12" s="1607">
        <v>48</v>
      </c>
      <c r="G12" s="1607">
        <v>31</v>
      </c>
    </row>
    <row r="13" spans="1:7" x14ac:dyDescent="0.2">
      <c r="A13" s="1607" t="s">
        <v>680</v>
      </c>
      <c r="B13" s="1607" t="s">
        <v>603</v>
      </c>
      <c r="C13" s="1607">
        <v>1113</v>
      </c>
      <c r="D13" s="1607">
        <v>921</v>
      </c>
      <c r="E13" s="1607">
        <v>117</v>
      </c>
      <c r="F13" s="1607">
        <v>51</v>
      </c>
      <c r="G13" s="1607">
        <v>24</v>
      </c>
    </row>
    <row r="20" spans="1:8" x14ac:dyDescent="0.2">
      <c r="A20" s="1608" t="s">
        <v>1087</v>
      </c>
      <c r="B20" s="1608" t="s">
        <v>4</v>
      </c>
      <c r="C20" s="1608" t="s">
        <v>1081</v>
      </c>
      <c r="D20" s="1608" t="s">
        <v>11</v>
      </c>
      <c r="E20" s="1608" t="s">
        <v>1082</v>
      </c>
      <c r="F20" s="1608" t="s">
        <v>1083</v>
      </c>
      <c r="G20" s="1608" t="s">
        <v>1084</v>
      </c>
      <c r="H20" s="1608" t="s">
        <v>1085</v>
      </c>
    </row>
    <row r="21" spans="1:8" x14ac:dyDescent="0.2">
      <c r="A21" s="1607" t="s">
        <v>678</v>
      </c>
      <c r="B21" s="1607" t="s">
        <v>160</v>
      </c>
      <c r="C21" s="1607" t="s">
        <v>23</v>
      </c>
      <c r="D21" s="1607">
        <v>65</v>
      </c>
      <c r="E21" s="1607">
        <v>54</v>
      </c>
      <c r="F21" s="1607">
        <v>9</v>
      </c>
      <c r="G21" s="1607"/>
      <c r="H21" s="1607">
        <v>2</v>
      </c>
    </row>
    <row r="22" spans="1:8" x14ac:dyDescent="0.2">
      <c r="A22" s="1607" t="s">
        <v>678</v>
      </c>
      <c r="B22" s="1607" t="s">
        <v>160</v>
      </c>
      <c r="C22" s="1607" t="s">
        <v>24</v>
      </c>
      <c r="D22" s="1607">
        <v>37</v>
      </c>
      <c r="E22" s="1607">
        <v>19</v>
      </c>
      <c r="F22" s="1607">
        <v>6</v>
      </c>
      <c r="G22" s="1607">
        <v>9</v>
      </c>
      <c r="H22" s="1607">
        <v>3</v>
      </c>
    </row>
    <row r="23" spans="1:8" x14ac:dyDescent="0.2">
      <c r="A23" s="1607" t="s">
        <v>678</v>
      </c>
      <c r="B23" s="1607" t="s">
        <v>160</v>
      </c>
      <c r="C23" s="1607" t="s">
        <v>25</v>
      </c>
      <c r="D23" s="1607">
        <v>24</v>
      </c>
      <c r="E23" s="1607">
        <v>23</v>
      </c>
      <c r="F23" s="1607"/>
      <c r="G23" s="1607">
        <v>1</v>
      </c>
      <c r="H23" s="1607"/>
    </row>
    <row r="24" spans="1:8" x14ac:dyDescent="0.2">
      <c r="A24" s="1607" t="s">
        <v>678</v>
      </c>
      <c r="B24" s="1607" t="s">
        <v>160</v>
      </c>
      <c r="C24" s="1607" t="s">
        <v>26</v>
      </c>
      <c r="D24" s="1607">
        <v>9</v>
      </c>
      <c r="E24" s="1607">
        <v>3</v>
      </c>
      <c r="F24" s="1607">
        <v>4</v>
      </c>
      <c r="G24" s="1607">
        <v>1</v>
      </c>
      <c r="H24" s="1607">
        <v>1</v>
      </c>
    </row>
    <row r="25" spans="1:8" x14ac:dyDescent="0.2">
      <c r="A25" s="1607" t="s">
        <v>678</v>
      </c>
      <c r="B25" s="1607" t="s">
        <v>160</v>
      </c>
      <c r="C25" s="1607" t="s">
        <v>27</v>
      </c>
      <c r="D25" s="1607">
        <v>9</v>
      </c>
      <c r="E25" s="1607">
        <v>7</v>
      </c>
      <c r="F25" s="1607"/>
      <c r="G25" s="1607"/>
      <c r="H25" s="1607">
        <v>2</v>
      </c>
    </row>
    <row r="26" spans="1:8" x14ac:dyDescent="0.2">
      <c r="A26" s="1607" t="s">
        <v>678</v>
      </c>
      <c r="B26" s="1607" t="s">
        <v>160</v>
      </c>
      <c r="C26" s="1607" t="s">
        <v>28</v>
      </c>
      <c r="D26" s="1607">
        <v>13</v>
      </c>
      <c r="E26" s="1607">
        <v>6</v>
      </c>
      <c r="F26" s="1607">
        <v>2</v>
      </c>
      <c r="G26" s="1607">
        <v>4</v>
      </c>
      <c r="H26" s="1607">
        <v>1</v>
      </c>
    </row>
    <row r="27" spans="1:8" x14ac:dyDescent="0.2">
      <c r="A27" s="1607" t="s">
        <v>678</v>
      </c>
      <c r="B27" s="1607" t="s">
        <v>160</v>
      </c>
      <c r="C27" s="1607" t="s">
        <v>29</v>
      </c>
      <c r="D27" s="1607">
        <v>50</v>
      </c>
      <c r="E27" s="1607">
        <v>45</v>
      </c>
      <c r="F27" s="1607">
        <v>4</v>
      </c>
      <c r="G27" s="1607"/>
      <c r="H27" s="1607">
        <v>1</v>
      </c>
    </row>
    <row r="28" spans="1:8" x14ac:dyDescent="0.2">
      <c r="A28" s="1607" t="s">
        <v>678</v>
      </c>
      <c r="B28" s="1607" t="s">
        <v>160</v>
      </c>
      <c r="C28" s="1607" t="s">
        <v>30</v>
      </c>
      <c r="D28" s="1607">
        <v>33</v>
      </c>
      <c r="E28" s="1607">
        <v>23</v>
      </c>
      <c r="F28" s="1607">
        <v>4</v>
      </c>
      <c r="G28" s="1607">
        <v>5</v>
      </c>
      <c r="H28" s="1607">
        <v>1</v>
      </c>
    </row>
    <row r="29" spans="1:8" x14ac:dyDescent="0.2">
      <c r="A29" s="1607" t="s">
        <v>678</v>
      </c>
      <c r="B29" s="1607" t="s">
        <v>160</v>
      </c>
      <c r="C29" s="1607" t="s">
        <v>31</v>
      </c>
      <c r="D29" s="1607">
        <v>13</v>
      </c>
      <c r="E29" s="1607">
        <v>11</v>
      </c>
      <c r="F29" s="1607">
        <v>2</v>
      </c>
      <c r="G29" s="1607"/>
      <c r="H29" s="1607"/>
    </row>
    <row r="30" spans="1:8" x14ac:dyDescent="0.2">
      <c r="A30" s="1607" t="s">
        <v>678</v>
      </c>
      <c r="B30" s="1607" t="s">
        <v>160</v>
      </c>
      <c r="C30" s="1607" t="s">
        <v>32</v>
      </c>
      <c r="D30" s="1607">
        <v>9</v>
      </c>
      <c r="E30" s="1607">
        <v>7</v>
      </c>
      <c r="F30" s="1607">
        <v>1</v>
      </c>
      <c r="G30" s="1607">
        <v>1</v>
      </c>
      <c r="H30" s="1607"/>
    </row>
    <row r="31" spans="1:8" x14ac:dyDescent="0.2">
      <c r="A31" s="1607" t="s">
        <v>678</v>
      </c>
      <c r="B31" s="1607" t="s">
        <v>160</v>
      </c>
      <c r="C31" s="1607" t="s">
        <v>33</v>
      </c>
      <c r="D31" s="1607">
        <v>9</v>
      </c>
      <c r="E31" s="1607">
        <v>8</v>
      </c>
      <c r="F31" s="1607">
        <v>1</v>
      </c>
      <c r="G31" s="1607"/>
      <c r="H31" s="1607"/>
    </row>
    <row r="32" spans="1:8" x14ac:dyDescent="0.2">
      <c r="A32" s="1607" t="s">
        <v>678</v>
      </c>
      <c r="B32" s="1607" t="s">
        <v>160</v>
      </c>
      <c r="C32" s="1607" t="s">
        <v>665</v>
      </c>
      <c r="D32" s="1607">
        <v>106</v>
      </c>
      <c r="E32" s="1607">
        <v>97</v>
      </c>
      <c r="F32" s="1607">
        <v>8</v>
      </c>
      <c r="G32" s="1607"/>
      <c r="H32" s="1607">
        <v>1</v>
      </c>
    </row>
    <row r="33" spans="1:8" x14ac:dyDescent="0.2">
      <c r="A33" s="1607" t="s">
        <v>678</v>
      </c>
      <c r="B33" s="1607" t="s">
        <v>160</v>
      </c>
      <c r="C33" s="1607" t="s">
        <v>34</v>
      </c>
      <c r="D33" s="1607">
        <v>33</v>
      </c>
      <c r="E33" s="1607">
        <v>24</v>
      </c>
      <c r="F33" s="1607">
        <v>2</v>
      </c>
      <c r="G33" s="1607">
        <v>4</v>
      </c>
      <c r="H33" s="1607">
        <v>3</v>
      </c>
    </row>
    <row r="34" spans="1:8" x14ac:dyDescent="0.2">
      <c r="A34" s="1607" t="s">
        <v>678</v>
      </c>
      <c r="B34" s="1607" t="s">
        <v>160</v>
      </c>
      <c r="C34" s="1607" t="s">
        <v>35</v>
      </c>
      <c r="D34" s="1607">
        <v>25</v>
      </c>
      <c r="E34" s="1607">
        <v>20</v>
      </c>
      <c r="F34" s="1607">
        <v>2</v>
      </c>
      <c r="G34" s="1607">
        <v>1</v>
      </c>
      <c r="H34" s="1607">
        <v>2</v>
      </c>
    </row>
    <row r="35" spans="1:8" x14ac:dyDescent="0.2">
      <c r="A35" s="1607" t="s">
        <v>678</v>
      </c>
      <c r="B35" s="1607" t="s">
        <v>160</v>
      </c>
      <c r="C35" s="1607" t="s">
        <v>36</v>
      </c>
      <c r="D35" s="1607">
        <v>159</v>
      </c>
      <c r="E35" s="1607">
        <v>142</v>
      </c>
      <c r="F35" s="1607">
        <v>10</v>
      </c>
      <c r="G35" s="1607">
        <v>4</v>
      </c>
      <c r="H35" s="1607">
        <v>3</v>
      </c>
    </row>
    <row r="36" spans="1:8" x14ac:dyDescent="0.2">
      <c r="A36" s="1607" t="s">
        <v>678</v>
      </c>
      <c r="B36" s="1607" t="s">
        <v>160</v>
      </c>
      <c r="C36" s="1607" t="s">
        <v>37</v>
      </c>
      <c r="D36" s="1607">
        <v>46</v>
      </c>
      <c r="E36" s="1607">
        <v>26</v>
      </c>
      <c r="F36" s="1607">
        <v>6</v>
      </c>
      <c r="G36" s="1607">
        <v>12</v>
      </c>
      <c r="H36" s="1607">
        <v>2</v>
      </c>
    </row>
    <row r="37" spans="1:8" x14ac:dyDescent="0.2">
      <c r="A37" s="1607" t="s">
        <v>678</v>
      </c>
      <c r="B37" s="1607" t="s">
        <v>160</v>
      </c>
      <c r="C37" s="1607" t="s">
        <v>38</v>
      </c>
      <c r="D37" s="1607">
        <v>31</v>
      </c>
      <c r="E37" s="1607">
        <v>27</v>
      </c>
      <c r="F37" s="1607">
        <v>3</v>
      </c>
      <c r="G37" s="1607"/>
      <c r="H37" s="1607">
        <v>1</v>
      </c>
    </row>
    <row r="38" spans="1:8" x14ac:dyDescent="0.2">
      <c r="A38" s="1607" t="s">
        <v>678</v>
      </c>
      <c r="B38" s="1607" t="s">
        <v>160</v>
      </c>
      <c r="C38" s="1607" t="s">
        <v>39</v>
      </c>
      <c r="D38" s="1607">
        <v>10</v>
      </c>
      <c r="E38" s="1607">
        <v>9</v>
      </c>
      <c r="F38" s="1607"/>
      <c r="G38" s="1607">
        <v>1</v>
      </c>
      <c r="H38" s="1607"/>
    </row>
    <row r="39" spans="1:8" x14ac:dyDescent="0.2">
      <c r="A39" s="1607" t="s">
        <v>678</v>
      </c>
      <c r="B39" s="1607" t="s">
        <v>160</v>
      </c>
      <c r="C39" s="1607" t="s">
        <v>40</v>
      </c>
      <c r="D39" s="1607">
        <v>14</v>
      </c>
      <c r="E39" s="1607">
        <v>9</v>
      </c>
      <c r="F39" s="1607">
        <v>2</v>
      </c>
      <c r="G39" s="1607">
        <v>2</v>
      </c>
      <c r="H39" s="1607">
        <v>1</v>
      </c>
    </row>
    <row r="40" spans="1:8" x14ac:dyDescent="0.2">
      <c r="A40" s="1607" t="s">
        <v>678</v>
      </c>
      <c r="B40" s="1607" t="s">
        <v>160</v>
      </c>
      <c r="C40" s="1607" t="s">
        <v>393</v>
      </c>
      <c r="D40" s="1607">
        <v>7</v>
      </c>
      <c r="E40" s="1607">
        <v>6</v>
      </c>
      <c r="F40" s="1607"/>
      <c r="G40" s="1607"/>
      <c r="H40" s="1607">
        <v>1</v>
      </c>
    </row>
    <row r="41" spans="1:8" x14ac:dyDescent="0.2">
      <c r="A41" s="1607" t="s">
        <v>678</v>
      </c>
      <c r="B41" s="1607" t="s">
        <v>160</v>
      </c>
      <c r="C41" s="1607" t="s">
        <v>41</v>
      </c>
      <c r="D41" s="1607">
        <v>36</v>
      </c>
      <c r="E41" s="1607">
        <v>31</v>
      </c>
      <c r="F41" s="1607">
        <v>5</v>
      </c>
      <c r="G41" s="1607"/>
      <c r="H41" s="1607"/>
    </row>
    <row r="42" spans="1:8" x14ac:dyDescent="0.2">
      <c r="A42" s="1607" t="s">
        <v>678</v>
      </c>
      <c r="B42" s="1607" t="s">
        <v>160</v>
      </c>
      <c r="C42" s="1607" t="s">
        <v>42</v>
      </c>
      <c r="D42" s="1607">
        <v>59</v>
      </c>
      <c r="E42" s="1607">
        <v>51</v>
      </c>
      <c r="F42" s="1607">
        <v>7</v>
      </c>
      <c r="G42" s="1607">
        <v>1</v>
      </c>
      <c r="H42" s="1607"/>
    </row>
    <row r="43" spans="1:8" x14ac:dyDescent="0.2">
      <c r="A43" s="1607" t="s">
        <v>678</v>
      </c>
      <c r="B43" s="1607" t="s">
        <v>160</v>
      </c>
      <c r="C43" s="1607" t="s">
        <v>43</v>
      </c>
      <c r="D43" s="1607">
        <v>1</v>
      </c>
      <c r="E43" s="1607">
        <v>1</v>
      </c>
      <c r="F43" s="1607"/>
      <c r="G43" s="1607"/>
      <c r="H43" s="1607"/>
    </row>
    <row r="44" spans="1:8" x14ac:dyDescent="0.2">
      <c r="A44" s="1607" t="s">
        <v>678</v>
      </c>
      <c r="B44" s="1607" t="s">
        <v>160</v>
      </c>
      <c r="C44" s="1607" t="s">
        <v>44</v>
      </c>
      <c r="D44" s="1607">
        <v>21</v>
      </c>
      <c r="E44" s="1607">
        <v>12</v>
      </c>
      <c r="F44" s="1607">
        <v>2</v>
      </c>
      <c r="G44" s="1607">
        <v>6</v>
      </c>
      <c r="H44" s="1607">
        <v>1</v>
      </c>
    </row>
    <row r="45" spans="1:8" x14ac:dyDescent="0.2">
      <c r="A45" s="1607" t="s">
        <v>678</v>
      </c>
      <c r="B45" s="1607" t="s">
        <v>160</v>
      </c>
      <c r="C45" s="1607" t="s">
        <v>45</v>
      </c>
      <c r="D45" s="1607">
        <v>26</v>
      </c>
      <c r="E45" s="1607">
        <v>25</v>
      </c>
      <c r="F45" s="1607">
        <v>1</v>
      </c>
      <c r="G45" s="1607"/>
      <c r="H45" s="1607"/>
    </row>
    <row r="46" spans="1:8" x14ac:dyDescent="0.2">
      <c r="A46" s="1607" t="s">
        <v>678</v>
      </c>
      <c r="B46" s="1607" t="s">
        <v>160</v>
      </c>
      <c r="C46" s="1607" t="s">
        <v>46</v>
      </c>
      <c r="D46" s="1607">
        <v>17</v>
      </c>
      <c r="E46" s="1607">
        <v>14</v>
      </c>
      <c r="F46" s="1607">
        <v>3</v>
      </c>
      <c r="G46" s="1607"/>
      <c r="H46" s="1607"/>
    </row>
    <row r="47" spans="1:8" x14ac:dyDescent="0.2">
      <c r="A47" s="1607" t="s">
        <v>678</v>
      </c>
      <c r="B47" s="1607" t="s">
        <v>160</v>
      </c>
      <c r="C47" s="1607" t="s">
        <v>47</v>
      </c>
      <c r="D47" s="1607">
        <v>1</v>
      </c>
      <c r="E47" s="1607">
        <v>1</v>
      </c>
      <c r="F47" s="1607"/>
      <c r="G47" s="1607"/>
      <c r="H47" s="1607"/>
    </row>
    <row r="48" spans="1:8" x14ac:dyDescent="0.2">
      <c r="A48" s="1607" t="s">
        <v>678</v>
      </c>
      <c r="B48" s="1607" t="s">
        <v>160</v>
      </c>
      <c r="C48" s="1607" t="s">
        <v>48</v>
      </c>
      <c r="D48" s="1607">
        <v>22</v>
      </c>
      <c r="E48" s="1607">
        <v>18</v>
      </c>
      <c r="F48" s="1607">
        <v>3</v>
      </c>
      <c r="G48" s="1607">
        <v>1</v>
      </c>
      <c r="H48" s="1607"/>
    </row>
    <row r="49" spans="1:8" x14ac:dyDescent="0.2">
      <c r="A49" s="1607" t="s">
        <v>678</v>
      </c>
      <c r="B49" s="1607" t="s">
        <v>160</v>
      </c>
      <c r="C49" s="1607" t="s">
        <v>49</v>
      </c>
      <c r="D49" s="1607">
        <v>55</v>
      </c>
      <c r="E49" s="1607">
        <v>47</v>
      </c>
      <c r="F49" s="1607">
        <v>5</v>
      </c>
      <c r="G49" s="1607">
        <v>2</v>
      </c>
      <c r="H49" s="1607">
        <v>1</v>
      </c>
    </row>
    <row r="50" spans="1:8" x14ac:dyDescent="0.2">
      <c r="A50" s="1607" t="s">
        <v>678</v>
      </c>
      <c r="B50" s="1607" t="s">
        <v>160</v>
      </c>
      <c r="C50" s="1607" t="s">
        <v>50</v>
      </c>
      <c r="D50" s="1607">
        <v>15</v>
      </c>
      <c r="E50" s="1607">
        <v>8</v>
      </c>
      <c r="F50" s="1607">
        <v>5</v>
      </c>
      <c r="G50" s="1607">
        <v>1</v>
      </c>
      <c r="H50" s="1607">
        <v>1</v>
      </c>
    </row>
    <row r="51" spans="1:8" x14ac:dyDescent="0.2">
      <c r="A51" s="1607" t="s">
        <v>678</v>
      </c>
      <c r="B51" s="1607" t="s">
        <v>160</v>
      </c>
      <c r="C51" s="1607" t="s">
        <v>51</v>
      </c>
      <c r="D51" s="1607">
        <v>27</v>
      </c>
      <c r="E51" s="1607">
        <v>27</v>
      </c>
      <c r="F51" s="1607"/>
      <c r="G51" s="1607"/>
      <c r="H51" s="1607"/>
    </row>
    <row r="52" spans="1:8" x14ac:dyDescent="0.2">
      <c r="A52" s="1607" t="s">
        <v>678</v>
      </c>
      <c r="B52" s="1607" t="s">
        <v>160</v>
      </c>
      <c r="C52" s="1607" t="s">
        <v>52</v>
      </c>
      <c r="D52" s="1607">
        <v>31</v>
      </c>
      <c r="E52" s="1607">
        <v>24</v>
      </c>
      <c r="F52" s="1607">
        <v>6</v>
      </c>
      <c r="G52" s="1607"/>
      <c r="H52" s="1607">
        <v>1</v>
      </c>
    </row>
    <row r="53" spans="1:8" x14ac:dyDescent="0.2">
      <c r="A53" s="1607" t="s">
        <v>678</v>
      </c>
      <c r="B53" s="1607" t="s">
        <v>379</v>
      </c>
      <c r="C53" s="1607" t="s">
        <v>23</v>
      </c>
      <c r="D53" s="1607">
        <v>34</v>
      </c>
      <c r="E53" s="1607">
        <v>31</v>
      </c>
      <c r="F53" s="1607">
        <v>1</v>
      </c>
      <c r="G53" s="1607">
        <v>2</v>
      </c>
      <c r="H53" s="1607"/>
    </row>
    <row r="54" spans="1:8" x14ac:dyDescent="0.2">
      <c r="A54" s="1607" t="s">
        <v>678</v>
      </c>
      <c r="B54" s="1607" t="s">
        <v>379</v>
      </c>
      <c r="C54" s="1607" t="s">
        <v>24</v>
      </c>
      <c r="D54" s="1607">
        <v>27</v>
      </c>
      <c r="E54" s="1607">
        <v>20</v>
      </c>
      <c r="F54" s="1607">
        <v>3</v>
      </c>
      <c r="G54" s="1607">
        <v>3</v>
      </c>
      <c r="H54" s="1607">
        <v>1</v>
      </c>
    </row>
    <row r="55" spans="1:8" x14ac:dyDescent="0.2">
      <c r="A55" s="1607" t="s">
        <v>678</v>
      </c>
      <c r="B55" s="1607" t="s">
        <v>379</v>
      </c>
      <c r="C55" s="1607" t="s">
        <v>25</v>
      </c>
      <c r="D55" s="1607">
        <v>15</v>
      </c>
      <c r="E55" s="1607">
        <v>12</v>
      </c>
      <c r="F55" s="1607">
        <v>1</v>
      </c>
      <c r="G55" s="1607"/>
      <c r="H55" s="1607">
        <v>2</v>
      </c>
    </row>
    <row r="56" spans="1:8" x14ac:dyDescent="0.2">
      <c r="A56" s="1607" t="s">
        <v>678</v>
      </c>
      <c r="B56" s="1607" t="s">
        <v>379</v>
      </c>
      <c r="C56" s="1607" t="s">
        <v>26</v>
      </c>
      <c r="D56" s="1607">
        <v>13</v>
      </c>
      <c r="E56" s="1607">
        <v>12</v>
      </c>
      <c r="F56" s="1607">
        <v>1</v>
      </c>
      <c r="G56" s="1607"/>
      <c r="H56" s="1607"/>
    </row>
    <row r="57" spans="1:8" x14ac:dyDescent="0.2">
      <c r="A57" s="1607" t="s">
        <v>678</v>
      </c>
      <c r="B57" s="1607" t="s">
        <v>379</v>
      </c>
      <c r="C57" s="1607" t="s">
        <v>27</v>
      </c>
      <c r="D57" s="1607">
        <v>18</v>
      </c>
      <c r="E57" s="1607">
        <v>16</v>
      </c>
      <c r="F57" s="1607">
        <v>1</v>
      </c>
      <c r="G57" s="1607">
        <v>1</v>
      </c>
      <c r="H57" s="1607"/>
    </row>
    <row r="58" spans="1:8" x14ac:dyDescent="0.2">
      <c r="A58" s="1607" t="s">
        <v>678</v>
      </c>
      <c r="B58" s="1607" t="s">
        <v>379</v>
      </c>
      <c r="C58" s="1607" t="s">
        <v>28</v>
      </c>
      <c r="D58" s="1607">
        <v>8</v>
      </c>
      <c r="E58" s="1607">
        <v>7</v>
      </c>
      <c r="F58" s="1607"/>
      <c r="G58" s="1607">
        <v>1</v>
      </c>
      <c r="H58" s="1607"/>
    </row>
    <row r="59" spans="1:8" x14ac:dyDescent="0.2">
      <c r="A59" s="1607" t="s">
        <v>678</v>
      </c>
      <c r="B59" s="1607" t="s">
        <v>379</v>
      </c>
      <c r="C59" s="1607" t="s">
        <v>29</v>
      </c>
      <c r="D59" s="1607">
        <v>42</v>
      </c>
      <c r="E59" s="1607">
        <v>38</v>
      </c>
      <c r="F59" s="1607">
        <v>1</v>
      </c>
      <c r="G59" s="1607">
        <v>2</v>
      </c>
      <c r="H59" s="1607">
        <v>1</v>
      </c>
    </row>
    <row r="60" spans="1:8" x14ac:dyDescent="0.2">
      <c r="A60" s="1607" t="s">
        <v>678</v>
      </c>
      <c r="B60" s="1607" t="s">
        <v>379</v>
      </c>
      <c r="C60" s="1607" t="s">
        <v>30</v>
      </c>
      <c r="D60" s="1607">
        <v>24</v>
      </c>
      <c r="E60" s="1607">
        <v>21</v>
      </c>
      <c r="F60" s="1607">
        <v>3</v>
      </c>
      <c r="G60" s="1607"/>
      <c r="H60" s="1607"/>
    </row>
    <row r="61" spans="1:8" x14ac:dyDescent="0.2">
      <c r="A61" s="1607" t="s">
        <v>678</v>
      </c>
      <c r="B61" s="1607" t="s">
        <v>379</v>
      </c>
      <c r="C61" s="1607" t="s">
        <v>31</v>
      </c>
      <c r="D61" s="1607">
        <v>20</v>
      </c>
      <c r="E61" s="1607">
        <v>20</v>
      </c>
      <c r="F61" s="1607"/>
      <c r="G61" s="1607"/>
      <c r="H61" s="1607"/>
    </row>
    <row r="62" spans="1:8" x14ac:dyDescent="0.2">
      <c r="A62" s="1607" t="s">
        <v>678</v>
      </c>
      <c r="B62" s="1607" t="s">
        <v>379</v>
      </c>
      <c r="C62" s="1607" t="s">
        <v>32</v>
      </c>
      <c r="D62" s="1607">
        <v>8</v>
      </c>
      <c r="E62" s="1607">
        <v>8</v>
      </c>
      <c r="F62" s="1607"/>
      <c r="G62" s="1607"/>
      <c r="H62" s="1607"/>
    </row>
    <row r="63" spans="1:8" x14ac:dyDescent="0.2">
      <c r="A63" s="1607" t="s">
        <v>678</v>
      </c>
      <c r="B63" s="1607" t="s">
        <v>379</v>
      </c>
      <c r="C63" s="1607" t="s">
        <v>33</v>
      </c>
      <c r="D63" s="1607">
        <v>5</v>
      </c>
      <c r="E63" s="1607">
        <v>5</v>
      </c>
      <c r="F63" s="1607"/>
      <c r="G63" s="1607"/>
      <c r="H63" s="1607"/>
    </row>
    <row r="64" spans="1:8" x14ac:dyDescent="0.2">
      <c r="A64" s="1607" t="s">
        <v>678</v>
      </c>
      <c r="B64" s="1607" t="s">
        <v>379</v>
      </c>
      <c r="C64" s="1607" t="s">
        <v>665</v>
      </c>
      <c r="D64" s="1607">
        <v>121</v>
      </c>
      <c r="E64" s="1607">
        <v>109</v>
      </c>
      <c r="F64" s="1607">
        <v>8</v>
      </c>
      <c r="G64" s="1607"/>
      <c r="H64" s="1607">
        <v>4</v>
      </c>
    </row>
    <row r="65" spans="1:8" x14ac:dyDescent="0.2">
      <c r="A65" s="1607" t="s">
        <v>678</v>
      </c>
      <c r="B65" s="1607" t="s">
        <v>379</v>
      </c>
      <c r="C65" s="1607" t="s">
        <v>34</v>
      </c>
      <c r="D65" s="1607">
        <v>23</v>
      </c>
      <c r="E65" s="1607">
        <v>22</v>
      </c>
      <c r="F65" s="1607"/>
      <c r="G65" s="1607"/>
      <c r="H65" s="1607">
        <v>1</v>
      </c>
    </row>
    <row r="66" spans="1:8" x14ac:dyDescent="0.2">
      <c r="A66" s="1607" t="s">
        <v>678</v>
      </c>
      <c r="B66" s="1607" t="s">
        <v>379</v>
      </c>
      <c r="C66" s="1607" t="s">
        <v>35</v>
      </c>
      <c r="D66" s="1607">
        <v>60</v>
      </c>
      <c r="E66" s="1607">
        <v>53</v>
      </c>
      <c r="F66" s="1607">
        <v>1</v>
      </c>
      <c r="G66" s="1607">
        <v>3</v>
      </c>
      <c r="H66" s="1607">
        <v>3</v>
      </c>
    </row>
    <row r="67" spans="1:8" x14ac:dyDescent="0.2">
      <c r="A67" s="1607" t="s">
        <v>678</v>
      </c>
      <c r="B67" s="1607" t="s">
        <v>379</v>
      </c>
      <c r="C67" s="1607" t="s">
        <v>36</v>
      </c>
      <c r="D67" s="1607">
        <v>139</v>
      </c>
      <c r="E67" s="1607">
        <v>131</v>
      </c>
      <c r="F67" s="1607">
        <v>6</v>
      </c>
      <c r="G67" s="1607"/>
      <c r="H67" s="1607">
        <v>2</v>
      </c>
    </row>
    <row r="68" spans="1:8" x14ac:dyDescent="0.2">
      <c r="A68" s="1607" t="s">
        <v>678</v>
      </c>
      <c r="B68" s="1607" t="s">
        <v>379</v>
      </c>
      <c r="C68" s="1607" t="s">
        <v>37</v>
      </c>
      <c r="D68" s="1607">
        <v>42</v>
      </c>
      <c r="E68" s="1607">
        <v>25</v>
      </c>
      <c r="F68" s="1607">
        <v>3</v>
      </c>
      <c r="G68" s="1607">
        <v>9</v>
      </c>
      <c r="H68" s="1607">
        <v>5</v>
      </c>
    </row>
    <row r="69" spans="1:8" x14ac:dyDescent="0.2">
      <c r="A69" s="1607" t="s">
        <v>678</v>
      </c>
      <c r="B69" s="1607" t="s">
        <v>379</v>
      </c>
      <c r="C69" s="1607" t="s">
        <v>38</v>
      </c>
      <c r="D69" s="1607">
        <v>28</v>
      </c>
      <c r="E69" s="1607">
        <v>26</v>
      </c>
      <c r="F69" s="1607">
        <v>1</v>
      </c>
      <c r="G69" s="1607">
        <v>1</v>
      </c>
      <c r="H69" s="1607"/>
    </row>
    <row r="70" spans="1:8" x14ac:dyDescent="0.2">
      <c r="A70" s="1607" t="s">
        <v>678</v>
      </c>
      <c r="B70" s="1607" t="s">
        <v>379</v>
      </c>
      <c r="C70" s="1607" t="s">
        <v>39</v>
      </c>
      <c r="D70" s="1607">
        <v>11</v>
      </c>
      <c r="E70" s="1607">
        <v>9</v>
      </c>
      <c r="F70" s="1607">
        <v>1</v>
      </c>
      <c r="G70" s="1607"/>
      <c r="H70" s="1607">
        <v>1</v>
      </c>
    </row>
    <row r="71" spans="1:8" x14ac:dyDescent="0.2">
      <c r="A71" s="1607" t="s">
        <v>678</v>
      </c>
      <c r="B71" s="1607" t="s">
        <v>379</v>
      </c>
      <c r="C71" s="1607" t="s">
        <v>40</v>
      </c>
      <c r="D71" s="1607">
        <v>15</v>
      </c>
      <c r="E71" s="1607">
        <v>13</v>
      </c>
      <c r="F71" s="1607">
        <v>1</v>
      </c>
      <c r="G71" s="1607">
        <v>1</v>
      </c>
      <c r="H71" s="1607"/>
    </row>
    <row r="72" spans="1:8" x14ac:dyDescent="0.2">
      <c r="A72" s="1607" t="s">
        <v>678</v>
      </c>
      <c r="B72" s="1607" t="s">
        <v>379</v>
      </c>
      <c r="C72" s="1607" t="s">
        <v>393</v>
      </c>
      <c r="D72" s="1607">
        <v>3</v>
      </c>
      <c r="E72" s="1607">
        <v>3</v>
      </c>
      <c r="F72" s="1607"/>
      <c r="G72" s="1607"/>
      <c r="H72" s="1607"/>
    </row>
    <row r="73" spans="1:8" x14ac:dyDescent="0.2">
      <c r="A73" s="1607" t="s">
        <v>678</v>
      </c>
      <c r="B73" s="1607" t="s">
        <v>379</v>
      </c>
      <c r="C73" s="1607" t="s">
        <v>41</v>
      </c>
      <c r="D73" s="1607">
        <v>20</v>
      </c>
      <c r="E73" s="1607">
        <v>18</v>
      </c>
      <c r="F73" s="1607">
        <v>2</v>
      </c>
      <c r="G73" s="1607"/>
      <c r="H73" s="1607"/>
    </row>
    <row r="74" spans="1:8" x14ac:dyDescent="0.2">
      <c r="A74" s="1607" t="s">
        <v>678</v>
      </c>
      <c r="B74" s="1607" t="s">
        <v>379</v>
      </c>
      <c r="C74" s="1607" t="s">
        <v>42</v>
      </c>
      <c r="D74" s="1607">
        <v>61</v>
      </c>
      <c r="E74" s="1607">
        <v>53</v>
      </c>
      <c r="F74" s="1607">
        <v>2</v>
      </c>
      <c r="G74" s="1607">
        <v>5</v>
      </c>
      <c r="H74" s="1607">
        <v>1</v>
      </c>
    </row>
    <row r="75" spans="1:8" x14ac:dyDescent="0.2">
      <c r="A75" s="1607" t="s">
        <v>678</v>
      </c>
      <c r="B75" s="1607" t="s">
        <v>379</v>
      </c>
      <c r="C75" s="1607" t="s">
        <v>43</v>
      </c>
      <c r="D75" s="1607">
        <v>2</v>
      </c>
      <c r="E75" s="1607"/>
      <c r="F75" s="1607">
        <v>2</v>
      </c>
      <c r="G75" s="1607"/>
      <c r="H75" s="1607"/>
    </row>
    <row r="76" spans="1:8" x14ac:dyDescent="0.2">
      <c r="A76" s="1607" t="s">
        <v>678</v>
      </c>
      <c r="B76" s="1607" t="s">
        <v>379</v>
      </c>
      <c r="C76" s="1607" t="s">
        <v>44</v>
      </c>
      <c r="D76" s="1607">
        <v>22</v>
      </c>
      <c r="E76" s="1607">
        <v>19</v>
      </c>
      <c r="F76" s="1607">
        <v>1</v>
      </c>
      <c r="G76" s="1607">
        <v>1</v>
      </c>
      <c r="H76" s="1607">
        <v>1</v>
      </c>
    </row>
    <row r="77" spans="1:8" x14ac:dyDescent="0.2">
      <c r="A77" s="1607" t="s">
        <v>678</v>
      </c>
      <c r="B77" s="1607" t="s">
        <v>379</v>
      </c>
      <c r="C77" s="1607" t="s">
        <v>45</v>
      </c>
      <c r="D77" s="1607">
        <v>29</v>
      </c>
      <c r="E77" s="1607">
        <v>24</v>
      </c>
      <c r="F77" s="1607">
        <v>3</v>
      </c>
      <c r="G77" s="1607">
        <v>2</v>
      </c>
      <c r="H77" s="1607"/>
    </row>
    <row r="78" spans="1:8" x14ac:dyDescent="0.2">
      <c r="A78" s="1607" t="s">
        <v>678</v>
      </c>
      <c r="B78" s="1607" t="s">
        <v>379</v>
      </c>
      <c r="C78" s="1607" t="s">
        <v>46</v>
      </c>
      <c r="D78" s="1607">
        <v>26</v>
      </c>
      <c r="E78" s="1607">
        <v>25</v>
      </c>
      <c r="F78" s="1607">
        <v>1</v>
      </c>
      <c r="G78" s="1607"/>
      <c r="H78" s="1607"/>
    </row>
    <row r="79" spans="1:8" x14ac:dyDescent="0.2">
      <c r="A79" s="1607" t="s">
        <v>678</v>
      </c>
      <c r="B79" s="1607" t="s">
        <v>379</v>
      </c>
      <c r="C79" s="1607" t="s">
        <v>47</v>
      </c>
      <c r="D79" s="1607">
        <v>3</v>
      </c>
      <c r="E79" s="1607"/>
      <c r="F79" s="1607">
        <v>3</v>
      </c>
      <c r="G79" s="1607"/>
      <c r="H79" s="1607"/>
    </row>
    <row r="80" spans="1:8" x14ac:dyDescent="0.2">
      <c r="A80" s="1607" t="s">
        <v>678</v>
      </c>
      <c r="B80" s="1607" t="s">
        <v>379</v>
      </c>
      <c r="C80" s="1607" t="s">
        <v>48</v>
      </c>
      <c r="D80" s="1607">
        <v>24</v>
      </c>
      <c r="E80" s="1607">
        <v>18</v>
      </c>
      <c r="F80" s="1607">
        <v>3</v>
      </c>
      <c r="G80" s="1607">
        <v>3</v>
      </c>
      <c r="H80" s="1607"/>
    </row>
    <row r="81" spans="1:8" x14ac:dyDescent="0.2">
      <c r="A81" s="1607" t="s">
        <v>678</v>
      </c>
      <c r="B81" s="1607" t="s">
        <v>379</v>
      </c>
      <c r="C81" s="1607" t="s">
        <v>49</v>
      </c>
      <c r="D81" s="1607">
        <v>35</v>
      </c>
      <c r="E81" s="1607">
        <v>26</v>
      </c>
      <c r="F81" s="1607">
        <v>1</v>
      </c>
      <c r="G81" s="1607">
        <v>5</v>
      </c>
      <c r="H81" s="1607">
        <v>3</v>
      </c>
    </row>
    <row r="82" spans="1:8" x14ac:dyDescent="0.2">
      <c r="A82" s="1607" t="s">
        <v>678</v>
      </c>
      <c r="B82" s="1607" t="s">
        <v>379</v>
      </c>
      <c r="C82" s="1607" t="s">
        <v>50</v>
      </c>
      <c r="D82" s="1607">
        <v>13</v>
      </c>
      <c r="E82" s="1607">
        <v>9</v>
      </c>
      <c r="F82" s="1607">
        <v>2</v>
      </c>
      <c r="G82" s="1607">
        <v>1</v>
      </c>
      <c r="H82" s="1607">
        <v>1</v>
      </c>
    </row>
    <row r="83" spans="1:8" x14ac:dyDescent="0.2">
      <c r="A83" s="1607" t="s">
        <v>678</v>
      </c>
      <c r="B83" s="1607" t="s">
        <v>379</v>
      </c>
      <c r="C83" s="1607" t="s">
        <v>51</v>
      </c>
      <c r="D83" s="1607">
        <v>13</v>
      </c>
      <c r="E83" s="1607">
        <v>12</v>
      </c>
      <c r="F83" s="1607">
        <v>1</v>
      </c>
      <c r="G83" s="1607"/>
      <c r="H83" s="1607"/>
    </row>
    <row r="84" spans="1:8" x14ac:dyDescent="0.2">
      <c r="A84" s="1607" t="s">
        <v>678</v>
      </c>
      <c r="B84" s="1607" t="s">
        <v>379</v>
      </c>
      <c r="C84" s="1607" t="s">
        <v>52</v>
      </c>
      <c r="D84" s="1607">
        <v>32</v>
      </c>
      <c r="E84" s="1607">
        <v>29</v>
      </c>
      <c r="F84" s="1607">
        <v>3</v>
      </c>
      <c r="G84" s="1607"/>
      <c r="H84" s="1607"/>
    </row>
    <row r="85" spans="1:8" x14ac:dyDescent="0.2">
      <c r="A85" s="1607" t="s">
        <v>678</v>
      </c>
      <c r="B85" s="1607" t="s">
        <v>603</v>
      </c>
      <c r="C85" s="1607" t="s">
        <v>23</v>
      </c>
      <c r="D85" s="1607">
        <v>28</v>
      </c>
      <c r="E85" s="1607">
        <v>26</v>
      </c>
      <c r="F85" s="1607">
        <v>1</v>
      </c>
      <c r="G85" s="1607"/>
      <c r="H85" s="1607">
        <v>1</v>
      </c>
    </row>
    <row r="86" spans="1:8" x14ac:dyDescent="0.2">
      <c r="A86" s="1607" t="s">
        <v>678</v>
      </c>
      <c r="B86" s="1607" t="s">
        <v>603</v>
      </c>
      <c r="C86" s="1607" t="s">
        <v>24</v>
      </c>
      <c r="D86" s="1607">
        <v>41</v>
      </c>
      <c r="E86" s="1607">
        <v>28</v>
      </c>
      <c r="F86" s="1607">
        <v>4</v>
      </c>
      <c r="G86" s="1607">
        <v>4</v>
      </c>
      <c r="H86" s="1607">
        <v>5</v>
      </c>
    </row>
    <row r="87" spans="1:8" x14ac:dyDescent="0.2">
      <c r="A87" s="1607" t="s">
        <v>678</v>
      </c>
      <c r="B87" s="1607" t="s">
        <v>603</v>
      </c>
      <c r="C87" s="1607" t="s">
        <v>25</v>
      </c>
      <c r="D87" s="1607">
        <v>19</v>
      </c>
      <c r="E87" s="1607">
        <v>16</v>
      </c>
      <c r="F87" s="1607">
        <v>2</v>
      </c>
      <c r="G87" s="1607">
        <v>1</v>
      </c>
      <c r="H87" s="1607"/>
    </row>
    <row r="88" spans="1:8" x14ac:dyDescent="0.2">
      <c r="A88" s="1607" t="s">
        <v>678</v>
      </c>
      <c r="B88" s="1607" t="s">
        <v>603</v>
      </c>
      <c r="C88" s="1607" t="s">
        <v>26</v>
      </c>
      <c r="D88" s="1607">
        <v>13</v>
      </c>
      <c r="E88" s="1607">
        <v>13</v>
      </c>
      <c r="F88" s="1607"/>
      <c r="G88" s="1607"/>
      <c r="H88" s="1607"/>
    </row>
    <row r="89" spans="1:8" x14ac:dyDescent="0.2">
      <c r="A89" s="1607" t="s">
        <v>678</v>
      </c>
      <c r="B89" s="1607" t="s">
        <v>603</v>
      </c>
      <c r="C89" s="1607" t="s">
        <v>27</v>
      </c>
      <c r="D89" s="1607">
        <v>5</v>
      </c>
      <c r="E89" s="1607">
        <v>5</v>
      </c>
      <c r="F89" s="1607"/>
      <c r="G89" s="1607"/>
      <c r="H89" s="1607"/>
    </row>
    <row r="90" spans="1:8" x14ac:dyDescent="0.2">
      <c r="A90" s="1607" t="s">
        <v>678</v>
      </c>
      <c r="B90" s="1607" t="s">
        <v>603</v>
      </c>
      <c r="C90" s="1607" t="s">
        <v>28</v>
      </c>
      <c r="D90" s="1607">
        <v>6</v>
      </c>
      <c r="E90" s="1607">
        <v>4</v>
      </c>
      <c r="F90" s="1607">
        <v>2</v>
      </c>
      <c r="G90" s="1607"/>
      <c r="H90" s="1607"/>
    </row>
    <row r="91" spans="1:8" x14ac:dyDescent="0.2">
      <c r="A91" s="1607" t="s">
        <v>678</v>
      </c>
      <c r="B91" s="1607" t="s">
        <v>603</v>
      </c>
      <c r="C91" s="1607" t="s">
        <v>29</v>
      </c>
      <c r="D91" s="1607">
        <v>33</v>
      </c>
      <c r="E91" s="1607">
        <v>29</v>
      </c>
      <c r="F91" s="1607">
        <v>2</v>
      </c>
      <c r="G91" s="1607">
        <v>1</v>
      </c>
      <c r="H91" s="1607">
        <v>1</v>
      </c>
    </row>
    <row r="92" spans="1:8" x14ac:dyDescent="0.2">
      <c r="A92" s="1607" t="s">
        <v>678</v>
      </c>
      <c r="B92" s="1607" t="s">
        <v>603</v>
      </c>
      <c r="C92" s="1607" t="s">
        <v>30</v>
      </c>
      <c r="D92" s="1607">
        <v>25</v>
      </c>
      <c r="E92" s="1607">
        <v>22</v>
      </c>
      <c r="F92" s="1607">
        <v>1</v>
      </c>
      <c r="G92" s="1607">
        <v>2</v>
      </c>
      <c r="H92" s="1607"/>
    </row>
    <row r="93" spans="1:8" x14ac:dyDescent="0.2">
      <c r="A93" s="1607" t="s">
        <v>678</v>
      </c>
      <c r="B93" s="1607" t="s">
        <v>603</v>
      </c>
      <c r="C93" s="1607" t="s">
        <v>31</v>
      </c>
      <c r="D93" s="1607">
        <v>13</v>
      </c>
      <c r="E93" s="1607">
        <v>9</v>
      </c>
      <c r="F93" s="1607">
        <v>4</v>
      </c>
      <c r="G93" s="1607"/>
      <c r="H93" s="1607"/>
    </row>
    <row r="94" spans="1:8" x14ac:dyDescent="0.2">
      <c r="A94" s="1607" t="s">
        <v>678</v>
      </c>
      <c r="B94" s="1607" t="s">
        <v>603</v>
      </c>
      <c r="C94" s="1607" t="s">
        <v>32</v>
      </c>
      <c r="D94" s="1607">
        <v>12</v>
      </c>
      <c r="E94" s="1607">
        <v>7</v>
      </c>
      <c r="F94" s="1607">
        <v>1</v>
      </c>
      <c r="G94" s="1607">
        <v>4</v>
      </c>
      <c r="H94" s="1607"/>
    </row>
    <row r="95" spans="1:8" x14ac:dyDescent="0.2">
      <c r="A95" s="1607" t="s">
        <v>678</v>
      </c>
      <c r="B95" s="1607" t="s">
        <v>603</v>
      </c>
      <c r="C95" s="1607" t="s">
        <v>33</v>
      </c>
      <c r="D95" s="1607">
        <v>9</v>
      </c>
      <c r="E95" s="1607">
        <v>9</v>
      </c>
      <c r="F95" s="1607"/>
      <c r="G95" s="1607"/>
      <c r="H95" s="1607"/>
    </row>
    <row r="96" spans="1:8" x14ac:dyDescent="0.2">
      <c r="A96" s="1607" t="s">
        <v>678</v>
      </c>
      <c r="B96" s="1607" t="s">
        <v>603</v>
      </c>
      <c r="C96" s="1607" t="s">
        <v>665</v>
      </c>
      <c r="D96" s="1607">
        <v>86</v>
      </c>
      <c r="E96" s="1607">
        <v>75</v>
      </c>
      <c r="F96" s="1607">
        <v>10</v>
      </c>
      <c r="G96" s="1607">
        <v>1</v>
      </c>
      <c r="H96" s="1607"/>
    </row>
    <row r="97" spans="1:8" x14ac:dyDescent="0.2">
      <c r="A97" s="1607" t="s">
        <v>678</v>
      </c>
      <c r="B97" s="1607" t="s">
        <v>603</v>
      </c>
      <c r="C97" s="1607" t="s">
        <v>34</v>
      </c>
      <c r="D97" s="1607">
        <v>24</v>
      </c>
      <c r="E97" s="1607">
        <v>16</v>
      </c>
      <c r="F97" s="1607">
        <v>7</v>
      </c>
      <c r="G97" s="1607"/>
      <c r="H97" s="1607">
        <v>1</v>
      </c>
    </row>
    <row r="98" spans="1:8" x14ac:dyDescent="0.2">
      <c r="A98" s="1607" t="s">
        <v>678</v>
      </c>
      <c r="B98" s="1607" t="s">
        <v>603</v>
      </c>
      <c r="C98" s="1607" t="s">
        <v>35</v>
      </c>
      <c r="D98" s="1607">
        <v>35</v>
      </c>
      <c r="E98" s="1607">
        <v>29</v>
      </c>
      <c r="F98" s="1607">
        <v>3</v>
      </c>
      <c r="G98" s="1607">
        <v>2</v>
      </c>
      <c r="H98" s="1607">
        <v>1</v>
      </c>
    </row>
    <row r="99" spans="1:8" x14ac:dyDescent="0.2">
      <c r="A99" s="1607" t="s">
        <v>678</v>
      </c>
      <c r="B99" s="1607" t="s">
        <v>603</v>
      </c>
      <c r="C99" s="1607" t="s">
        <v>36</v>
      </c>
      <c r="D99" s="1607">
        <v>153</v>
      </c>
      <c r="E99" s="1607">
        <v>137</v>
      </c>
      <c r="F99" s="1607">
        <v>12</v>
      </c>
      <c r="G99" s="1607">
        <v>2</v>
      </c>
      <c r="H99" s="1607">
        <v>2</v>
      </c>
    </row>
    <row r="100" spans="1:8" x14ac:dyDescent="0.2">
      <c r="A100" s="1607" t="s">
        <v>678</v>
      </c>
      <c r="B100" s="1607" t="s">
        <v>603</v>
      </c>
      <c r="C100" s="1607" t="s">
        <v>37</v>
      </c>
      <c r="D100" s="1607">
        <v>28</v>
      </c>
      <c r="E100" s="1607">
        <v>21</v>
      </c>
      <c r="F100" s="1607">
        <v>1</v>
      </c>
      <c r="G100" s="1607">
        <v>4</v>
      </c>
      <c r="H100" s="1607">
        <v>2</v>
      </c>
    </row>
    <row r="101" spans="1:8" x14ac:dyDescent="0.2">
      <c r="A101" s="1607" t="s">
        <v>678</v>
      </c>
      <c r="B101" s="1607" t="s">
        <v>603</v>
      </c>
      <c r="C101" s="1607" t="s">
        <v>38</v>
      </c>
      <c r="D101" s="1607">
        <v>10</v>
      </c>
      <c r="E101" s="1607">
        <v>9</v>
      </c>
      <c r="F101" s="1607"/>
      <c r="G101" s="1607"/>
      <c r="H101" s="1607">
        <v>1</v>
      </c>
    </row>
    <row r="102" spans="1:8" x14ac:dyDescent="0.2">
      <c r="A102" s="1607" t="s">
        <v>678</v>
      </c>
      <c r="B102" s="1607" t="s">
        <v>603</v>
      </c>
      <c r="C102" s="1607" t="s">
        <v>39</v>
      </c>
      <c r="D102" s="1607">
        <v>15</v>
      </c>
      <c r="E102" s="1607">
        <v>15</v>
      </c>
      <c r="F102" s="1607"/>
      <c r="G102" s="1607"/>
      <c r="H102" s="1607"/>
    </row>
    <row r="103" spans="1:8" x14ac:dyDescent="0.2">
      <c r="A103" s="1607" t="s">
        <v>678</v>
      </c>
      <c r="B103" s="1607" t="s">
        <v>603</v>
      </c>
      <c r="C103" s="1607" t="s">
        <v>40</v>
      </c>
      <c r="D103" s="1607">
        <v>18</v>
      </c>
      <c r="E103" s="1607">
        <v>13</v>
      </c>
      <c r="F103" s="1607">
        <v>3</v>
      </c>
      <c r="G103" s="1607">
        <v>2</v>
      </c>
      <c r="H103" s="1607"/>
    </row>
    <row r="104" spans="1:8" x14ac:dyDescent="0.2">
      <c r="A104" s="1607" t="s">
        <v>678</v>
      </c>
      <c r="B104" s="1607" t="s">
        <v>603</v>
      </c>
      <c r="C104" s="1607" t="s">
        <v>393</v>
      </c>
      <c r="D104" s="1607">
        <v>2</v>
      </c>
      <c r="E104" s="1607">
        <v>2</v>
      </c>
      <c r="F104" s="1607"/>
      <c r="G104" s="1607"/>
      <c r="H104" s="1607"/>
    </row>
    <row r="105" spans="1:8" x14ac:dyDescent="0.2">
      <c r="A105" s="1607" t="s">
        <v>678</v>
      </c>
      <c r="B105" s="1607" t="s">
        <v>603</v>
      </c>
      <c r="C105" s="1607" t="s">
        <v>41</v>
      </c>
      <c r="D105" s="1607">
        <v>14</v>
      </c>
      <c r="E105" s="1607">
        <v>12</v>
      </c>
      <c r="F105" s="1607">
        <v>2</v>
      </c>
      <c r="G105" s="1607"/>
      <c r="H105" s="1607"/>
    </row>
    <row r="106" spans="1:8" x14ac:dyDescent="0.2">
      <c r="A106" s="1607" t="s">
        <v>678</v>
      </c>
      <c r="B106" s="1607" t="s">
        <v>603</v>
      </c>
      <c r="C106" s="1607" t="s">
        <v>42</v>
      </c>
      <c r="D106" s="1607">
        <v>67</v>
      </c>
      <c r="E106" s="1607">
        <v>56</v>
      </c>
      <c r="F106" s="1607">
        <v>9</v>
      </c>
      <c r="G106" s="1607">
        <v>2</v>
      </c>
      <c r="H106" s="1607"/>
    </row>
    <row r="107" spans="1:8" x14ac:dyDescent="0.2">
      <c r="A107" s="1607" t="s">
        <v>678</v>
      </c>
      <c r="B107" s="1607" t="s">
        <v>603</v>
      </c>
      <c r="C107" s="1607" t="s">
        <v>43</v>
      </c>
      <c r="D107" s="1607">
        <v>1</v>
      </c>
      <c r="E107" s="1607"/>
      <c r="F107" s="1607"/>
      <c r="G107" s="1607">
        <v>1</v>
      </c>
      <c r="H107" s="1607"/>
    </row>
    <row r="108" spans="1:8" x14ac:dyDescent="0.2">
      <c r="A108" s="1607" t="s">
        <v>678</v>
      </c>
      <c r="B108" s="1607" t="s">
        <v>603</v>
      </c>
      <c r="C108" s="1607" t="s">
        <v>44</v>
      </c>
      <c r="D108" s="1607">
        <v>18</v>
      </c>
      <c r="E108" s="1607">
        <v>16</v>
      </c>
      <c r="F108" s="1607">
        <v>2</v>
      </c>
      <c r="G108" s="1607"/>
      <c r="H108" s="1607"/>
    </row>
    <row r="109" spans="1:8" x14ac:dyDescent="0.2">
      <c r="A109" s="1607" t="s">
        <v>678</v>
      </c>
      <c r="B109" s="1607" t="s">
        <v>603</v>
      </c>
      <c r="C109" s="1607" t="s">
        <v>45</v>
      </c>
      <c r="D109" s="1607">
        <v>35</v>
      </c>
      <c r="E109" s="1607">
        <v>30</v>
      </c>
      <c r="F109" s="1607">
        <v>1</v>
      </c>
      <c r="G109" s="1607">
        <v>4</v>
      </c>
      <c r="H109" s="1607"/>
    </row>
    <row r="110" spans="1:8" x14ac:dyDescent="0.2">
      <c r="A110" s="1607" t="s">
        <v>678</v>
      </c>
      <c r="B110" s="1607" t="s">
        <v>603</v>
      </c>
      <c r="C110" s="1607" t="s">
        <v>46</v>
      </c>
      <c r="D110" s="1607">
        <v>16</v>
      </c>
      <c r="E110" s="1607">
        <v>15</v>
      </c>
      <c r="F110" s="1607"/>
      <c r="G110" s="1607"/>
      <c r="H110" s="1607">
        <v>1</v>
      </c>
    </row>
    <row r="111" spans="1:8" x14ac:dyDescent="0.2">
      <c r="A111" s="1607" t="s">
        <v>678</v>
      </c>
      <c r="B111" s="1607" t="s">
        <v>603</v>
      </c>
      <c r="C111" s="1607" t="s">
        <v>47</v>
      </c>
      <c r="D111" s="1607">
        <v>6</v>
      </c>
      <c r="E111" s="1607">
        <v>5</v>
      </c>
      <c r="F111" s="1607">
        <v>1</v>
      </c>
      <c r="G111" s="1607"/>
      <c r="H111" s="1607"/>
    </row>
    <row r="112" spans="1:8" x14ac:dyDescent="0.2">
      <c r="A112" s="1607" t="s">
        <v>678</v>
      </c>
      <c r="B112" s="1607" t="s">
        <v>603</v>
      </c>
      <c r="C112" s="1607" t="s">
        <v>48</v>
      </c>
      <c r="D112" s="1607">
        <v>18</v>
      </c>
      <c r="E112" s="1607">
        <v>14</v>
      </c>
      <c r="F112" s="1607">
        <v>2</v>
      </c>
      <c r="G112" s="1607">
        <v>2</v>
      </c>
      <c r="H112" s="1607"/>
    </row>
    <row r="113" spans="1:8" x14ac:dyDescent="0.2">
      <c r="A113" s="1607" t="s">
        <v>678</v>
      </c>
      <c r="B113" s="1607" t="s">
        <v>603</v>
      </c>
      <c r="C113" s="1607" t="s">
        <v>49</v>
      </c>
      <c r="D113" s="1607">
        <v>51</v>
      </c>
      <c r="E113" s="1607">
        <v>44</v>
      </c>
      <c r="F113" s="1607">
        <v>5</v>
      </c>
      <c r="G113" s="1607"/>
      <c r="H113" s="1607">
        <v>2</v>
      </c>
    </row>
    <row r="114" spans="1:8" x14ac:dyDescent="0.2">
      <c r="A114" s="1607" t="s">
        <v>678</v>
      </c>
      <c r="B114" s="1607" t="s">
        <v>603</v>
      </c>
      <c r="C114" s="1607" t="s">
        <v>50</v>
      </c>
      <c r="D114" s="1607">
        <v>19</v>
      </c>
      <c r="E114" s="1607">
        <v>11</v>
      </c>
      <c r="F114" s="1607">
        <v>6</v>
      </c>
      <c r="G114" s="1607">
        <v>2</v>
      </c>
      <c r="H114" s="1607"/>
    </row>
    <row r="115" spans="1:8" x14ac:dyDescent="0.2">
      <c r="A115" s="1607" t="s">
        <v>678</v>
      </c>
      <c r="B115" s="1607" t="s">
        <v>603</v>
      </c>
      <c r="C115" s="1607" t="s">
        <v>51</v>
      </c>
      <c r="D115" s="1607">
        <v>20</v>
      </c>
      <c r="E115" s="1607">
        <v>18</v>
      </c>
      <c r="F115" s="1607">
        <v>1</v>
      </c>
      <c r="G115" s="1607"/>
      <c r="H115" s="1607">
        <v>1</v>
      </c>
    </row>
    <row r="116" spans="1:8" x14ac:dyDescent="0.2">
      <c r="A116" s="1607" t="s">
        <v>678</v>
      </c>
      <c r="B116" s="1607" t="s">
        <v>603</v>
      </c>
      <c r="C116" s="1607" t="s">
        <v>52</v>
      </c>
      <c r="D116" s="1607">
        <v>39</v>
      </c>
      <c r="E116" s="1607">
        <v>31</v>
      </c>
      <c r="F116" s="1607">
        <v>6</v>
      </c>
      <c r="G116" s="1607">
        <v>1</v>
      </c>
      <c r="H116" s="1607">
        <v>1</v>
      </c>
    </row>
    <row r="117" spans="1:8" x14ac:dyDescent="0.2">
      <c r="A117" s="1607" t="s">
        <v>679</v>
      </c>
      <c r="B117" s="1607" t="s">
        <v>160</v>
      </c>
      <c r="C117" s="1607" t="s">
        <v>23</v>
      </c>
      <c r="D117" s="1607">
        <v>1</v>
      </c>
      <c r="E117" s="1607">
        <v>1</v>
      </c>
      <c r="F117" s="1607"/>
      <c r="G117" s="1607"/>
      <c r="H117" s="1607"/>
    </row>
    <row r="118" spans="1:8" x14ac:dyDescent="0.2">
      <c r="A118" s="1607" t="s">
        <v>679</v>
      </c>
      <c r="B118" s="1607" t="s">
        <v>160</v>
      </c>
      <c r="C118" s="1607" t="s">
        <v>24</v>
      </c>
      <c r="D118" s="1607">
        <v>2</v>
      </c>
      <c r="E118" s="1607">
        <v>2</v>
      </c>
      <c r="F118" s="1607"/>
      <c r="G118" s="1607"/>
      <c r="H118" s="1607"/>
    </row>
    <row r="119" spans="1:8" x14ac:dyDescent="0.2">
      <c r="A119" s="1607" t="s">
        <v>679</v>
      </c>
      <c r="B119" s="1607" t="s">
        <v>160</v>
      </c>
      <c r="C119" s="1607" t="s">
        <v>25</v>
      </c>
      <c r="D119" s="1607">
        <v>1</v>
      </c>
      <c r="E119" s="1607"/>
      <c r="F119" s="1607">
        <v>1</v>
      </c>
      <c r="G119" s="1607"/>
      <c r="H119" s="1607"/>
    </row>
    <row r="120" spans="1:8" x14ac:dyDescent="0.2">
      <c r="A120" s="1607" t="s">
        <v>679</v>
      </c>
      <c r="B120" s="1607" t="s">
        <v>160</v>
      </c>
      <c r="C120" s="1607" t="s">
        <v>26</v>
      </c>
      <c r="D120" s="1607">
        <v>1</v>
      </c>
      <c r="E120" s="1607"/>
      <c r="F120" s="1607">
        <v>1</v>
      </c>
      <c r="G120" s="1607"/>
      <c r="H120" s="1607"/>
    </row>
    <row r="121" spans="1:8" x14ac:dyDescent="0.2">
      <c r="A121" s="1607" t="s">
        <v>679</v>
      </c>
      <c r="B121" s="1607" t="s">
        <v>160</v>
      </c>
      <c r="C121" s="1607" t="s">
        <v>28</v>
      </c>
      <c r="D121" s="1607">
        <v>3</v>
      </c>
      <c r="E121" s="1607">
        <v>2</v>
      </c>
      <c r="F121" s="1607"/>
      <c r="G121" s="1607">
        <v>1</v>
      </c>
      <c r="H121" s="1607"/>
    </row>
    <row r="122" spans="1:8" x14ac:dyDescent="0.2">
      <c r="A122" s="1607" t="s">
        <v>679</v>
      </c>
      <c r="B122" s="1607" t="s">
        <v>160</v>
      </c>
      <c r="C122" s="1607" t="s">
        <v>29</v>
      </c>
      <c r="D122" s="1607">
        <v>2</v>
      </c>
      <c r="E122" s="1607">
        <v>2</v>
      </c>
      <c r="F122" s="1607"/>
      <c r="G122" s="1607"/>
      <c r="H122" s="1607"/>
    </row>
    <row r="123" spans="1:8" x14ac:dyDescent="0.2">
      <c r="A123" s="1607" t="s">
        <v>679</v>
      </c>
      <c r="B123" s="1607" t="s">
        <v>160</v>
      </c>
      <c r="C123" s="1607" t="s">
        <v>32</v>
      </c>
      <c r="D123" s="1607">
        <v>1</v>
      </c>
      <c r="E123" s="1607">
        <v>1</v>
      </c>
      <c r="F123" s="1607"/>
      <c r="G123" s="1607"/>
      <c r="H123" s="1607"/>
    </row>
    <row r="124" spans="1:8" x14ac:dyDescent="0.2">
      <c r="A124" s="1607" t="s">
        <v>679</v>
      </c>
      <c r="B124" s="1607" t="s">
        <v>160</v>
      </c>
      <c r="C124" s="1607" t="s">
        <v>33</v>
      </c>
      <c r="D124" s="1607">
        <v>2</v>
      </c>
      <c r="E124" s="1607">
        <v>1</v>
      </c>
      <c r="F124" s="1607">
        <v>1</v>
      </c>
      <c r="G124" s="1607"/>
      <c r="H124" s="1607"/>
    </row>
    <row r="125" spans="1:8" x14ac:dyDescent="0.2">
      <c r="A125" s="1607" t="s">
        <v>679</v>
      </c>
      <c r="B125" s="1607" t="s">
        <v>160</v>
      </c>
      <c r="C125" s="1607" t="s">
        <v>665</v>
      </c>
      <c r="D125" s="1607">
        <v>4</v>
      </c>
      <c r="E125" s="1607">
        <v>4</v>
      </c>
      <c r="F125" s="1607"/>
      <c r="G125" s="1607"/>
      <c r="H125" s="1607"/>
    </row>
    <row r="126" spans="1:8" x14ac:dyDescent="0.2">
      <c r="A126" s="1607" t="s">
        <v>679</v>
      </c>
      <c r="B126" s="1607" t="s">
        <v>160</v>
      </c>
      <c r="C126" s="1607" t="s">
        <v>34</v>
      </c>
      <c r="D126" s="1607">
        <v>2</v>
      </c>
      <c r="E126" s="1607">
        <v>2</v>
      </c>
      <c r="F126" s="1607"/>
      <c r="G126" s="1607"/>
      <c r="H126" s="1607"/>
    </row>
    <row r="127" spans="1:8" x14ac:dyDescent="0.2">
      <c r="A127" s="1607" t="s">
        <v>679</v>
      </c>
      <c r="B127" s="1607" t="s">
        <v>160</v>
      </c>
      <c r="C127" s="1607" t="s">
        <v>35</v>
      </c>
      <c r="D127" s="1607">
        <v>1</v>
      </c>
      <c r="E127" s="1607">
        <v>1</v>
      </c>
      <c r="F127" s="1607"/>
      <c r="G127" s="1607"/>
      <c r="H127" s="1607"/>
    </row>
    <row r="128" spans="1:8" x14ac:dyDescent="0.2">
      <c r="A128" s="1607" t="s">
        <v>679</v>
      </c>
      <c r="B128" s="1607" t="s">
        <v>160</v>
      </c>
      <c r="C128" s="1607" t="s">
        <v>36</v>
      </c>
      <c r="D128" s="1607">
        <v>4</v>
      </c>
      <c r="E128" s="1607">
        <v>4</v>
      </c>
      <c r="F128" s="1607"/>
      <c r="G128" s="1607"/>
      <c r="H128" s="1607"/>
    </row>
    <row r="129" spans="1:8" x14ac:dyDescent="0.2">
      <c r="A129" s="1607" t="s">
        <v>679</v>
      </c>
      <c r="B129" s="1607" t="s">
        <v>160</v>
      </c>
      <c r="C129" s="1607" t="s">
        <v>37</v>
      </c>
      <c r="D129" s="1607">
        <v>6</v>
      </c>
      <c r="E129" s="1607">
        <v>5</v>
      </c>
      <c r="F129" s="1607"/>
      <c r="G129" s="1607">
        <v>1</v>
      </c>
      <c r="H129" s="1607"/>
    </row>
    <row r="130" spans="1:8" x14ac:dyDescent="0.2">
      <c r="A130" s="1607" t="s">
        <v>679</v>
      </c>
      <c r="B130" s="1607" t="s">
        <v>160</v>
      </c>
      <c r="C130" s="1607" t="s">
        <v>38</v>
      </c>
      <c r="D130" s="1607">
        <v>1</v>
      </c>
      <c r="E130" s="1607">
        <v>1</v>
      </c>
      <c r="F130" s="1607"/>
      <c r="G130" s="1607"/>
      <c r="H130" s="1607"/>
    </row>
    <row r="131" spans="1:8" x14ac:dyDescent="0.2">
      <c r="A131" s="1607" t="s">
        <v>679</v>
      </c>
      <c r="B131" s="1607" t="s">
        <v>160</v>
      </c>
      <c r="C131" s="1607" t="s">
        <v>41</v>
      </c>
      <c r="D131" s="1607">
        <v>1</v>
      </c>
      <c r="E131" s="1607">
        <v>1</v>
      </c>
      <c r="F131" s="1607"/>
      <c r="G131" s="1607"/>
      <c r="H131" s="1607"/>
    </row>
    <row r="132" spans="1:8" x14ac:dyDescent="0.2">
      <c r="A132" s="1607" t="s">
        <v>679</v>
      </c>
      <c r="B132" s="1607" t="s">
        <v>160</v>
      </c>
      <c r="C132" s="1607" t="s">
        <v>42</v>
      </c>
      <c r="D132" s="1607">
        <v>4</v>
      </c>
      <c r="E132" s="1607">
        <v>4</v>
      </c>
      <c r="F132" s="1607"/>
      <c r="G132" s="1607"/>
      <c r="H132" s="1607"/>
    </row>
    <row r="133" spans="1:8" x14ac:dyDescent="0.2">
      <c r="A133" s="1607" t="s">
        <v>679</v>
      </c>
      <c r="B133" s="1607" t="s">
        <v>160</v>
      </c>
      <c r="C133" s="1607" t="s">
        <v>46</v>
      </c>
      <c r="D133" s="1607">
        <v>1</v>
      </c>
      <c r="E133" s="1607">
        <v>1</v>
      </c>
      <c r="F133" s="1607"/>
      <c r="G133" s="1607"/>
      <c r="H133" s="1607"/>
    </row>
    <row r="134" spans="1:8" x14ac:dyDescent="0.2">
      <c r="A134" s="1607" t="s">
        <v>679</v>
      </c>
      <c r="B134" s="1607" t="s">
        <v>160</v>
      </c>
      <c r="C134" s="1607" t="s">
        <v>47</v>
      </c>
      <c r="D134" s="1607">
        <v>1</v>
      </c>
      <c r="E134" s="1607">
        <v>1</v>
      </c>
      <c r="F134" s="1607"/>
      <c r="G134" s="1607"/>
      <c r="H134" s="1607"/>
    </row>
    <row r="135" spans="1:8" x14ac:dyDescent="0.2">
      <c r="A135" s="1607" t="s">
        <v>679</v>
      </c>
      <c r="B135" s="1607" t="s">
        <v>160</v>
      </c>
      <c r="C135" s="1607" t="s">
        <v>48</v>
      </c>
      <c r="D135" s="1607">
        <v>1</v>
      </c>
      <c r="E135" s="1607"/>
      <c r="F135" s="1607"/>
      <c r="G135" s="1607">
        <v>1</v>
      </c>
      <c r="H135" s="1607"/>
    </row>
    <row r="136" spans="1:8" x14ac:dyDescent="0.2">
      <c r="A136" s="1607" t="s">
        <v>679</v>
      </c>
      <c r="B136" s="1607" t="s">
        <v>160</v>
      </c>
      <c r="C136" s="1607" t="s">
        <v>49</v>
      </c>
      <c r="D136" s="1607">
        <v>4</v>
      </c>
      <c r="E136" s="1607">
        <v>4</v>
      </c>
      <c r="F136" s="1607"/>
      <c r="G136" s="1607"/>
      <c r="H136" s="1607"/>
    </row>
    <row r="137" spans="1:8" x14ac:dyDescent="0.2">
      <c r="A137" s="1607" t="s">
        <v>679</v>
      </c>
      <c r="B137" s="1607" t="s">
        <v>160</v>
      </c>
      <c r="C137" s="1607" t="s">
        <v>50</v>
      </c>
      <c r="D137" s="1607">
        <v>1</v>
      </c>
      <c r="E137" s="1607">
        <v>1</v>
      </c>
      <c r="F137" s="1607"/>
      <c r="G137" s="1607"/>
      <c r="H137" s="1607"/>
    </row>
    <row r="138" spans="1:8" x14ac:dyDescent="0.2">
      <c r="A138" s="1607" t="s">
        <v>679</v>
      </c>
      <c r="B138" s="1607" t="s">
        <v>160</v>
      </c>
      <c r="C138" s="1607" t="s">
        <v>52</v>
      </c>
      <c r="D138" s="1607">
        <v>1</v>
      </c>
      <c r="E138" s="1607">
        <v>1</v>
      </c>
      <c r="F138" s="1607"/>
      <c r="G138" s="1607"/>
      <c r="H138" s="1607"/>
    </row>
    <row r="139" spans="1:8" x14ac:dyDescent="0.2">
      <c r="A139" s="1607" t="s">
        <v>679</v>
      </c>
      <c r="B139" s="1607" t="s">
        <v>379</v>
      </c>
      <c r="C139" s="1607" t="s">
        <v>23</v>
      </c>
      <c r="D139" s="1607">
        <v>2</v>
      </c>
      <c r="E139" s="1607">
        <v>2</v>
      </c>
      <c r="F139" s="1607"/>
      <c r="G139" s="1607"/>
      <c r="H139" s="1607"/>
    </row>
    <row r="140" spans="1:8" x14ac:dyDescent="0.2">
      <c r="A140" s="1607" t="s">
        <v>679</v>
      </c>
      <c r="B140" s="1607" t="s">
        <v>379</v>
      </c>
      <c r="C140" s="1607" t="s">
        <v>24</v>
      </c>
      <c r="D140" s="1607">
        <v>2</v>
      </c>
      <c r="E140" s="1607">
        <v>2</v>
      </c>
      <c r="F140" s="1607"/>
      <c r="G140" s="1607"/>
      <c r="H140" s="1607"/>
    </row>
    <row r="141" spans="1:8" x14ac:dyDescent="0.2">
      <c r="A141" s="1607" t="s">
        <v>679</v>
      </c>
      <c r="B141" s="1607" t="s">
        <v>379</v>
      </c>
      <c r="C141" s="1607" t="s">
        <v>28</v>
      </c>
      <c r="D141" s="1607">
        <v>1</v>
      </c>
      <c r="E141" s="1607">
        <v>1</v>
      </c>
      <c r="F141" s="1607"/>
      <c r="G141" s="1607"/>
      <c r="H141" s="1607"/>
    </row>
    <row r="142" spans="1:8" x14ac:dyDescent="0.2">
      <c r="A142" s="1607" t="s">
        <v>679</v>
      </c>
      <c r="B142" s="1607" t="s">
        <v>379</v>
      </c>
      <c r="C142" s="1607" t="s">
        <v>29</v>
      </c>
      <c r="D142" s="1607">
        <v>1</v>
      </c>
      <c r="E142" s="1607"/>
      <c r="F142" s="1607"/>
      <c r="G142" s="1607">
        <v>1</v>
      </c>
      <c r="H142" s="1607"/>
    </row>
    <row r="143" spans="1:8" x14ac:dyDescent="0.2">
      <c r="A143" s="1607" t="s">
        <v>679</v>
      </c>
      <c r="B143" s="1607" t="s">
        <v>379</v>
      </c>
      <c r="C143" s="1607" t="s">
        <v>30</v>
      </c>
      <c r="D143" s="1607">
        <v>3</v>
      </c>
      <c r="E143" s="1607">
        <v>2</v>
      </c>
      <c r="F143" s="1607">
        <v>1</v>
      </c>
      <c r="G143" s="1607"/>
      <c r="H143" s="1607"/>
    </row>
    <row r="144" spans="1:8" x14ac:dyDescent="0.2">
      <c r="A144" s="1607" t="s">
        <v>679</v>
      </c>
      <c r="B144" s="1607" t="s">
        <v>379</v>
      </c>
      <c r="C144" s="1607" t="s">
        <v>31</v>
      </c>
      <c r="D144" s="1607">
        <v>2</v>
      </c>
      <c r="E144" s="1607">
        <v>2</v>
      </c>
      <c r="F144" s="1607"/>
      <c r="G144" s="1607"/>
      <c r="H144" s="1607"/>
    </row>
    <row r="145" spans="1:8" x14ac:dyDescent="0.2">
      <c r="A145" s="1607" t="s">
        <v>679</v>
      </c>
      <c r="B145" s="1607" t="s">
        <v>379</v>
      </c>
      <c r="C145" s="1607" t="s">
        <v>665</v>
      </c>
      <c r="D145" s="1607">
        <v>3</v>
      </c>
      <c r="E145" s="1607">
        <v>3</v>
      </c>
      <c r="F145" s="1607"/>
      <c r="G145" s="1607"/>
      <c r="H145" s="1607"/>
    </row>
    <row r="146" spans="1:8" x14ac:dyDescent="0.2">
      <c r="A146" s="1607" t="s">
        <v>679</v>
      </c>
      <c r="B146" s="1607" t="s">
        <v>379</v>
      </c>
      <c r="C146" s="1607" t="s">
        <v>34</v>
      </c>
      <c r="D146" s="1607">
        <v>2</v>
      </c>
      <c r="E146" s="1607">
        <v>2</v>
      </c>
      <c r="F146" s="1607"/>
      <c r="G146" s="1607"/>
      <c r="H146" s="1607"/>
    </row>
    <row r="147" spans="1:8" x14ac:dyDescent="0.2">
      <c r="A147" s="1607" t="s">
        <v>679</v>
      </c>
      <c r="B147" s="1607" t="s">
        <v>379</v>
      </c>
      <c r="C147" s="1607" t="s">
        <v>35</v>
      </c>
      <c r="D147" s="1607">
        <v>4</v>
      </c>
      <c r="E147" s="1607">
        <v>4</v>
      </c>
      <c r="F147" s="1607"/>
      <c r="G147" s="1607"/>
      <c r="H147" s="1607"/>
    </row>
    <row r="148" spans="1:8" x14ac:dyDescent="0.2">
      <c r="A148" s="1607" t="s">
        <v>679</v>
      </c>
      <c r="B148" s="1607" t="s">
        <v>379</v>
      </c>
      <c r="C148" s="1607" t="s">
        <v>36</v>
      </c>
      <c r="D148" s="1607">
        <v>8</v>
      </c>
      <c r="E148" s="1607">
        <v>6</v>
      </c>
      <c r="F148" s="1607">
        <v>2</v>
      </c>
      <c r="G148" s="1607"/>
      <c r="H148" s="1607"/>
    </row>
    <row r="149" spans="1:8" x14ac:dyDescent="0.2">
      <c r="A149" s="1607" t="s">
        <v>679</v>
      </c>
      <c r="B149" s="1607" t="s">
        <v>379</v>
      </c>
      <c r="C149" s="1607" t="s">
        <v>37</v>
      </c>
      <c r="D149" s="1607">
        <v>3</v>
      </c>
      <c r="E149" s="1607">
        <v>2</v>
      </c>
      <c r="F149" s="1607"/>
      <c r="G149" s="1607">
        <v>1</v>
      </c>
      <c r="H149" s="1607"/>
    </row>
    <row r="150" spans="1:8" x14ac:dyDescent="0.2">
      <c r="A150" s="1607" t="s">
        <v>679</v>
      </c>
      <c r="B150" s="1607" t="s">
        <v>379</v>
      </c>
      <c r="C150" s="1607" t="s">
        <v>38</v>
      </c>
      <c r="D150" s="1607">
        <v>1</v>
      </c>
      <c r="E150" s="1607">
        <v>1</v>
      </c>
      <c r="F150" s="1607"/>
      <c r="G150" s="1607"/>
      <c r="H150" s="1607"/>
    </row>
    <row r="151" spans="1:8" x14ac:dyDescent="0.2">
      <c r="A151" s="1607" t="s">
        <v>679</v>
      </c>
      <c r="B151" s="1607" t="s">
        <v>379</v>
      </c>
      <c r="C151" s="1607" t="s">
        <v>39</v>
      </c>
      <c r="D151" s="1607">
        <v>1</v>
      </c>
      <c r="E151" s="1607"/>
      <c r="F151" s="1607"/>
      <c r="G151" s="1607">
        <v>1</v>
      </c>
      <c r="H151" s="1607"/>
    </row>
    <row r="152" spans="1:8" x14ac:dyDescent="0.2">
      <c r="A152" s="1607" t="s">
        <v>679</v>
      </c>
      <c r="B152" s="1607" t="s">
        <v>379</v>
      </c>
      <c r="C152" s="1607" t="s">
        <v>40</v>
      </c>
      <c r="D152" s="1607">
        <v>1</v>
      </c>
      <c r="E152" s="1607">
        <v>1</v>
      </c>
      <c r="F152" s="1607"/>
      <c r="G152" s="1607"/>
      <c r="H152" s="1607"/>
    </row>
    <row r="153" spans="1:8" x14ac:dyDescent="0.2">
      <c r="A153" s="1607" t="s">
        <v>679</v>
      </c>
      <c r="B153" s="1607" t="s">
        <v>379</v>
      </c>
      <c r="C153" s="1607" t="s">
        <v>393</v>
      </c>
      <c r="D153" s="1607">
        <v>3</v>
      </c>
      <c r="E153" s="1607">
        <v>3</v>
      </c>
      <c r="F153" s="1607"/>
      <c r="G153" s="1607"/>
      <c r="H153" s="1607"/>
    </row>
    <row r="154" spans="1:8" x14ac:dyDescent="0.2">
      <c r="A154" s="1607" t="s">
        <v>679</v>
      </c>
      <c r="B154" s="1607" t="s">
        <v>379</v>
      </c>
      <c r="C154" s="1607" t="s">
        <v>41</v>
      </c>
      <c r="D154" s="1607">
        <v>1</v>
      </c>
      <c r="E154" s="1607"/>
      <c r="F154" s="1607"/>
      <c r="G154" s="1607">
        <v>1</v>
      </c>
      <c r="H154" s="1607"/>
    </row>
    <row r="155" spans="1:8" x14ac:dyDescent="0.2">
      <c r="A155" s="1607" t="s">
        <v>679</v>
      </c>
      <c r="B155" s="1607" t="s">
        <v>379</v>
      </c>
      <c r="C155" s="1607" t="s">
        <v>42</v>
      </c>
      <c r="D155" s="1607">
        <v>1</v>
      </c>
      <c r="E155" s="1607">
        <v>1</v>
      </c>
      <c r="F155" s="1607"/>
      <c r="G155" s="1607"/>
      <c r="H155" s="1607"/>
    </row>
    <row r="156" spans="1:8" x14ac:dyDescent="0.2">
      <c r="A156" s="1607" t="s">
        <v>679</v>
      </c>
      <c r="B156" s="1607" t="s">
        <v>379</v>
      </c>
      <c r="C156" s="1607" t="s">
        <v>44</v>
      </c>
      <c r="D156" s="1607">
        <v>1</v>
      </c>
      <c r="E156" s="1607">
        <v>1</v>
      </c>
      <c r="F156" s="1607"/>
      <c r="G156" s="1607"/>
      <c r="H156" s="1607"/>
    </row>
    <row r="157" spans="1:8" x14ac:dyDescent="0.2">
      <c r="A157" s="1607" t="s">
        <v>679</v>
      </c>
      <c r="B157" s="1607" t="s">
        <v>379</v>
      </c>
      <c r="C157" s="1607" t="s">
        <v>45</v>
      </c>
      <c r="D157" s="1607">
        <v>1</v>
      </c>
      <c r="E157" s="1607">
        <v>1</v>
      </c>
      <c r="F157" s="1607"/>
      <c r="G157" s="1607"/>
      <c r="H157" s="1607"/>
    </row>
    <row r="158" spans="1:8" x14ac:dyDescent="0.2">
      <c r="A158" s="1607" t="s">
        <v>679</v>
      </c>
      <c r="B158" s="1607" t="s">
        <v>379</v>
      </c>
      <c r="C158" s="1607" t="s">
        <v>46</v>
      </c>
      <c r="D158" s="1607">
        <v>1</v>
      </c>
      <c r="E158" s="1607">
        <v>1</v>
      </c>
      <c r="F158" s="1607"/>
      <c r="G158" s="1607"/>
      <c r="H158" s="1607"/>
    </row>
    <row r="159" spans="1:8" x14ac:dyDescent="0.2">
      <c r="A159" s="1607" t="s">
        <v>679</v>
      </c>
      <c r="B159" s="1607" t="s">
        <v>379</v>
      </c>
      <c r="C159" s="1607" t="s">
        <v>49</v>
      </c>
      <c r="D159" s="1607">
        <v>1</v>
      </c>
      <c r="E159" s="1607"/>
      <c r="F159" s="1607"/>
      <c r="G159" s="1607">
        <v>1</v>
      </c>
      <c r="H159" s="1607"/>
    </row>
    <row r="160" spans="1:8" x14ac:dyDescent="0.2">
      <c r="A160" s="1607" t="s">
        <v>679</v>
      </c>
      <c r="B160" s="1607" t="s">
        <v>379</v>
      </c>
      <c r="C160" s="1607" t="s">
        <v>50</v>
      </c>
      <c r="D160" s="1607">
        <v>1</v>
      </c>
      <c r="E160" s="1607">
        <v>1</v>
      </c>
      <c r="F160" s="1607"/>
      <c r="G160" s="1607"/>
      <c r="H160" s="1607"/>
    </row>
    <row r="161" spans="1:8" x14ac:dyDescent="0.2">
      <c r="A161" s="1607" t="s">
        <v>679</v>
      </c>
      <c r="B161" s="1607" t="s">
        <v>603</v>
      </c>
      <c r="C161" s="1607" t="s">
        <v>23</v>
      </c>
      <c r="D161" s="1607">
        <v>3</v>
      </c>
      <c r="E161" s="1607">
        <v>3</v>
      </c>
      <c r="F161" s="1607"/>
      <c r="G161" s="1607"/>
      <c r="H161" s="1607"/>
    </row>
    <row r="162" spans="1:8" x14ac:dyDescent="0.2">
      <c r="A162" s="1607" t="s">
        <v>679</v>
      </c>
      <c r="B162" s="1607" t="s">
        <v>603</v>
      </c>
      <c r="C162" s="1607" t="s">
        <v>24</v>
      </c>
      <c r="D162" s="1607">
        <v>1</v>
      </c>
      <c r="E162" s="1607">
        <v>1</v>
      </c>
      <c r="F162" s="1607"/>
      <c r="G162" s="1607"/>
      <c r="H162" s="1607"/>
    </row>
    <row r="163" spans="1:8" x14ac:dyDescent="0.2">
      <c r="A163" s="1607" t="s">
        <v>679</v>
      </c>
      <c r="B163" s="1607" t="s">
        <v>603</v>
      </c>
      <c r="C163" s="1607" t="s">
        <v>26</v>
      </c>
      <c r="D163" s="1607">
        <v>1</v>
      </c>
      <c r="E163" s="1607">
        <v>1</v>
      </c>
      <c r="F163" s="1607"/>
      <c r="G163" s="1607"/>
      <c r="H163" s="1607"/>
    </row>
    <row r="164" spans="1:8" x14ac:dyDescent="0.2">
      <c r="A164" s="1607" t="s">
        <v>679</v>
      </c>
      <c r="B164" s="1607" t="s">
        <v>603</v>
      </c>
      <c r="C164" s="1607" t="s">
        <v>28</v>
      </c>
      <c r="D164" s="1607">
        <v>5</v>
      </c>
      <c r="E164" s="1607">
        <v>3</v>
      </c>
      <c r="F164" s="1607"/>
      <c r="G164" s="1607">
        <v>2</v>
      </c>
      <c r="H164" s="1607"/>
    </row>
    <row r="165" spans="1:8" x14ac:dyDescent="0.2">
      <c r="A165" s="1607" t="s">
        <v>679</v>
      </c>
      <c r="B165" s="1607" t="s">
        <v>603</v>
      </c>
      <c r="C165" s="1607" t="s">
        <v>30</v>
      </c>
      <c r="D165" s="1607">
        <v>1</v>
      </c>
      <c r="E165" s="1607">
        <v>1</v>
      </c>
      <c r="F165" s="1607"/>
      <c r="G165" s="1607"/>
      <c r="H165" s="1607"/>
    </row>
    <row r="166" spans="1:8" x14ac:dyDescent="0.2">
      <c r="A166" s="1607" t="s">
        <v>679</v>
      </c>
      <c r="B166" s="1607" t="s">
        <v>603</v>
      </c>
      <c r="C166" s="1607" t="s">
        <v>32</v>
      </c>
      <c r="D166" s="1607">
        <v>2</v>
      </c>
      <c r="E166" s="1607">
        <v>2</v>
      </c>
      <c r="F166" s="1607"/>
      <c r="G166" s="1607"/>
      <c r="H166" s="1607"/>
    </row>
    <row r="167" spans="1:8" x14ac:dyDescent="0.2">
      <c r="A167" s="1607" t="s">
        <v>679</v>
      </c>
      <c r="B167" s="1607" t="s">
        <v>603</v>
      </c>
      <c r="C167" s="1607" t="s">
        <v>665</v>
      </c>
      <c r="D167" s="1607">
        <v>1</v>
      </c>
      <c r="E167" s="1607">
        <v>1</v>
      </c>
      <c r="F167" s="1607"/>
      <c r="G167" s="1607"/>
      <c r="H167" s="1607"/>
    </row>
    <row r="168" spans="1:8" x14ac:dyDescent="0.2">
      <c r="A168" s="1607" t="s">
        <v>679</v>
      </c>
      <c r="B168" s="1607" t="s">
        <v>603</v>
      </c>
      <c r="C168" s="1607" t="s">
        <v>34</v>
      </c>
      <c r="D168" s="1607">
        <v>2</v>
      </c>
      <c r="E168" s="1607">
        <v>2</v>
      </c>
      <c r="F168" s="1607"/>
      <c r="G168" s="1607"/>
      <c r="H168" s="1607"/>
    </row>
    <row r="169" spans="1:8" x14ac:dyDescent="0.2">
      <c r="A169" s="1607" t="s">
        <v>679</v>
      </c>
      <c r="B169" s="1607" t="s">
        <v>603</v>
      </c>
      <c r="C169" s="1607" t="s">
        <v>35</v>
      </c>
      <c r="D169" s="1607">
        <v>2</v>
      </c>
      <c r="E169" s="1607">
        <v>2</v>
      </c>
      <c r="F169" s="1607"/>
      <c r="G169" s="1607"/>
      <c r="H169" s="1607"/>
    </row>
    <row r="170" spans="1:8" x14ac:dyDescent="0.2">
      <c r="A170" s="1607" t="s">
        <v>679</v>
      </c>
      <c r="B170" s="1607" t="s">
        <v>603</v>
      </c>
      <c r="C170" s="1607" t="s">
        <v>36</v>
      </c>
      <c r="D170" s="1607">
        <v>5</v>
      </c>
      <c r="E170" s="1607">
        <v>5</v>
      </c>
      <c r="F170" s="1607"/>
      <c r="G170" s="1607"/>
      <c r="H170" s="1607"/>
    </row>
    <row r="171" spans="1:8" x14ac:dyDescent="0.2">
      <c r="A171" s="1607" t="s">
        <v>679</v>
      </c>
      <c r="B171" s="1607" t="s">
        <v>603</v>
      </c>
      <c r="C171" s="1607" t="s">
        <v>37</v>
      </c>
      <c r="D171" s="1607">
        <v>2</v>
      </c>
      <c r="E171" s="1607">
        <v>2</v>
      </c>
      <c r="F171" s="1607"/>
      <c r="G171" s="1607"/>
      <c r="H171" s="1607"/>
    </row>
    <row r="172" spans="1:8" x14ac:dyDescent="0.2">
      <c r="A172" s="1607" t="s">
        <v>679</v>
      </c>
      <c r="B172" s="1607" t="s">
        <v>603</v>
      </c>
      <c r="C172" s="1607" t="s">
        <v>40</v>
      </c>
      <c r="D172" s="1607">
        <v>1</v>
      </c>
      <c r="E172" s="1607"/>
      <c r="F172" s="1607"/>
      <c r="G172" s="1607"/>
      <c r="H172" s="1607">
        <v>1</v>
      </c>
    </row>
    <row r="173" spans="1:8" x14ac:dyDescent="0.2">
      <c r="A173" s="1607" t="s">
        <v>679</v>
      </c>
      <c r="B173" s="1607" t="s">
        <v>603</v>
      </c>
      <c r="C173" s="1607" t="s">
        <v>393</v>
      </c>
      <c r="D173" s="1607">
        <v>1</v>
      </c>
      <c r="E173" s="1607">
        <v>1</v>
      </c>
      <c r="F173" s="1607"/>
      <c r="G173" s="1607"/>
      <c r="H173" s="1607"/>
    </row>
    <row r="174" spans="1:8" x14ac:dyDescent="0.2">
      <c r="A174" s="1607" t="s">
        <v>679</v>
      </c>
      <c r="B174" s="1607" t="s">
        <v>603</v>
      </c>
      <c r="C174" s="1607" t="s">
        <v>42</v>
      </c>
      <c r="D174" s="1607">
        <v>2</v>
      </c>
      <c r="E174" s="1607">
        <v>1</v>
      </c>
      <c r="F174" s="1607">
        <v>1</v>
      </c>
      <c r="G174" s="1607"/>
      <c r="H174" s="1607"/>
    </row>
    <row r="175" spans="1:8" x14ac:dyDescent="0.2">
      <c r="A175" s="1607" t="s">
        <v>679</v>
      </c>
      <c r="B175" s="1607" t="s">
        <v>603</v>
      </c>
      <c r="C175" s="1607" t="s">
        <v>45</v>
      </c>
      <c r="D175" s="1607">
        <v>1</v>
      </c>
      <c r="E175" s="1607">
        <v>1</v>
      </c>
      <c r="F175" s="1607"/>
      <c r="G175" s="1607"/>
      <c r="H175" s="1607"/>
    </row>
    <row r="176" spans="1:8" x14ac:dyDescent="0.2">
      <c r="A176" s="1607" t="s">
        <v>679</v>
      </c>
      <c r="B176" s="1607" t="s">
        <v>603</v>
      </c>
      <c r="C176" s="1607" t="s">
        <v>46</v>
      </c>
      <c r="D176" s="1607">
        <v>1</v>
      </c>
      <c r="E176" s="1607">
        <v>1</v>
      </c>
      <c r="F176" s="1607"/>
      <c r="G176" s="1607"/>
      <c r="H176" s="1607"/>
    </row>
    <row r="177" spans="1:8" x14ac:dyDescent="0.2">
      <c r="A177" s="1607" t="s">
        <v>679</v>
      </c>
      <c r="B177" s="1607" t="s">
        <v>603</v>
      </c>
      <c r="C177" s="1607" t="s">
        <v>48</v>
      </c>
      <c r="D177" s="1607">
        <v>4</v>
      </c>
      <c r="E177" s="1607">
        <v>3</v>
      </c>
      <c r="F177" s="1607"/>
      <c r="G177" s="1607">
        <v>1</v>
      </c>
      <c r="H177" s="1607"/>
    </row>
    <row r="178" spans="1:8" x14ac:dyDescent="0.2">
      <c r="A178" s="1607" t="s">
        <v>679</v>
      </c>
      <c r="B178" s="1607" t="s">
        <v>603</v>
      </c>
      <c r="C178" s="1607" t="s">
        <v>49</v>
      </c>
      <c r="D178" s="1607">
        <v>4</v>
      </c>
      <c r="E178" s="1607">
        <v>4</v>
      </c>
      <c r="F178" s="1607"/>
      <c r="G178" s="1607"/>
      <c r="H178" s="1607"/>
    </row>
    <row r="179" spans="1:8" x14ac:dyDescent="0.2">
      <c r="A179" s="1607" t="s">
        <v>679</v>
      </c>
      <c r="B179" s="1607" t="s">
        <v>603</v>
      </c>
      <c r="C179" s="1607" t="s">
        <v>50</v>
      </c>
      <c r="D179" s="1607">
        <v>2</v>
      </c>
      <c r="E179" s="1607">
        <v>2</v>
      </c>
      <c r="F179" s="1607"/>
      <c r="G179" s="1607"/>
      <c r="H179" s="1607"/>
    </row>
    <row r="180" spans="1:8" x14ac:dyDescent="0.2">
      <c r="A180" s="1607" t="s">
        <v>679</v>
      </c>
      <c r="B180" s="1607" t="s">
        <v>603</v>
      </c>
      <c r="C180" s="1607" t="s">
        <v>51</v>
      </c>
      <c r="D180" s="1607">
        <v>3</v>
      </c>
      <c r="E180" s="1607">
        <v>1</v>
      </c>
      <c r="F180" s="1607">
        <v>2</v>
      </c>
      <c r="G180" s="1607"/>
      <c r="H180" s="1607"/>
    </row>
    <row r="181" spans="1:8" x14ac:dyDescent="0.2">
      <c r="A181" s="1607" t="s">
        <v>680</v>
      </c>
      <c r="B181" s="1607" t="s">
        <v>160</v>
      </c>
      <c r="C181" s="1607" t="s">
        <v>23</v>
      </c>
      <c r="D181" s="1607">
        <v>71</v>
      </c>
      <c r="E181" s="1607">
        <v>60</v>
      </c>
      <c r="F181" s="1607">
        <v>9</v>
      </c>
      <c r="G181" s="1607"/>
      <c r="H181" s="1607">
        <v>2</v>
      </c>
    </row>
    <row r="182" spans="1:8" x14ac:dyDescent="0.2">
      <c r="A182" s="1607" t="s">
        <v>680</v>
      </c>
      <c r="B182" s="1607" t="s">
        <v>160</v>
      </c>
      <c r="C182" s="1607" t="s">
        <v>24</v>
      </c>
      <c r="D182" s="1607">
        <v>40</v>
      </c>
      <c r="E182" s="1607">
        <v>20</v>
      </c>
      <c r="F182" s="1607">
        <v>7</v>
      </c>
      <c r="G182" s="1607">
        <v>10</v>
      </c>
      <c r="H182" s="1607">
        <v>3</v>
      </c>
    </row>
    <row r="183" spans="1:8" x14ac:dyDescent="0.2">
      <c r="A183" s="1607" t="s">
        <v>680</v>
      </c>
      <c r="B183" s="1607" t="s">
        <v>160</v>
      </c>
      <c r="C183" s="1607" t="s">
        <v>25</v>
      </c>
      <c r="D183" s="1607">
        <v>38</v>
      </c>
      <c r="E183" s="1607">
        <v>35</v>
      </c>
      <c r="F183" s="1607"/>
      <c r="G183" s="1607">
        <v>1</v>
      </c>
      <c r="H183" s="1607">
        <v>2</v>
      </c>
    </row>
    <row r="184" spans="1:8" x14ac:dyDescent="0.2">
      <c r="A184" s="1607" t="s">
        <v>680</v>
      </c>
      <c r="B184" s="1607" t="s">
        <v>160</v>
      </c>
      <c r="C184" s="1607" t="s">
        <v>26</v>
      </c>
      <c r="D184" s="1607">
        <v>16</v>
      </c>
      <c r="E184" s="1607">
        <v>7</v>
      </c>
      <c r="F184" s="1607">
        <v>5</v>
      </c>
      <c r="G184" s="1607">
        <v>1</v>
      </c>
      <c r="H184" s="1607">
        <v>3</v>
      </c>
    </row>
    <row r="185" spans="1:8" x14ac:dyDescent="0.2">
      <c r="A185" s="1607" t="s">
        <v>680</v>
      </c>
      <c r="B185" s="1607" t="s">
        <v>160</v>
      </c>
      <c r="C185" s="1607" t="s">
        <v>27</v>
      </c>
      <c r="D185" s="1607">
        <v>13</v>
      </c>
      <c r="E185" s="1607">
        <v>11</v>
      </c>
      <c r="F185" s="1607"/>
      <c r="G185" s="1607"/>
      <c r="H185" s="1607">
        <v>2</v>
      </c>
    </row>
    <row r="186" spans="1:8" x14ac:dyDescent="0.2">
      <c r="A186" s="1607" t="s">
        <v>680</v>
      </c>
      <c r="B186" s="1607" t="s">
        <v>160</v>
      </c>
      <c r="C186" s="1607" t="s">
        <v>28</v>
      </c>
      <c r="D186" s="1607">
        <v>13</v>
      </c>
      <c r="E186" s="1607">
        <v>6</v>
      </c>
      <c r="F186" s="1607">
        <v>2</v>
      </c>
      <c r="G186" s="1607">
        <v>4</v>
      </c>
      <c r="H186" s="1607">
        <v>1</v>
      </c>
    </row>
    <row r="187" spans="1:8" x14ac:dyDescent="0.2">
      <c r="A187" s="1607" t="s">
        <v>680</v>
      </c>
      <c r="B187" s="1607" t="s">
        <v>160</v>
      </c>
      <c r="C187" s="1607" t="s">
        <v>29</v>
      </c>
      <c r="D187" s="1607">
        <v>77</v>
      </c>
      <c r="E187" s="1607">
        <v>71</v>
      </c>
      <c r="F187" s="1607">
        <v>4</v>
      </c>
      <c r="G187" s="1607"/>
      <c r="H187" s="1607">
        <v>2</v>
      </c>
    </row>
    <row r="188" spans="1:8" x14ac:dyDescent="0.2">
      <c r="A188" s="1607" t="s">
        <v>680</v>
      </c>
      <c r="B188" s="1607" t="s">
        <v>160</v>
      </c>
      <c r="C188" s="1607" t="s">
        <v>30</v>
      </c>
      <c r="D188" s="1607">
        <v>41</v>
      </c>
      <c r="E188" s="1607">
        <v>30</v>
      </c>
      <c r="F188" s="1607">
        <v>4</v>
      </c>
      <c r="G188" s="1607">
        <v>6</v>
      </c>
      <c r="H188" s="1607">
        <v>1</v>
      </c>
    </row>
    <row r="189" spans="1:8" x14ac:dyDescent="0.2">
      <c r="A189" s="1607" t="s">
        <v>680</v>
      </c>
      <c r="B189" s="1607" t="s">
        <v>160</v>
      </c>
      <c r="C189" s="1607" t="s">
        <v>31</v>
      </c>
      <c r="D189" s="1607">
        <v>14</v>
      </c>
      <c r="E189" s="1607">
        <v>12</v>
      </c>
      <c r="F189" s="1607">
        <v>2</v>
      </c>
      <c r="G189" s="1607"/>
      <c r="H189" s="1607"/>
    </row>
    <row r="190" spans="1:8" x14ac:dyDescent="0.2">
      <c r="A190" s="1607" t="s">
        <v>680</v>
      </c>
      <c r="B190" s="1607" t="s">
        <v>160</v>
      </c>
      <c r="C190" s="1607" t="s">
        <v>32</v>
      </c>
      <c r="D190" s="1607">
        <v>9</v>
      </c>
      <c r="E190" s="1607">
        <v>7</v>
      </c>
      <c r="F190" s="1607">
        <v>1</v>
      </c>
      <c r="G190" s="1607">
        <v>1</v>
      </c>
      <c r="H190" s="1607"/>
    </row>
    <row r="191" spans="1:8" x14ac:dyDescent="0.2">
      <c r="A191" s="1607" t="s">
        <v>680</v>
      </c>
      <c r="B191" s="1607" t="s">
        <v>160</v>
      </c>
      <c r="C191" s="1607" t="s">
        <v>33</v>
      </c>
      <c r="D191" s="1607">
        <v>13</v>
      </c>
      <c r="E191" s="1607">
        <v>12</v>
      </c>
      <c r="F191" s="1607">
        <v>1</v>
      </c>
      <c r="G191" s="1607"/>
      <c r="H191" s="1607"/>
    </row>
    <row r="192" spans="1:8" x14ac:dyDescent="0.2">
      <c r="A192" s="1607" t="s">
        <v>680</v>
      </c>
      <c r="B192" s="1607" t="s">
        <v>160</v>
      </c>
      <c r="C192" s="1607" t="s">
        <v>665</v>
      </c>
      <c r="D192" s="1607">
        <v>116</v>
      </c>
      <c r="E192" s="1607">
        <v>106</v>
      </c>
      <c r="F192" s="1607">
        <v>9</v>
      </c>
      <c r="G192" s="1607"/>
      <c r="H192" s="1607">
        <v>1</v>
      </c>
    </row>
    <row r="193" spans="1:8" x14ac:dyDescent="0.2">
      <c r="A193" s="1607" t="s">
        <v>680</v>
      </c>
      <c r="B193" s="1607" t="s">
        <v>160</v>
      </c>
      <c r="C193" s="1607" t="s">
        <v>34</v>
      </c>
      <c r="D193" s="1607">
        <v>34</v>
      </c>
      <c r="E193" s="1607">
        <v>25</v>
      </c>
      <c r="F193" s="1607">
        <v>2</v>
      </c>
      <c r="G193" s="1607">
        <v>4</v>
      </c>
      <c r="H193" s="1607">
        <v>3</v>
      </c>
    </row>
    <row r="194" spans="1:8" x14ac:dyDescent="0.2">
      <c r="A194" s="1607" t="s">
        <v>680</v>
      </c>
      <c r="B194" s="1607" t="s">
        <v>160</v>
      </c>
      <c r="C194" s="1607" t="s">
        <v>35</v>
      </c>
      <c r="D194" s="1607">
        <v>34</v>
      </c>
      <c r="E194" s="1607">
        <v>28</v>
      </c>
      <c r="F194" s="1607">
        <v>3</v>
      </c>
      <c r="G194" s="1607">
        <v>1</v>
      </c>
      <c r="H194" s="1607">
        <v>2</v>
      </c>
    </row>
    <row r="195" spans="1:8" x14ac:dyDescent="0.2">
      <c r="A195" s="1607" t="s">
        <v>680</v>
      </c>
      <c r="B195" s="1607" t="s">
        <v>160</v>
      </c>
      <c r="C195" s="1607" t="s">
        <v>36</v>
      </c>
      <c r="D195" s="1607">
        <v>201</v>
      </c>
      <c r="E195" s="1607">
        <v>182</v>
      </c>
      <c r="F195" s="1607">
        <v>12</v>
      </c>
      <c r="G195" s="1607">
        <v>4</v>
      </c>
      <c r="H195" s="1607">
        <v>3</v>
      </c>
    </row>
    <row r="196" spans="1:8" x14ac:dyDescent="0.2">
      <c r="A196" s="1607" t="s">
        <v>680</v>
      </c>
      <c r="B196" s="1607" t="s">
        <v>160</v>
      </c>
      <c r="C196" s="1607" t="s">
        <v>37</v>
      </c>
      <c r="D196" s="1607">
        <v>55</v>
      </c>
      <c r="E196" s="1607">
        <v>35</v>
      </c>
      <c r="F196" s="1607">
        <v>6</v>
      </c>
      <c r="G196" s="1607">
        <v>12</v>
      </c>
      <c r="H196" s="1607">
        <v>2</v>
      </c>
    </row>
    <row r="197" spans="1:8" x14ac:dyDescent="0.2">
      <c r="A197" s="1607" t="s">
        <v>680</v>
      </c>
      <c r="B197" s="1607" t="s">
        <v>160</v>
      </c>
      <c r="C197" s="1607" t="s">
        <v>38</v>
      </c>
      <c r="D197" s="1607">
        <v>45</v>
      </c>
      <c r="E197" s="1607">
        <v>41</v>
      </c>
      <c r="F197" s="1607">
        <v>3</v>
      </c>
      <c r="G197" s="1607"/>
      <c r="H197" s="1607">
        <v>1</v>
      </c>
    </row>
    <row r="198" spans="1:8" x14ac:dyDescent="0.2">
      <c r="A198" s="1607" t="s">
        <v>680</v>
      </c>
      <c r="B198" s="1607" t="s">
        <v>160</v>
      </c>
      <c r="C198" s="1607" t="s">
        <v>39</v>
      </c>
      <c r="D198" s="1607">
        <v>10</v>
      </c>
      <c r="E198" s="1607">
        <v>9</v>
      </c>
      <c r="F198" s="1607"/>
      <c r="G198" s="1607">
        <v>1</v>
      </c>
      <c r="H198" s="1607"/>
    </row>
    <row r="199" spans="1:8" x14ac:dyDescent="0.2">
      <c r="A199" s="1607" t="s">
        <v>680</v>
      </c>
      <c r="B199" s="1607" t="s">
        <v>160</v>
      </c>
      <c r="C199" s="1607" t="s">
        <v>40</v>
      </c>
      <c r="D199" s="1607">
        <v>16</v>
      </c>
      <c r="E199" s="1607">
        <v>11</v>
      </c>
      <c r="F199" s="1607">
        <v>2</v>
      </c>
      <c r="G199" s="1607">
        <v>2</v>
      </c>
      <c r="H199" s="1607">
        <v>1</v>
      </c>
    </row>
    <row r="200" spans="1:8" x14ac:dyDescent="0.2">
      <c r="A200" s="1607" t="s">
        <v>680</v>
      </c>
      <c r="B200" s="1607" t="s">
        <v>160</v>
      </c>
      <c r="C200" s="1607" t="s">
        <v>393</v>
      </c>
      <c r="D200" s="1607">
        <v>8</v>
      </c>
      <c r="E200" s="1607">
        <v>7</v>
      </c>
      <c r="F200" s="1607"/>
      <c r="G200" s="1607"/>
      <c r="H200" s="1607">
        <v>1</v>
      </c>
    </row>
    <row r="201" spans="1:8" x14ac:dyDescent="0.2">
      <c r="A201" s="1607" t="s">
        <v>680</v>
      </c>
      <c r="B201" s="1607" t="s">
        <v>160</v>
      </c>
      <c r="C201" s="1607" t="s">
        <v>41</v>
      </c>
      <c r="D201" s="1607">
        <v>48</v>
      </c>
      <c r="E201" s="1607">
        <v>43</v>
      </c>
      <c r="F201" s="1607">
        <v>5</v>
      </c>
      <c r="G201" s="1607"/>
      <c r="H201" s="1607"/>
    </row>
    <row r="202" spans="1:8" x14ac:dyDescent="0.2">
      <c r="A202" s="1607" t="s">
        <v>680</v>
      </c>
      <c r="B202" s="1607" t="s">
        <v>160</v>
      </c>
      <c r="C202" s="1607" t="s">
        <v>42</v>
      </c>
      <c r="D202" s="1607">
        <v>85</v>
      </c>
      <c r="E202" s="1607">
        <v>75</v>
      </c>
      <c r="F202" s="1607">
        <v>8</v>
      </c>
      <c r="G202" s="1607">
        <v>2</v>
      </c>
      <c r="H202" s="1607"/>
    </row>
    <row r="203" spans="1:8" x14ac:dyDescent="0.2">
      <c r="A203" s="1607" t="s">
        <v>680</v>
      </c>
      <c r="B203" s="1607" t="s">
        <v>160</v>
      </c>
      <c r="C203" s="1607" t="s">
        <v>43</v>
      </c>
      <c r="D203" s="1607">
        <v>2</v>
      </c>
      <c r="E203" s="1607">
        <v>2</v>
      </c>
      <c r="F203" s="1607"/>
      <c r="G203" s="1607"/>
      <c r="H203" s="1607"/>
    </row>
    <row r="204" spans="1:8" x14ac:dyDescent="0.2">
      <c r="A204" s="1607" t="s">
        <v>680</v>
      </c>
      <c r="B204" s="1607" t="s">
        <v>160</v>
      </c>
      <c r="C204" s="1607" t="s">
        <v>44</v>
      </c>
      <c r="D204" s="1607">
        <v>33</v>
      </c>
      <c r="E204" s="1607">
        <v>23</v>
      </c>
      <c r="F204" s="1607">
        <v>2</v>
      </c>
      <c r="G204" s="1607">
        <v>6</v>
      </c>
      <c r="H204" s="1607">
        <v>2</v>
      </c>
    </row>
    <row r="205" spans="1:8" x14ac:dyDescent="0.2">
      <c r="A205" s="1607" t="s">
        <v>680</v>
      </c>
      <c r="B205" s="1607" t="s">
        <v>160</v>
      </c>
      <c r="C205" s="1607" t="s">
        <v>45</v>
      </c>
      <c r="D205" s="1607">
        <v>39</v>
      </c>
      <c r="E205" s="1607">
        <v>38</v>
      </c>
      <c r="F205" s="1607">
        <v>1</v>
      </c>
      <c r="G205" s="1607"/>
      <c r="H205" s="1607"/>
    </row>
    <row r="206" spans="1:8" x14ac:dyDescent="0.2">
      <c r="A206" s="1607" t="s">
        <v>680</v>
      </c>
      <c r="B206" s="1607" t="s">
        <v>160</v>
      </c>
      <c r="C206" s="1607" t="s">
        <v>46</v>
      </c>
      <c r="D206" s="1607">
        <v>17</v>
      </c>
      <c r="E206" s="1607">
        <v>14</v>
      </c>
      <c r="F206" s="1607">
        <v>3</v>
      </c>
      <c r="G206" s="1607"/>
      <c r="H206" s="1607"/>
    </row>
    <row r="207" spans="1:8" x14ac:dyDescent="0.2">
      <c r="A207" s="1607" t="s">
        <v>680</v>
      </c>
      <c r="B207" s="1607" t="s">
        <v>160</v>
      </c>
      <c r="C207" s="1607" t="s">
        <v>47</v>
      </c>
      <c r="D207" s="1607">
        <v>2</v>
      </c>
      <c r="E207" s="1607">
        <v>2</v>
      </c>
      <c r="F207" s="1607"/>
      <c r="G207" s="1607"/>
      <c r="H207" s="1607"/>
    </row>
    <row r="208" spans="1:8" x14ac:dyDescent="0.2">
      <c r="A208" s="1607" t="s">
        <v>680</v>
      </c>
      <c r="B208" s="1607" t="s">
        <v>160</v>
      </c>
      <c r="C208" s="1607" t="s">
        <v>48</v>
      </c>
      <c r="D208" s="1607">
        <v>24</v>
      </c>
      <c r="E208" s="1607">
        <v>20</v>
      </c>
      <c r="F208" s="1607">
        <v>3</v>
      </c>
      <c r="G208" s="1607">
        <v>1</v>
      </c>
      <c r="H208" s="1607"/>
    </row>
    <row r="209" spans="1:8" x14ac:dyDescent="0.2">
      <c r="A209" s="1607" t="s">
        <v>680</v>
      </c>
      <c r="B209" s="1607" t="s">
        <v>160</v>
      </c>
      <c r="C209" s="1607" t="s">
        <v>49</v>
      </c>
      <c r="D209" s="1607">
        <v>73</v>
      </c>
      <c r="E209" s="1607">
        <v>62</v>
      </c>
      <c r="F209" s="1607">
        <v>7</v>
      </c>
      <c r="G209" s="1607">
        <v>3</v>
      </c>
      <c r="H209" s="1607">
        <v>1</v>
      </c>
    </row>
    <row r="210" spans="1:8" x14ac:dyDescent="0.2">
      <c r="A210" s="1607" t="s">
        <v>680</v>
      </c>
      <c r="B210" s="1607" t="s">
        <v>160</v>
      </c>
      <c r="C210" s="1607" t="s">
        <v>50</v>
      </c>
      <c r="D210" s="1607">
        <v>17</v>
      </c>
      <c r="E210" s="1607">
        <v>8</v>
      </c>
      <c r="F210" s="1607">
        <v>7</v>
      </c>
      <c r="G210" s="1607">
        <v>1</v>
      </c>
      <c r="H210" s="1607">
        <v>1</v>
      </c>
    </row>
    <row r="211" spans="1:8" x14ac:dyDescent="0.2">
      <c r="A211" s="1607" t="s">
        <v>680</v>
      </c>
      <c r="B211" s="1607" t="s">
        <v>160</v>
      </c>
      <c r="C211" s="1607" t="s">
        <v>51</v>
      </c>
      <c r="D211" s="1607">
        <v>35</v>
      </c>
      <c r="E211" s="1607">
        <v>35</v>
      </c>
      <c r="F211" s="1607"/>
      <c r="G211" s="1607"/>
      <c r="H211" s="1607"/>
    </row>
    <row r="212" spans="1:8" x14ac:dyDescent="0.2">
      <c r="A212" s="1607" t="s">
        <v>680</v>
      </c>
      <c r="B212" s="1607" t="s">
        <v>160</v>
      </c>
      <c r="C212" s="1607" t="s">
        <v>52</v>
      </c>
      <c r="D212" s="1607">
        <v>37</v>
      </c>
      <c r="E212" s="1607">
        <v>26</v>
      </c>
      <c r="F212" s="1607">
        <v>9</v>
      </c>
      <c r="G212" s="1607">
        <v>1</v>
      </c>
      <c r="H212" s="1607">
        <v>1</v>
      </c>
    </row>
    <row r="213" spans="1:8" x14ac:dyDescent="0.2">
      <c r="A213" s="1607" t="s">
        <v>680</v>
      </c>
      <c r="B213" s="1607" t="s">
        <v>379</v>
      </c>
      <c r="C213" s="1607" t="s">
        <v>23</v>
      </c>
      <c r="D213" s="1607">
        <v>38</v>
      </c>
      <c r="E213" s="1607">
        <v>33</v>
      </c>
      <c r="F213" s="1607">
        <v>2</v>
      </c>
      <c r="G213" s="1607">
        <v>3</v>
      </c>
      <c r="H213" s="1607"/>
    </row>
    <row r="214" spans="1:8" x14ac:dyDescent="0.2">
      <c r="A214" s="1607" t="s">
        <v>680</v>
      </c>
      <c r="B214" s="1607" t="s">
        <v>379</v>
      </c>
      <c r="C214" s="1607" t="s">
        <v>24</v>
      </c>
      <c r="D214" s="1607">
        <v>27</v>
      </c>
      <c r="E214" s="1607">
        <v>20</v>
      </c>
      <c r="F214" s="1607">
        <v>3</v>
      </c>
      <c r="G214" s="1607">
        <v>3</v>
      </c>
      <c r="H214" s="1607">
        <v>1</v>
      </c>
    </row>
    <row r="215" spans="1:8" x14ac:dyDescent="0.2">
      <c r="A215" s="1607" t="s">
        <v>680</v>
      </c>
      <c r="B215" s="1607" t="s">
        <v>379</v>
      </c>
      <c r="C215" s="1607" t="s">
        <v>25</v>
      </c>
      <c r="D215" s="1607">
        <v>21</v>
      </c>
      <c r="E215" s="1607">
        <v>18</v>
      </c>
      <c r="F215" s="1607">
        <v>1</v>
      </c>
      <c r="G215" s="1607"/>
      <c r="H215" s="1607">
        <v>2</v>
      </c>
    </row>
    <row r="216" spans="1:8" x14ac:dyDescent="0.2">
      <c r="A216" s="1607" t="s">
        <v>680</v>
      </c>
      <c r="B216" s="1607" t="s">
        <v>379</v>
      </c>
      <c r="C216" s="1607" t="s">
        <v>26</v>
      </c>
      <c r="D216" s="1607">
        <v>14</v>
      </c>
      <c r="E216" s="1607">
        <v>13</v>
      </c>
      <c r="F216" s="1607">
        <v>1</v>
      </c>
      <c r="G216" s="1607"/>
      <c r="H216" s="1607"/>
    </row>
    <row r="217" spans="1:8" x14ac:dyDescent="0.2">
      <c r="A217" s="1607" t="s">
        <v>680</v>
      </c>
      <c r="B217" s="1607" t="s">
        <v>379</v>
      </c>
      <c r="C217" s="1607" t="s">
        <v>27</v>
      </c>
      <c r="D217" s="1607">
        <v>22</v>
      </c>
      <c r="E217" s="1607">
        <v>20</v>
      </c>
      <c r="F217" s="1607">
        <v>1</v>
      </c>
      <c r="G217" s="1607">
        <v>1</v>
      </c>
      <c r="H217" s="1607"/>
    </row>
    <row r="218" spans="1:8" x14ac:dyDescent="0.2">
      <c r="A218" s="1607" t="s">
        <v>680</v>
      </c>
      <c r="B218" s="1607" t="s">
        <v>379</v>
      </c>
      <c r="C218" s="1607" t="s">
        <v>28</v>
      </c>
      <c r="D218" s="1607">
        <v>8</v>
      </c>
      <c r="E218" s="1607">
        <v>7</v>
      </c>
      <c r="F218" s="1607"/>
      <c r="G218" s="1607">
        <v>1</v>
      </c>
      <c r="H218" s="1607"/>
    </row>
    <row r="219" spans="1:8" x14ac:dyDescent="0.2">
      <c r="A219" s="1607" t="s">
        <v>680</v>
      </c>
      <c r="B219" s="1607" t="s">
        <v>379</v>
      </c>
      <c r="C219" s="1607" t="s">
        <v>29</v>
      </c>
      <c r="D219" s="1607">
        <v>59</v>
      </c>
      <c r="E219" s="1607">
        <v>53</v>
      </c>
      <c r="F219" s="1607">
        <v>3</v>
      </c>
      <c r="G219" s="1607">
        <v>2</v>
      </c>
      <c r="H219" s="1607">
        <v>1</v>
      </c>
    </row>
    <row r="220" spans="1:8" x14ac:dyDescent="0.2">
      <c r="A220" s="1607" t="s">
        <v>680</v>
      </c>
      <c r="B220" s="1607" t="s">
        <v>379</v>
      </c>
      <c r="C220" s="1607" t="s">
        <v>30</v>
      </c>
      <c r="D220" s="1607">
        <v>33</v>
      </c>
      <c r="E220" s="1607">
        <v>29</v>
      </c>
      <c r="F220" s="1607">
        <v>3</v>
      </c>
      <c r="G220" s="1607">
        <v>1</v>
      </c>
      <c r="H220" s="1607"/>
    </row>
    <row r="221" spans="1:8" x14ac:dyDescent="0.2">
      <c r="A221" s="1607" t="s">
        <v>680</v>
      </c>
      <c r="B221" s="1607" t="s">
        <v>379</v>
      </c>
      <c r="C221" s="1607" t="s">
        <v>31</v>
      </c>
      <c r="D221" s="1607">
        <v>25</v>
      </c>
      <c r="E221" s="1607">
        <v>23</v>
      </c>
      <c r="F221" s="1607">
        <v>1</v>
      </c>
      <c r="G221" s="1607">
        <v>1</v>
      </c>
      <c r="H221" s="1607"/>
    </row>
    <row r="222" spans="1:8" x14ac:dyDescent="0.2">
      <c r="A222" s="1607" t="s">
        <v>680</v>
      </c>
      <c r="B222" s="1607" t="s">
        <v>379</v>
      </c>
      <c r="C222" s="1607" t="s">
        <v>32</v>
      </c>
      <c r="D222" s="1607">
        <v>8</v>
      </c>
      <c r="E222" s="1607">
        <v>8</v>
      </c>
      <c r="F222" s="1607"/>
      <c r="G222" s="1607"/>
      <c r="H222" s="1607"/>
    </row>
    <row r="223" spans="1:8" x14ac:dyDescent="0.2">
      <c r="A223" s="1607" t="s">
        <v>680</v>
      </c>
      <c r="B223" s="1607" t="s">
        <v>379</v>
      </c>
      <c r="C223" s="1607" t="s">
        <v>33</v>
      </c>
      <c r="D223" s="1607">
        <v>7</v>
      </c>
      <c r="E223" s="1607">
        <v>7</v>
      </c>
      <c r="F223" s="1607"/>
      <c r="G223" s="1607"/>
      <c r="H223" s="1607"/>
    </row>
    <row r="224" spans="1:8" x14ac:dyDescent="0.2">
      <c r="A224" s="1607" t="s">
        <v>680</v>
      </c>
      <c r="B224" s="1607" t="s">
        <v>379</v>
      </c>
      <c r="C224" s="1607" t="s">
        <v>665</v>
      </c>
      <c r="D224" s="1607">
        <v>143</v>
      </c>
      <c r="E224" s="1607">
        <v>130</v>
      </c>
      <c r="F224" s="1607">
        <v>9</v>
      </c>
      <c r="G224" s="1607"/>
      <c r="H224" s="1607">
        <v>4</v>
      </c>
    </row>
    <row r="225" spans="1:8" x14ac:dyDescent="0.2">
      <c r="A225" s="1607" t="s">
        <v>680</v>
      </c>
      <c r="B225" s="1607" t="s">
        <v>379</v>
      </c>
      <c r="C225" s="1607" t="s">
        <v>34</v>
      </c>
      <c r="D225" s="1607">
        <v>32</v>
      </c>
      <c r="E225" s="1607">
        <v>30</v>
      </c>
      <c r="F225" s="1607"/>
      <c r="G225" s="1607"/>
      <c r="H225" s="1607">
        <v>2</v>
      </c>
    </row>
    <row r="226" spans="1:8" x14ac:dyDescent="0.2">
      <c r="A226" s="1607" t="s">
        <v>680</v>
      </c>
      <c r="B226" s="1607" t="s">
        <v>379</v>
      </c>
      <c r="C226" s="1607" t="s">
        <v>35</v>
      </c>
      <c r="D226" s="1607">
        <v>73</v>
      </c>
      <c r="E226" s="1607">
        <v>65</v>
      </c>
      <c r="F226" s="1607">
        <v>2</v>
      </c>
      <c r="G226" s="1607">
        <v>3</v>
      </c>
      <c r="H226" s="1607">
        <v>3</v>
      </c>
    </row>
    <row r="227" spans="1:8" x14ac:dyDescent="0.2">
      <c r="A227" s="1607" t="s">
        <v>680</v>
      </c>
      <c r="B227" s="1607" t="s">
        <v>379</v>
      </c>
      <c r="C227" s="1607" t="s">
        <v>36</v>
      </c>
      <c r="D227" s="1607">
        <v>219</v>
      </c>
      <c r="E227" s="1607">
        <v>209</v>
      </c>
      <c r="F227" s="1607">
        <v>7</v>
      </c>
      <c r="G227" s="1607">
        <v>1</v>
      </c>
      <c r="H227" s="1607">
        <v>2</v>
      </c>
    </row>
    <row r="228" spans="1:8" x14ac:dyDescent="0.2">
      <c r="A228" s="1607" t="s">
        <v>680</v>
      </c>
      <c r="B228" s="1607" t="s">
        <v>379</v>
      </c>
      <c r="C228" s="1607" t="s">
        <v>37</v>
      </c>
      <c r="D228" s="1607">
        <v>64</v>
      </c>
      <c r="E228" s="1607">
        <v>43</v>
      </c>
      <c r="F228" s="1607">
        <v>5</v>
      </c>
      <c r="G228" s="1607">
        <v>10</v>
      </c>
      <c r="H228" s="1607">
        <v>6</v>
      </c>
    </row>
    <row r="229" spans="1:8" x14ac:dyDescent="0.2">
      <c r="A229" s="1607" t="s">
        <v>680</v>
      </c>
      <c r="B229" s="1607" t="s">
        <v>379</v>
      </c>
      <c r="C229" s="1607" t="s">
        <v>38</v>
      </c>
      <c r="D229" s="1607">
        <v>42</v>
      </c>
      <c r="E229" s="1607">
        <v>40</v>
      </c>
      <c r="F229" s="1607">
        <v>1</v>
      </c>
      <c r="G229" s="1607">
        <v>1</v>
      </c>
      <c r="H229" s="1607"/>
    </row>
    <row r="230" spans="1:8" x14ac:dyDescent="0.2">
      <c r="A230" s="1607" t="s">
        <v>680</v>
      </c>
      <c r="B230" s="1607" t="s">
        <v>379</v>
      </c>
      <c r="C230" s="1607" t="s">
        <v>39</v>
      </c>
      <c r="D230" s="1607">
        <v>16</v>
      </c>
      <c r="E230" s="1607">
        <v>12</v>
      </c>
      <c r="F230" s="1607">
        <v>2</v>
      </c>
      <c r="G230" s="1607"/>
      <c r="H230" s="1607">
        <v>2</v>
      </c>
    </row>
    <row r="231" spans="1:8" x14ac:dyDescent="0.2">
      <c r="A231" s="1607" t="s">
        <v>680</v>
      </c>
      <c r="B231" s="1607" t="s">
        <v>379</v>
      </c>
      <c r="C231" s="1607" t="s">
        <v>40</v>
      </c>
      <c r="D231" s="1607">
        <v>18</v>
      </c>
      <c r="E231" s="1607">
        <v>16</v>
      </c>
      <c r="F231" s="1607">
        <v>1</v>
      </c>
      <c r="G231" s="1607">
        <v>1</v>
      </c>
      <c r="H231" s="1607"/>
    </row>
    <row r="232" spans="1:8" x14ac:dyDescent="0.2">
      <c r="A232" s="1607" t="s">
        <v>680</v>
      </c>
      <c r="B232" s="1607" t="s">
        <v>379</v>
      </c>
      <c r="C232" s="1607" t="s">
        <v>393</v>
      </c>
      <c r="D232" s="1607">
        <v>8</v>
      </c>
      <c r="E232" s="1607">
        <v>8</v>
      </c>
      <c r="F232" s="1607"/>
      <c r="G232" s="1607"/>
      <c r="H232" s="1607"/>
    </row>
    <row r="233" spans="1:8" x14ac:dyDescent="0.2">
      <c r="A233" s="1607" t="s">
        <v>680</v>
      </c>
      <c r="B233" s="1607" t="s">
        <v>379</v>
      </c>
      <c r="C233" s="1607" t="s">
        <v>41</v>
      </c>
      <c r="D233" s="1607">
        <v>26</v>
      </c>
      <c r="E233" s="1607">
        <v>24</v>
      </c>
      <c r="F233" s="1607">
        <v>2</v>
      </c>
      <c r="G233" s="1607"/>
      <c r="H233" s="1607"/>
    </row>
    <row r="234" spans="1:8" x14ac:dyDescent="0.2">
      <c r="A234" s="1607" t="s">
        <v>680</v>
      </c>
      <c r="B234" s="1607" t="s">
        <v>379</v>
      </c>
      <c r="C234" s="1607" t="s">
        <v>42</v>
      </c>
      <c r="D234" s="1607">
        <v>96</v>
      </c>
      <c r="E234" s="1607">
        <v>85</v>
      </c>
      <c r="F234" s="1607">
        <v>3</v>
      </c>
      <c r="G234" s="1607">
        <v>6</v>
      </c>
      <c r="H234" s="1607">
        <v>2</v>
      </c>
    </row>
    <row r="235" spans="1:8" x14ac:dyDescent="0.2">
      <c r="A235" s="1607" t="s">
        <v>680</v>
      </c>
      <c r="B235" s="1607" t="s">
        <v>379</v>
      </c>
      <c r="C235" s="1607" t="s">
        <v>43</v>
      </c>
      <c r="D235" s="1607">
        <v>5</v>
      </c>
      <c r="E235" s="1607">
        <v>3</v>
      </c>
      <c r="F235" s="1607">
        <v>2</v>
      </c>
      <c r="G235" s="1607"/>
      <c r="H235" s="1607"/>
    </row>
    <row r="236" spans="1:8" x14ac:dyDescent="0.2">
      <c r="A236" s="1607" t="s">
        <v>680</v>
      </c>
      <c r="B236" s="1607" t="s">
        <v>379</v>
      </c>
      <c r="C236" s="1607" t="s">
        <v>44</v>
      </c>
      <c r="D236" s="1607">
        <v>32</v>
      </c>
      <c r="E236" s="1607">
        <v>29</v>
      </c>
      <c r="F236" s="1607">
        <v>1</v>
      </c>
      <c r="G236" s="1607">
        <v>1</v>
      </c>
      <c r="H236" s="1607">
        <v>1</v>
      </c>
    </row>
    <row r="237" spans="1:8" x14ac:dyDescent="0.2">
      <c r="A237" s="1607" t="s">
        <v>680</v>
      </c>
      <c r="B237" s="1607" t="s">
        <v>379</v>
      </c>
      <c r="C237" s="1607" t="s">
        <v>45</v>
      </c>
      <c r="D237" s="1607">
        <v>37</v>
      </c>
      <c r="E237" s="1607">
        <v>30</v>
      </c>
      <c r="F237" s="1607">
        <v>3</v>
      </c>
      <c r="G237" s="1607">
        <v>4</v>
      </c>
      <c r="H237" s="1607"/>
    </row>
    <row r="238" spans="1:8" x14ac:dyDescent="0.2">
      <c r="A238" s="1607" t="s">
        <v>680</v>
      </c>
      <c r="B238" s="1607" t="s">
        <v>379</v>
      </c>
      <c r="C238" s="1607" t="s">
        <v>46</v>
      </c>
      <c r="D238" s="1607">
        <v>26</v>
      </c>
      <c r="E238" s="1607">
        <v>25</v>
      </c>
      <c r="F238" s="1607">
        <v>1</v>
      </c>
      <c r="G238" s="1607"/>
      <c r="H238" s="1607"/>
    </row>
    <row r="239" spans="1:8" x14ac:dyDescent="0.2">
      <c r="A239" s="1607" t="s">
        <v>680</v>
      </c>
      <c r="B239" s="1607" t="s">
        <v>379</v>
      </c>
      <c r="C239" s="1607" t="s">
        <v>47</v>
      </c>
      <c r="D239" s="1607">
        <v>4</v>
      </c>
      <c r="E239" s="1607">
        <v>1</v>
      </c>
      <c r="F239" s="1607">
        <v>3</v>
      </c>
      <c r="G239" s="1607"/>
      <c r="H239" s="1607"/>
    </row>
    <row r="240" spans="1:8" x14ac:dyDescent="0.2">
      <c r="A240" s="1607" t="s">
        <v>680</v>
      </c>
      <c r="B240" s="1607" t="s">
        <v>379</v>
      </c>
      <c r="C240" s="1607" t="s">
        <v>48</v>
      </c>
      <c r="D240" s="1607">
        <v>29</v>
      </c>
      <c r="E240" s="1607">
        <v>23</v>
      </c>
      <c r="F240" s="1607">
        <v>3</v>
      </c>
      <c r="G240" s="1607">
        <v>3</v>
      </c>
      <c r="H240" s="1607"/>
    </row>
    <row r="241" spans="1:8" x14ac:dyDescent="0.2">
      <c r="A241" s="1607" t="s">
        <v>680</v>
      </c>
      <c r="B241" s="1607" t="s">
        <v>379</v>
      </c>
      <c r="C241" s="1607" t="s">
        <v>49</v>
      </c>
      <c r="D241" s="1607">
        <v>58</v>
      </c>
      <c r="E241" s="1607">
        <v>46</v>
      </c>
      <c r="F241" s="1607">
        <v>3</v>
      </c>
      <c r="G241" s="1607">
        <v>5</v>
      </c>
      <c r="H241" s="1607">
        <v>4</v>
      </c>
    </row>
    <row r="242" spans="1:8" x14ac:dyDescent="0.2">
      <c r="A242" s="1607" t="s">
        <v>680</v>
      </c>
      <c r="B242" s="1607" t="s">
        <v>379</v>
      </c>
      <c r="C242" s="1607" t="s">
        <v>50</v>
      </c>
      <c r="D242" s="1607">
        <v>18</v>
      </c>
      <c r="E242" s="1607">
        <v>11</v>
      </c>
      <c r="F242" s="1607">
        <v>5</v>
      </c>
      <c r="G242" s="1607">
        <v>1</v>
      </c>
      <c r="H242" s="1607">
        <v>1</v>
      </c>
    </row>
    <row r="243" spans="1:8" x14ac:dyDescent="0.2">
      <c r="A243" s="1607" t="s">
        <v>680</v>
      </c>
      <c r="B243" s="1607" t="s">
        <v>379</v>
      </c>
      <c r="C243" s="1607" t="s">
        <v>51</v>
      </c>
      <c r="D243" s="1607">
        <v>21</v>
      </c>
      <c r="E243" s="1607">
        <v>20</v>
      </c>
      <c r="F243" s="1607">
        <v>1</v>
      </c>
      <c r="G243" s="1607"/>
      <c r="H243" s="1607"/>
    </row>
    <row r="244" spans="1:8" x14ac:dyDescent="0.2">
      <c r="A244" s="1607" t="s">
        <v>680</v>
      </c>
      <c r="B244" s="1607" t="s">
        <v>379</v>
      </c>
      <c r="C244" s="1607" t="s">
        <v>52</v>
      </c>
      <c r="D244" s="1607">
        <v>37</v>
      </c>
      <c r="E244" s="1607">
        <v>34</v>
      </c>
      <c r="F244" s="1607">
        <v>3</v>
      </c>
      <c r="G244" s="1607"/>
      <c r="H244" s="1607"/>
    </row>
    <row r="245" spans="1:8" x14ac:dyDescent="0.2">
      <c r="A245" s="1607" t="s">
        <v>680</v>
      </c>
      <c r="B245" s="1607" t="s">
        <v>603</v>
      </c>
      <c r="C245" s="1607" t="s">
        <v>23</v>
      </c>
      <c r="D245" s="1607">
        <v>32</v>
      </c>
      <c r="E245" s="1607">
        <v>29</v>
      </c>
      <c r="F245" s="1607">
        <v>2</v>
      </c>
      <c r="G245" s="1607"/>
      <c r="H245" s="1607">
        <v>1</v>
      </c>
    </row>
    <row r="246" spans="1:8" x14ac:dyDescent="0.2">
      <c r="A246" s="1607" t="s">
        <v>680</v>
      </c>
      <c r="B246" s="1607" t="s">
        <v>603</v>
      </c>
      <c r="C246" s="1607" t="s">
        <v>24</v>
      </c>
      <c r="D246" s="1607">
        <v>46</v>
      </c>
      <c r="E246" s="1607">
        <v>32</v>
      </c>
      <c r="F246" s="1607">
        <v>4</v>
      </c>
      <c r="G246" s="1607">
        <v>5</v>
      </c>
      <c r="H246" s="1607">
        <v>5</v>
      </c>
    </row>
    <row r="247" spans="1:8" x14ac:dyDescent="0.2">
      <c r="A247" s="1607" t="s">
        <v>680</v>
      </c>
      <c r="B247" s="1607" t="s">
        <v>603</v>
      </c>
      <c r="C247" s="1607" t="s">
        <v>25</v>
      </c>
      <c r="D247" s="1607">
        <v>21</v>
      </c>
      <c r="E247" s="1607">
        <v>18</v>
      </c>
      <c r="F247" s="1607">
        <v>2</v>
      </c>
      <c r="G247" s="1607">
        <v>1</v>
      </c>
      <c r="H247" s="1607"/>
    </row>
    <row r="248" spans="1:8" x14ac:dyDescent="0.2">
      <c r="A248" s="1607" t="s">
        <v>680</v>
      </c>
      <c r="B248" s="1607" t="s">
        <v>603</v>
      </c>
      <c r="C248" s="1607" t="s">
        <v>26</v>
      </c>
      <c r="D248" s="1607">
        <v>20</v>
      </c>
      <c r="E248" s="1607">
        <v>18</v>
      </c>
      <c r="F248" s="1607">
        <v>1</v>
      </c>
      <c r="G248" s="1607"/>
      <c r="H248" s="1607">
        <v>1</v>
      </c>
    </row>
    <row r="249" spans="1:8" x14ac:dyDescent="0.2">
      <c r="A249" s="1607" t="s">
        <v>680</v>
      </c>
      <c r="B249" s="1607" t="s">
        <v>603</v>
      </c>
      <c r="C249" s="1607" t="s">
        <v>27</v>
      </c>
      <c r="D249" s="1607">
        <v>9</v>
      </c>
      <c r="E249" s="1607">
        <v>8</v>
      </c>
      <c r="F249" s="1607">
        <v>1</v>
      </c>
      <c r="G249" s="1607"/>
      <c r="H249" s="1607"/>
    </row>
    <row r="250" spans="1:8" x14ac:dyDescent="0.2">
      <c r="A250" s="1607" t="s">
        <v>680</v>
      </c>
      <c r="B250" s="1607" t="s">
        <v>603</v>
      </c>
      <c r="C250" s="1607" t="s">
        <v>28</v>
      </c>
      <c r="D250" s="1607">
        <v>6</v>
      </c>
      <c r="E250" s="1607">
        <v>4</v>
      </c>
      <c r="F250" s="1607">
        <v>2</v>
      </c>
      <c r="G250" s="1607"/>
      <c r="H250" s="1607"/>
    </row>
    <row r="251" spans="1:8" x14ac:dyDescent="0.2">
      <c r="A251" s="1607" t="s">
        <v>680</v>
      </c>
      <c r="B251" s="1607" t="s">
        <v>603</v>
      </c>
      <c r="C251" s="1607" t="s">
        <v>29</v>
      </c>
      <c r="D251" s="1607">
        <v>38</v>
      </c>
      <c r="E251" s="1607">
        <v>34</v>
      </c>
      <c r="F251" s="1607">
        <v>2</v>
      </c>
      <c r="G251" s="1607">
        <v>1</v>
      </c>
      <c r="H251" s="1607">
        <v>1</v>
      </c>
    </row>
    <row r="252" spans="1:8" x14ac:dyDescent="0.2">
      <c r="A252" s="1607" t="s">
        <v>680</v>
      </c>
      <c r="B252" s="1607" t="s">
        <v>603</v>
      </c>
      <c r="C252" s="1607" t="s">
        <v>30</v>
      </c>
      <c r="D252" s="1607">
        <v>31</v>
      </c>
      <c r="E252" s="1607">
        <v>26</v>
      </c>
      <c r="F252" s="1607">
        <v>3</v>
      </c>
      <c r="G252" s="1607">
        <v>2</v>
      </c>
      <c r="H252" s="1607"/>
    </row>
    <row r="253" spans="1:8" x14ac:dyDescent="0.2">
      <c r="A253" s="1607" t="s">
        <v>680</v>
      </c>
      <c r="B253" s="1607" t="s">
        <v>603</v>
      </c>
      <c r="C253" s="1607" t="s">
        <v>31</v>
      </c>
      <c r="D253" s="1607">
        <v>17</v>
      </c>
      <c r="E253" s="1607">
        <v>13</v>
      </c>
      <c r="F253" s="1607">
        <v>4</v>
      </c>
      <c r="G253" s="1607"/>
      <c r="H253" s="1607"/>
    </row>
    <row r="254" spans="1:8" x14ac:dyDescent="0.2">
      <c r="A254" s="1607" t="s">
        <v>680</v>
      </c>
      <c r="B254" s="1607" t="s">
        <v>603</v>
      </c>
      <c r="C254" s="1607" t="s">
        <v>32</v>
      </c>
      <c r="D254" s="1607">
        <v>12</v>
      </c>
      <c r="E254" s="1607">
        <v>7</v>
      </c>
      <c r="F254" s="1607">
        <v>1</v>
      </c>
      <c r="G254" s="1607">
        <v>4</v>
      </c>
      <c r="H254" s="1607"/>
    </row>
    <row r="255" spans="1:8" x14ac:dyDescent="0.2">
      <c r="A255" s="1607" t="s">
        <v>680</v>
      </c>
      <c r="B255" s="1607" t="s">
        <v>603</v>
      </c>
      <c r="C255" s="1607" t="s">
        <v>33</v>
      </c>
      <c r="D255" s="1607">
        <v>9</v>
      </c>
      <c r="E255" s="1607">
        <v>9</v>
      </c>
      <c r="F255" s="1607"/>
      <c r="G255" s="1607"/>
      <c r="H255" s="1607"/>
    </row>
    <row r="256" spans="1:8" x14ac:dyDescent="0.2">
      <c r="A256" s="1607" t="s">
        <v>680</v>
      </c>
      <c r="B256" s="1607" t="s">
        <v>603</v>
      </c>
      <c r="C256" s="1607" t="s">
        <v>665</v>
      </c>
      <c r="D256" s="1607">
        <v>91</v>
      </c>
      <c r="E256" s="1607">
        <v>79</v>
      </c>
      <c r="F256" s="1607">
        <v>11</v>
      </c>
      <c r="G256" s="1607">
        <v>1</v>
      </c>
      <c r="H256" s="1607"/>
    </row>
    <row r="257" spans="1:8" x14ac:dyDescent="0.2">
      <c r="A257" s="1607" t="s">
        <v>680</v>
      </c>
      <c r="B257" s="1607" t="s">
        <v>603</v>
      </c>
      <c r="C257" s="1607" t="s">
        <v>34</v>
      </c>
      <c r="D257" s="1607">
        <v>29</v>
      </c>
      <c r="E257" s="1607">
        <v>20</v>
      </c>
      <c r="F257" s="1607">
        <v>8</v>
      </c>
      <c r="G257" s="1607"/>
      <c r="H257" s="1607">
        <v>1</v>
      </c>
    </row>
    <row r="258" spans="1:8" x14ac:dyDescent="0.2">
      <c r="A258" s="1607" t="s">
        <v>680</v>
      </c>
      <c r="B258" s="1607" t="s">
        <v>603</v>
      </c>
      <c r="C258" s="1607" t="s">
        <v>35</v>
      </c>
      <c r="D258" s="1607">
        <v>40</v>
      </c>
      <c r="E258" s="1607">
        <v>32</v>
      </c>
      <c r="F258" s="1607">
        <v>5</v>
      </c>
      <c r="G258" s="1607">
        <v>2</v>
      </c>
      <c r="H258" s="1607">
        <v>1</v>
      </c>
    </row>
    <row r="259" spans="1:8" x14ac:dyDescent="0.2">
      <c r="A259" s="1607" t="s">
        <v>680</v>
      </c>
      <c r="B259" s="1607" t="s">
        <v>603</v>
      </c>
      <c r="C259" s="1607" t="s">
        <v>36</v>
      </c>
      <c r="D259" s="1607">
        <v>213</v>
      </c>
      <c r="E259" s="1607">
        <v>185</v>
      </c>
      <c r="F259" s="1607">
        <v>16</v>
      </c>
      <c r="G259" s="1607">
        <v>10</v>
      </c>
      <c r="H259" s="1607">
        <v>2</v>
      </c>
    </row>
    <row r="260" spans="1:8" x14ac:dyDescent="0.2">
      <c r="A260" s="1607" t="s">
        <v>680</v>
      </c>
      <c r="B260" s="1607" t="s">
        <v>603</v>
      </c>
      <c r="C260" s="1607" t="s">
        <v>37</v>
      </c>
      <c r="D260" s="1607">
        <v>41</v>
      </c>
      <c r="E260" s="1607">
        <v>31</v>
      </c>
      <c r="F260" s="1607">
        <v>2</v>
      </c>
      <c r="G260" s="1607">
        <v>5</v>
      </c>
      <c r="H260" s="1607">
        <v>3</v>
      </c>
    </row>
    <row r="261" spans="1:8" x14ac:dyDescent="0.2">
      <c r="A261" s="1607" t="s">
        <v>680</v>
      </c>
      <c r="B261" s="1607" t="s">
        <v>603</v>
      </c>
      <c r="C261" s="1607" t="s">
        <v>38</v>
      </c>
      <c r="D261" s="1607">
        <v>23</v>
      </c>
      <c r="E261" s="1607">
        <v>14</v>
      </c>
      <c r="F261" s="1607">
        <v>8</v>
      </c>
      <c r="G261" s="1607"/>
      <c r="H261" s="1607">
        <v>1</v>
      </c>
    </row>
    <row r="262" spans="1:8" x14ac:dyDescent="0.2">
      <c r="A262" s="1607" t="s">
        <v>680</v>
      </c>
      <c r="B262" s="1607" t="s">
        <v>603</v>
      </c>
      <c r="C262" s="1607" t="s">
        <v>39</v>
      </c>
      <c r="D262" s="1607">
        <v>15</v>
      </c>
      <c r="E262" s="1607">
        <v>15</v>
      </c>
      <c r="F262" s="1607"/>
      <c r="G262" s="1607"/>
      <c r="H262" s="1607"/>
    </row>
    <row r="263" spans="1:8" x14ac:dyDescent="0.2">
      <c r="A263" s="1607" t="s">
        <v>680</v>
      </c>
      <c r="B263" s="1607" t="s">
        <v>603</v>
      </c>
      <c r="C263" s="1607" t="s">
        <v>40</v>
      </c>
      <c r="D263" s="1607">
        <v>21</v>
      </c>
      <c r="E263" s="1607">
        <v>13</v>
      </c>
      <c r="F263" s="1607">
        <v>3</v>
      </c>
      <c r="G263" s="1607">
        <v>3</v>
      </c>
      <c r="H263" s="1607">
        <v>2</v>
      </c>
    </row>
    <row r="264" spans="1:8" x14ac:dyDescent="0.2">
      <c r="A264" s="1607" t="s">
        <v>680</v>
      </c>
      <c r="B264" s="1607" t="s">
        <v>603</v>
      </c>
      <c r="C264" s="1607" t="s">
        <v>393</v>
      </c>
      <c r="D264" s="1607">
        <v>2</v>
      </c>
      <c r="E264" s="1607">
        <v>2</v>
      </c>
      <c r="F264" s="1607"/>
      <c r="G264" s="1607"/>
      <c r="H264" s="1607"/>
    </row>
    <row r="265" spans="1:8" x14ac:dyDescent="0.2">
      <c r="A265" s="1607" t="s">
        <v>680</v>
      </c>
      <c r="B265" s="1607" t="s">
        <v>603</v>
      </c>
      <c r="C265" s="1607" t="s">
        <v>41</v>
      </c>
      <c r="D265" s="1607">
        <v>20</v>
      </c>
      <c r="E265" s="1607">
        <v>18</v>
      </c>
      <c r="F265" s="1607">
        <v>2</v>
      </c>
      <c r="G265" s="1607"/>
      <c r="H265" s="1607"/>
    </row>
    <row r="266" spans="1:8" x14ac:dyDescent="0.2">
      <c r="A266" s="1607" t="s">
        <v>680</v>
      </c>
      <c r="B266" s="1607" t="s">
        <v>603</v>
      </c>
      <c r="C266" s="1607" t="s">
        <v>42</v>
      </c>
      <c r="D266" s="1607">
        <v>98</v>
      </c>
      <c r="E266" s="1607">
        <v>84</v>
      </c>
      <c r="F266" s="1607">
        <v>10</v>
      </c>
      <c r="G266" s="1607">
        <v>3</v>
      </c>
      <c r="H266" s="1607">
        <v>1</v>
      </c>
    </row>
    <row r="267" spans="1:8" x14ac:dyDescent="0.2">
      <c r="A267" s="1607" t="s">
        <v>680</v>
      </c>
      <c r="B267" s="1607" t="s">
        <v>603</v>
      </c>
      <c r="C267" s="1607" t="s">
        <v>43</v>
      </c>
      <c r="D267" s="1607">
        <v>4</v>
      </c>
      <c r="E267" s="1607">
        <v>3</v>
      </c>
      <c r="F267" s="1607"/>
      <c r="G267" s="1607">
        <v>1</v>
      </c>
      <c r="H267" s="1607"/>
    </row>
    <row r="268" spans="1:8" x14ac:dyDescent="0.2">
      <c r="A268" s="1607" t="s">
        <v>680</v>
      </c>
      <c r="B268" s="1607" t="s">
        <v>603</v>
      </c>
      <c r="C268" s="1607" t="s">
        <v>44</v>
      </c>
      <c r="D268" s="1607">
        <v>22</v>
      </c>
      <c r="E268" s="1607">
        <v>20</v>
      </c>
      <c r="F268" s="1607">
        <v>2</v>
      </c>
      <c r="G268" s="1607"/>
      <c r="H268" s="1607"/>
    </row>
    <row r="269" spans="1:8" x14ac:dyDescent="0.2">
      <c r="A269" s="1607" t="s">
        <v>680</v>
      </c>
      <c r="B269" s="1607" t="s">
        <v>603</v>
      </c>
      <c r="C269" s="1607" t="s">
        <v>45</v>
      </c>
      <c r="D269" s="1607">
        <v>42</v>
      </c>
      <c r="E269" s="1607">
        <v>37</v>
      </c>
      <c r="F269" s="1607">
        <v>1</v>
      </c>
      <c r="G269" s="1607">
        <v>4</v>
      </c>
      <c r="H269" s="1607"/>
    </row>
    <row r="270" spans="1:8" x14ac:dyDescent="0.2">
      <c r="A270" s="1607" t="s">
        <v>680</v>
      </c>
      <c r="B270" s="1607" t="s">
        <v>603</v>
      </c>
      <c r="C270" s="1607" t="s">
        <v>46</v>
      </c>
      <c r="D270" s="1607">
        <v>17</v>
      </c>
      <c r="E270" s="1607">
        <v>16</v>
      </c>
      <c r="F270" s="1607"/>
      <c r="G270" s="1607"/>
      <c r="H270" s="1607">
        <v>1</v>
      </c>
    </row>
    <row r="271" spans="1:8" x14ac:dyDescent="0.2">
      <c r="A271" s="1607" t="s">
        <v>680</v>
      </c>
      <c r="B271" s="1607" t="s">
        <v>603</v>
      </c>
      <c r="C271" s="1607" t="s">
        <v>47</v>
      </c>
      <c r="D271" s="1607">
        <v>6</v>
      </c>
      <c r="E271" s="1607">
        <v>5</v>
      </c>
      <c r="F271" s="1607">
        <v>1</v>
      </c>
      <c r="G271" s="1607"/>
      <c r="H271" s="1607"/>
    </row>
    <row r="272" spans="1:8" x14ac:dyDescent="0.2">
      <c r="A272" s="1607" t="s">
        <v>680</v>
      </c>
      <c r="B272" s="1607" t="s">
        <v>603</v>
      </c>
      <c r="C272" s="1607" t="s">
        <v>48</v>
      </c>
      <c r="D272" s="1607">
        <v>29</v>
      </c>
      <c r="E272" s="1607">
        <v>20</v>
      </c>
      <c r="F272" s="1607">
        <v>4</v>
      </c>
      <c r="G272" s="1607">
        <v>5</v>
      </c>
      <c r="H272" s="1607"/>
    </row>
    <row r="273" spans="1:8" x14ac:dyDescent="0.2">
      <c r="A273" s="1607" t="s">
        <v>680</v>
      </c>
      <c r="B273" s="1607" t="s">
        <v>603</v>
      </c>
      <c r="C273" s="1607" t="s">
        <v>49</v>
      </c>
      <c r="D273" s="1607">
        <v>69</v>
      </c>
      <c r="E273" s="1607">
        <v>60</v>
      </c>
      <c r="F273" s="1607">
        <v>6</v>
      </c>
      <c r="G273" s="1607">
        <v>1</v>
      </c>
      <c r="H273" s="1607">
        <v>2</v>
      </c>
    </row>
    <row r="274" spans="1:8" x14ac:dyDescent="0.2">
      <c r="A274" s="1607" t="s">
        <v>680</v>
      </c>
      <c r="B274" s="1607" t="s">
        <v>603</v>
      </c>
      <c r="C274" s="1607" t="s">
        <v>50</v>
      </c>
      <c r="D274" s="1607">
        <v>24</v>
      </c>
      <c r="E274" s="1607">
        <v>15</v>
      </c>
      <c r="F274" s="1607">
        <v>7</v>
      </c>
      <c r="G274" s="1607">
        <v>2</v>
      </c>
      <c r="H274" s="1607"/>
    </row>
    <row r="275" spans="1:8" x14ac:dyDescent="0.2">
      <c r="A275" s="1607" t="s">
        <v>680</v>
      </c>
      <c r="B275" s="1607" t="s">
        <v>603</v>
      </c>
      <c r="C275" s="1607" t="s">
        <v>51</v>
      </c>
      <c r="D275" s="1607">
        <v>25</v>
      </c>
      <c r="E275" s="1607">
        <v>22</v>
      </c>
      <c r="F275" s="1607">
        <v>2</v>
      </c>
      <c r="G275" s="1607"/>
      <c r="H275" s="1607">
        <v>1</v>
      </c>
    </row>
    <row r="276" spans="1:8" x14ac:dyDescent="0.2">
      <c r="A276" s="1607" t="s">
        <v>680</v>
      </c>
      <c r="B276" s="1607" t="s">
        <v>603</v>
      </c>
      <c r="C276" s="1607" t="s">
        <v>52</v>
      </c>
      <c r="D276" s="1607">
        <v>41</v>
      </c>
      <c r="E276" s="1607">
        <v>32</v>
      </c>
      <c r="F276" s="1607">
        <v>7</v>
      </c>
      <c r="G276" s="1607">
        <v>1</v>
      </c>
      <c r="H276" s="1607">
        <v>1</v>
      </c>
    </row>
  </sheetData>
  <pageMargins left="0.7" right="0.7" top="0.75" bottom="0.75" header="0.3" footer="0.3"/>
  <pageSetup paperSize="9" fitToHeight="50" orientation="landscape"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fitToPage="1"/>
  </sheetPr>
  <dimension ref="A1:L10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0.42578125" bestFit="1" customWidth="1"/>
    <col min="3" max="3" width="9.7109375" customWidth="1"/>
    <col min="4" max="4" width="14.28515625" bestFit="1" customWidth="1"/>
    <col min="5" max="5" width="17.42578125" bestFit="1" customWidth="1"/>
    <col min="6" max="6" width="9" customWidth="1"/>
    <col min="7" max="7" width="11.28515625" bestFit="1" customWidth="1"/>
    <col min="8" max="8" width="11.42578125" bestFit="1" customWidth="1"/>
    <col min="9" max="9" width="7.85546875" bestFit="1" customWidth="1"/>
    <col min="10" max="10" width="17.42578125" bestFit="1" customWidth="1"/>
    <col min="11" max="11" width="11.28515625" bestFit="1" customWidth="1"/>
    <col min="12" max="12" width="11.42578125" bestFit="1" customWidth="1"/>
  </cols>
  <sheetData>
    <row r="1" spans="1:12" x14ac:dyDescent="0.2"/>
    <row r="4" spans="1:12" x14ac:dyDescent="0.2">
      <c r="A4" s="1606" t="s">
        <v>839</v>
      </c>
      <c r="B4" s="1606" t="s">
        <v>1089</v>
      </c>
      <c r="C4" s="1606" t="s">
        <v>1090</v>
      </c>
      <c r="D4" s="1606" t="s">
        <v>1091</v>
      </c>
      <c r="E4" s="1606" t="s">
        <v>1092</v>
      </c>
      <c r="F4" s="1606" t="s">
        <v>1093</v>
      </c>
      <c r="G4" s="1606" t="s">
        <v>1094</v>
      </c>
      <c r="H4" s="1606" t="s">
        <v>1095</v>
      </c>
      <c r="I4" s="1606" t="s">
        <v>1096</v>
      </c>
      <c r="J4" s="1606" t="s">
        <v>1097</v>
      </c>
      <c r="K4" s="1606" t="s">
        <v>1098</v>
      </c>
      <c r="L4" s="1606" t="s">
        <v>1099</v>
      </c>
    </row>
    <row r="5" spans="1:12" x14ac:dyDescent="0.2">
      <c r="A5" s="1607" t="s">
        <v>160</v>
      </c>
      <c r="B5" s="1607">
        <v>5072</v>
      </c>
      <c r="C5" s="1607">
        <v>4908</v>
      </c>
      <c r="D5" s="1607">
        <v>164</v>
      </c>
      <c r="E5" s="1607" t="s">
        <v>160</v>
      </c>
      <c r="F5" s="1607">
        <v>33</v>
      </c>
      <c r="G5" s="1607">
        <v>26</v>
      </c>
      <c r="H5" s="1607">
        <v>7</v>
      </c>
      <c r="I5" s="1607" t="s">
        <v>160</v>
      </c>
      <c r="J5" s="1607">
        <v>925</v>
      </c>
      <c r="K5" s="1607">
        <v>880</v>
      </c>
      <c r="L5" s="1607">
        <v>45</v>
      </c>
    </row>
    <row r="6" spans="1:12" x14ac:dyDescent="0.2">
      <c r="A6" s="1607" t="s">
        <v>379</v>
      </c>
      <c r="B6" s="1607">
        <v>4930</v>
      </c>
      <c r="C6" s="1607">
        <v>4745</v>
      </c>
      <c r="D6" s="1607">
        <v>185</v>
      </c>
      <c r="E6" s="1607" t="s">
        <v>379</v>
      </c>
      <c r="F6" s="1607">
        <v>31</v>
      </c>
      <c r="G6" s="1607">
        <v>24</v>
      </c>
      <c r="H6" s="1607">
        <v>7</v>
      </c>
      <c r="I6" s="1607" t="s">
        <v>379</v>
      </c>
      <c r="J6" s="1607">
        <v>940</v>
      </c>
      <c r="K6" s="1607">
        <v>898</v>
      </c>
      <c r="L6" s="1607">
        <v>42</v>
      </c>
    </row>
    <row r="7" spans="1:12" x14ac:dyDescent="0.2">
      <c r="A7" s="1607" t="s">
        <v>603</v>
      </c>
      <c r="B7" s="1607">
        <v>4752</v>
      </c>
      <c r="C7" s="1607">
        <v>4561</v>
      </c>
      <c r="D7" s="1607">
        <v>191</v>
      </c>
      <c r="E7" s="1607" t="s">
        <v>603</v>
      </c>
      <c r="F7" s="1607">
        <v>35</v>
      </c>
      <c r="G7" s="1607">
        <v>26</v>
      </c>
      <c r="H7" s="1607">
        <v>9</v>
      </c>
      <c r="I7" s="1607" t="s">
        <v>603</v>
      </c>
      <c r="J7" s="1607">
        <v>797</v>
      </c>
      <c r="K7" s="1607">
        <v>767</v>
      </c>
      <c r="L7" s="1607">
        <v>30</v>
      </c>
    </row>
    <row r="10" spans="1:12" x14ac:dyDescent="0.2">
      <c r="A10" s="1608" t="s">
        <v>4</v>
      </c>
      <c r="B10" s="1608" t="s">
        <v>1081</v>
      </c>
      <c r="C10" s="1608" t="s">
        <v>1089</v>
      </c>
      <c r="D10" s="1608" t="s">
        <v>1093</v>
      </c>
      <c r="E10" s="1608" t="s">
        <v>1097</v>
      </c>
      <c r="F10" s="1608" t="s">
        <v>5</v>
      </c>
    </row>
    <row r="11" spans="1:12" x14ac:dyDescent="0.2">
      <c r="A11" s="1607" t="s">
        <v>160</v>
      </c>
      <c r="B11" s="1607" t="s">
        <v>23</v>
      </c>
      <c r="C11" s="1607">
        <v>299</v>
      </c>
      <c r="D11" s="1607">
        <v>1</v>
      </c>
      <c r="E11" s="1607">
        <v>50</v>
      </c>
      <c r="F11" s="1607">
        <v>114234</v>
      </c>
    </row>
    <row r="12" spans="1:12" x14ac:dyDescent="0.2">
      <c r="A12" s="1607" t="s">
        <v>160</v>
      </c>
      <c r="B12" s="1607" t="s">
        <v>24</v>
      </c>
      <c r="C12" s="1607">
        <v>180</v>
      </c>
      <c r="D12" s="1607"/>
      <c r="E12" s="1607">
        <v>18</v>
      </c>
      <c r="F12" s="1607">
        <v>115223</v>
      </c>
    </row>
    <row r="13" spans="1:12" x14ac:dyDescent="0.2">
      <c r="A13" s="1607" t="s">
        <v>160</v>
      </c>
      <c r="B13" s="1607" t="s">
        <v>25</v>
      </c>
      <c r="C13" s="1607">
        <v>88</v>
      </c>
      <c r="D13" s="1607"/>
      <c r="E13" s="1607">
        <v>28</v>
      </c>
      <c r="F13" s="1607">
        <v>55619</v>
      </c>
    </row>
    <row r="14" spans="1:12" x14ac:dyDescent="0.2">
      <c r="A14" s="1607" t="s">
        <v>160</v>
      </c>
      <c r="B14" s="1607" t="s">
        <v>26</v>
      </c>
      <c r="C14" s="1607">
        <v>60</v>
      </c>
      <c r="D14" s="1607"/>
      <c r="E14" s="1607">
        <v>7</v>
      </c>
      <c r="F14" s="1607">
        <v>47712</v>
      </c>
    </row>
    <row r="15" spans="1:12" x14ac:dyDescent="0.2">
      <c r="A15" s="1607" t="s">
        <v>160</v>
      </c>
      <c r="B15" s="1607" t="s">
        <v>27</v>
      </c>
      <c r="C15" s="1607">
        <v>71</v>
      </c>
      <c r="D15" s="1607"/>
      <c r="E15" s="1607">
        <v>10</v>
      </c>
      <c r="F15" s="1607">
        <v>24114</v>
      </c>
    </row>
    <row r="16" spans="1:12" x14ac:dyDescent="0.2">
      <c r="A16" s="1607" t="s">
        <v>160</v>
      </c>
      <c r="B16" s="1607" t="s">
        <v>28</v>
      </c>
      <c r="C16" s="1607">
        <v>82</v>
      </c>
      <c r="D16" s="1607">
        <v>1</v>
      </c>
      <c r="E16" s="1607">
        <v>6</v>
      </c>
      <c r="F16" s="1607">
        <v>74190</v>
      </c>
    </row>
    <row r="17" spans="1:6" x14ac:dyDescent="0.2">
      <c r="A17" s="1607" t="s">
        <v>160</v>
      </c>
      <c r="B17" s="1607" t="s">
        <v>29</v>
      </c>
      <c r="C17" s="1607">
        <v>227</v>
      </c>
      <c r="D17" s="1607">
        <v>2</v>
      </c>
      <c r="E17" s="1607">
        <v>71</v>
      </c>
      <c r="F17" s="1607">
        <v>73689</v>
      </c>
    </row>
    <row r="18" spans="1:6" x14ac:dyDescent="0.2">
      <c r="A18" s="1607" t="s">
        <v>160</v>
      </c>
      <c r="B18" s="1607" t="s">
        <v>30</v>
      </c>
      <c r="C18" s="1607">
        <v>92</v>
      </c>
      <c r="D18" s="1607"/>
      <c r="E18" s="1607">
        <v>28</v>
      </c>
      <c r="F18" s="1607">
        <v>57654</v>
      </c>
    </row>
    <row r="19" spans="1:6" x14ac:dyDescent="0.2">
      <c r="A19" s="1607" t="s">
        <v>160</v>
      </c>
      <c r="B19" s="1607" t="s">
        <v>31</v>
      </c>
      <c r="C19" s="1607">
        <v>71</v>
      </c>
      <c r="D19" s="1607"/>
      <c r="E19" s="1607">
        <v>12</v>
      </c>
      <c r="F19" s="1607">
        <v>45678</v>
      </c>
    </row>
    <row r="20" spans="1:6" x14ac:dyDescent="0.2">
      <c r="A20" s="1607" t="s">
        <v>160</v>
      </c>
      <c r="B20" s="1607" t="s">
        <v>32</v>
      </c>
      <c r="C20" s="1607">
        <v>80</v>
      </c>
      <c r="D20" s="1607">
        <v>1</v>
      </c>
      <c r="E20" s="1607">
        <v>6</v>
      </c>
      <c r="F20" s="1607">
        <v>46332</v>
      </c>
    </row>
    <row r="21" spans="1:6" x14ac:dyDescent="0.2">
      <c r="A21" s="1607" t="s">
        <v>160</v>
      </c>
      <c r="B21" s="1607" t="s">
        <v>33</v>
      </c>
      <c r="C21" s="1607">
        <v>63</v>
      </c>
      <c r="D21" s="1607">
        <v>1</v>
      </c>
      <c r="E21" s="1607">
        <v>11</v>
      </c>
      <c r="F21" s="1607">
        <v>38061</v>
      </c>
    </row>
    <row r="22" spans="1:6" x14ac:dyDescent="0.2">
      <c r="A22" s="1607" t="s">
        <v>160</v>
      </c>
      <c r="B22" s="1607" t="s">
        <v>665</v>
      </c>
      <c r="C22" s="1607">
        <v>545</v>
      </c>
      <c r="D22" s="1607">
        <v>4</v>
      </c>
      <c r="E22" s="1607">
        <v>85</v>
      </c>
      <c r="F22" s="1607">
        <v>241433</v>
      </c>
    </row>
    <row r="23" spans="1:6" x14ac:dyDescent="0.2">
      <c r="A23" s="1607" t="s">
        <v>160</v>
      </c>
      <c r="B23" s="1607" t="s">
        <v>34</v>
      </c>
      <c r="C23" s="1607">
        <v>123</v>
      </c>
      <c r="D23" s="1607">
        <v>2</v>
      </c>
      <c r="E23" s="1607">
        <v>23</v>
      </c>
      <c r="F23" s="1607">
        <v>73290</v>
      </c>
    </row>
    <row r="24" spans="1:6" x14ac:dyDescent="0.2">
      <c r="A24" s="1607" t="s">
        <v>160</v>
      </c>
      <c r="B24" s="1607" t="s">
        <v>35</v>
      </c>
      <c r="C24" s="1607">
        <v>255</v>
      </c>
      <c r="D24" s="1607">
        <v>1</v>
      </c>
      <c r="E24" s="1607">
        <v>26</v>
      </c>
      <c r="F24" s="1607">
        <v>173366</v>
      </c>
    </row>
    <row r="25" spans="1:6" x14ac:dyDescent="0.2">
      <c r="A25" s="1607" t="s">
        <v>160</v>
      </c>
      <c r="B25" s="1607" t="s">
        <v>36</v>
      </c>
      <c r="C25" s="1607">
        <v>833</v>
      </c>
      <c r="D25" s="1607">
        <v>3</v>
      </c>
      <c r="E25" s="1607">
        <v>155</v>
      </c>
      <c r="F25" s="1607">
        <v>304013</v>
      </c>
    </row>
    <row r="26" spans="1:6" x14ac:dyDescent="0.2">
      <c r="A26" s="1607" t="s">
        <v>160</v>
      </c>
      <c r="B26" s="1607" t="s">
        <v>37</v>
      </c>
      <c r="C26" s="1607">
        <v>122</v>
      </c>
      <c r="D26" s="1607">
        <v>5</v>
      </c>
      <c r="E26" s="1607">
        <v>34</v>
      </c>
      <c r="F26" s="1607">
        <v>115538</v>
      </c>
    </row>
    <row r="27" spans="1:6" x14ac:dyDescent="0.2">
      <c r="A27" s="1607" t="s">
        <v>160</v>
      </c>
      <c r="B27" s="1607" t="s">
        <v>38</v>
      </c>
      <c r="C27" s="1607">
        <v>111</v>
      </c>
      <c r="D27" s="1607">
        <v>1</v>
      </c>
      <c r="E27" s="1607">
        <v>35</v>
      </c>
      <c r="F27" s="1607">
        <v>38787</v>
      </c>
    </row>
    <row r="28" spans="1:6" x14ac:dyDescent="0.2">
      <c r="A28" s="1607" t="s">
        <v>160</v>
      </c>
      <c r="B28" s="1607" t="s">
        <v>39</v>
      </c>
      <c r="C28" s="1607">
        <v>60</v>
      </c>
      <c r="D28" s="1607"/>
      <c r="E28" s="1607">
        <v>9</v>
      </c>
      <c r="F28" s="1607">
        <v>38675</v>
      </c>
    </row>
    <row r="29" spans="1:6" x14ac:dyDescent="0.2">
      <c r="A29" s="1607" t="s">
        <v>160</v>
      </c>
      <c r="B29" s="1607" t="s">
        <v>40</v>
      </c>
      <c r="C29" s="1607">
        <v>47</v>
      </c>
      <c r="D29" s="1607"/>
      <c r="E29" s="1607">
        <v>11</v>
      </c>
      <c r="F29" s="1607">
        <v>44096</v>
      </c>
    </row>
    <row r="30" spans="1:6" x14ac:dyDescent="0.2">
      <c r="A30" s="1607" t="s">
        <v>160</v>
      </c>
      <c r="B30" s="1607" t="s">
        <v>393</v>
      </c>
      <c r="C30" s="1607">
        <v>20</v>
      </c>
      <c r="D30" s="1607"/>
      <c r="E30" s="1607">
        <v>7</v>
      </c>
      <c r="F30" s="1607">
        <v>14577</v>
      </c>
    </row>
    <row r="31" spans="1:6" x14ac:dyDescent="0.2">
      <c r="A31" s="1607" t="s">
        <v>160</v>
      </c>
      <c r="B31" s="1607" t="s">
        <v>41</v>
      </c>
      <c r="C31" s="1607">
        <v>160</v>
      </c>
      <c r="D31" s="1607">
        <v>1</v>
      </c>
      <c r="E31" s="1607">
        <v>37</v>
      </c>
      <c r="F31" s="1607">
        <v>67590</v>
      </c>
    </row>
    <row r="32" spans="1:6" x14ac:dyDescent="0.2">
      <c r="A32" s="1607" t="s">
        <v>160</v>
      </c>
      <c r="B32" s="1607" t="s">
        <v>42</v>
      </c>
      <c r="C32" s="1607">
        <v>294</v>
      </c>
      <c r="D32" s="1607">
        <v>4</v>
      </c>
      <c r="E32" s="1607">
        <v>61</v>
      </c>
      <c r="F32" s="1607">
        <v>152293</v>
      </c>
    </row>
    <row r="33" spans="1:6" x14ac:dyDescent="0.2">
      <c r="A33" s="1607" t="s">
        <v>160</v>
      </c>
      <c r="B33" s="1607" t="s">
        <v>43</v>
      </c>
      <c r="C33" s="1607">
        <v>11</v>
      </c>
      <c r="D33" s="1607"/>
      <c r="E33" s="1607">
        <v>2</v>
      </c>
      <c r="F33" s="1607">
        <v>10924</v>
      </c>
    </row>
    <row r="34" spans="1:6" x14ac:dyDescent="0.2">
      <c r="A34" s="1607" t="s">
        <v>160</v>
      </c>
      <c r="B34" s="1607" t="s">
        <v>44</v>
      </c>
      <c r="C34" s="1607">
        <v>120</v>
      </c>
      <c r="D34" s="1607"/>
      <c r="E34" s="1607">
        <v>23</v>
      </c>
      <c r="F34" s="1607">
        <v>70828</v>
      </c>
    </row>
    <row r="35" spans="1:6" x14ac:dyDescent="0.2">
      <c r="A35" s="1607" t="s">
        <v>160</v>
      </c>
      <c r="B35" s="1607" t="s">
        <v>45</v>
      </c>
      <c r="C35" s="1607">
        <v>207</v>
      </c>
      <c r="D35" s="1607"/>
      <c r="E35" s="1607">
        <v>30</v>
      </c>
      <c r="F35" s="1607">
        <v>84997</v>
      </c>
    </row>
    <row r="36" spans="1:6" x14ac:dyDescent="0.2">
      <c r="A36" s="1607" t="s">
        <v>160</v>
      </c>
      <c r="B36" s="1607" t="s">
        <v>46</v>
      </c>
      <c r="C36" s="1607">
        <v>104</v>
      </c>
      <c r="D36" s="1607">
        <v>1</v>
      </c>
      <c r="E36" s="1607">
        <v>13</v>
      </c>
      <c r="F36" s="1607">
        <v>57628</v>
      </c>
    </row>
    <row r="37" spans="1:6" x14ac:dyDescent="0.2">
      <c r="A37" s="1607" t="s">
        <v>160</v>
      </c>
      <c r="B37" s="1607" t="s">
        <v>47</v>
      </c>
      <c r="C37" s="1607">
        <v>17</v>
      </c>
      <c r="D37" s="1607"/>
      <c r="E37" s="1607">
        <v>2</v>
      </c>
      <c r="F37" s="1607">
        <v>11021</v>
      </c>
    </row>
    <row r="38" spans="1:6" x14ac:dyDescent="0.2">
      <c r="A38" s="1607" t="s">
        <v>160</v>
      </c>
      <c r="B38" s="1607" t="s">
        <v>48</v>
      </c>
      <c r="C38" s="1607">
        <v>89</v>
      </c>
      <c r="D38" s="1607"/>
      <c r="E38" s="1607">
        <v>20</v>
      </c>
      <c r="F38" s="1607">
        <v>54635</v>
      </c>
    </row>
    <row r="39" spans="1:6" x14ac:dyDescent="0.2">
      <c r="A39" s="1607" t="s">
        <v>160</v>
      </c>
      <c r="B39" s="1607" t="s">
        <v>49</v>
      </c>
      <c r="C39" s="1607">
        <v>259</v>
      </c>
      <c r="D39" s="1607">
        <v>4</v>
      </c>
      <c r="E39" s="1607">
        <v>50</v>
      </c>
      <c r="F39" s="1607">
        <v>147849</v>
      </c>
    </row>
    <row r="40" spans="1:6" x14ac:dyDescent="0.2">
      <c r="A40" s="1607" t="s">
        <v>160</v>
      </c>
      <c r="B40" s="1607" t="s">
        <v>50</v>
      </c>
      <c r="C40" s="1607">
        <v>107</v>
      </c>
      <c r="D40" s="1607">
        <v>1</v>
      </c>
      <c r="E40" s="1607">
        <v>8</v>
      </c>
      <c r="F40" s="1607">
        <v>40646</v>
      </c>
    </row>
    <row r="41" spans="1:6" x14ac:dyDescent="0.2">
      <c r="A41" s="1607" t="s">
        <v>160</v>
      </c>
      <c r="B41" s="1607" t="s">
        <v>51</v>
      </c>
      <c r="C41" s="1607">
        <v>144</v>
      </c>
      <c r="D41" s="1607"/>
      <c r="E41" s="1607">
        <v>25</v>
      </c>
      <c r="F41" s="1607">
        <v>45056</v>
      </c>
    </row>
    <row r="42" spans="1:6" x14ac:dyDescent="0.2">
      <c r="A42" s="1607" t="s">
        <v>160</v>
      </c>
      <c r="B42" s="1607" t="s">
        <v>52</v>
      </c>
      <c r="C42" s="1607">
        <v>131</v>
      </c>
      <c r="D42" s="1607"/>
      <c r="E42" s="1607">
        <v>22</v>
      </c>
      <c r="F42" s="1607">
        <v>77834</v>
      </c>
    </row>
    <row r="43" spans="1:6" x14ac:dyDescent="0.2">
      <c r="A43" s="1607" t="s">
        <v>379</v>
      </c>
      <c r="B43" s="1607" t="s">
        <v>23</v>
      </c>
      <c r="C43" s="1607">
        <v>300</v>
      </c>
      <c r="D43" s="1607">
        <v>2</v>
      </c>
      <c r="E43" s="1607">
        <v>29</v>
      </c>
      <c r="F43" s="1607">
        <v>115080</v>
      </c>
    </row>
    <row r="44" spans="1:6" x14ac:dyDescent="0.2">
      <c r="A44" s="1607" t="s">
        <v>379</v>
      </c>
      <c r="B44" s="1607" t="s">
        <v>24</v>
      </c>
      <c r="C44" s="1607">
        <v>170</v>
      </c>
      <c r="D44" s="1607">
        <v>2</v>
      </c>
      <c r="E44" s="1607">
        <v>17</v>
      </c>
      <c r="F44" s="1607">
        <v>116421</v>
      </c>
    </row>
    <row r="45" spans="1:6" x14ac:dyDescent="0.2">
      <c r="A45" s="1607" t="s">
        <v>379</v>
      </c>
      <c r="B45" s="1607" t="s">
        <v>25</v>
      </c>
      <c r="C45" s="1607">
        <v>93</v>
      </c>
      <c r="D45" s="1607"/>
      <c r="E45" s="1607">
        <v>18</v>
      </c>
      <c r="F45" s="1607">
        <v>55872</v>
      </c>
    </row>
    <row r="46" spans="1:6" x14ac:dyDescent="0.2">
      <c r="A46" s="1607" t="s">
        <v>379</v>
      </c>
      <c r="B46" s="1607" t="s">
        <v>26</v>
      </c>
      <c r="C46" s="1607">
        <v>77</v>
      </c>
      <c r="D46" s="1607"/>
      <c r="E46" s="1607">
        <v>8</v>
      </c>
      <c r="F46" s="1607">
        <v>47780</v>
      </c>
    </row>
    <row r="47" spans="1:6" x14ac:dyDescent="0.2">
      <c r="A47" s="1607" t="s">
        <v>379</v>
      </c>
      <c r="B47" s="1607" t="s">
        <v>27</v>
      </c>
      <c r="C47" s="1607">
        <v>67</v>
      </c>
      <c r="D47" s="1607"/>
      <c r="E47" s="1607">
        <v>20</v>
      </c>
      <c r="F47" s="1607">
        <v>24221</v>
      </c>
    </row>
    <row r="48" spans="1:6" x14ac:dyDescent="0.2">
      <c r="A48" s="1607" t="s">
        <v>379</v>
      </c>
      <c r="B48" s="1607" t="s">
        <v>28</v>
      </c>
      <c r="C48" s="1607">
        <v>105</v>
      </c>
      <c r="D48" s="1607"/>
      <c r="E48" s="1607">
        <v>7</v>
      </c>
      <c r="F48" s="1607">
        <v>74453</v>
      </c>
    </row>
    <row r="49" spans="1:6" x14ac:dyDescent="0.2">
      <c r="A49" s="1607" t="s">
        <v>379</v>
      </c>
      <c r="B49" s="1607" t="s">
        <v>29</v>
      </c>
      <c r="C49" s="1607">
        <v>225</v>
      </c>
      <c r="D49" s="1607"/>
      <c r="E49" s="1607">
        <v>46</v>
      </c>
      <c r="F49" s="1607">
        <v>74026</v>
      </c>
    </row>
    <row r="50" spans="1:6" x14ac:dyDescent="0.2">
      <c r="A50" s="1607" t="s">
        <v>379</v>
      </c>
      <c r="B50" s="1607" t="s">
        <v>30</v>
      </c>
      <c r="C50" s="1607">
        <v>138</v>
      </c>
      <c r="D50" s="1607">
        <v>1</v>
      </c>
      <c r="E50" s="1607">
        <v>25</v>
      </c>
      <c r="F50" s="1607">
        <v>57873</v>
      </c>
    </row>
    <row r="51" spans="1:6" x14ac:dyDescent="0.2">
      <c r="A51" s="1607" t="s">
        <v>379</v>
      </c>
      <c r="B51" s="1607" t="s">
        <v>31</v>
      </c>
      <c r="C51" s="1607">
        <v>75</v>
      </c>
      <c r="D51" s="1607">
        <v>1</v>
      </c>
      <c r="E51" s="1607">
        <v>21</v>
      </c>
      <c r="F51" s="1607">
        <v>46026</v>
      </c>
    </row>
    <row r="52" spans="1:6" x14ac:dyDescent="0.2">
      <c r="A52" s="1607" t="s">
        <v>379</v>
      </c>
      <c r="B52" s="1607" t="s">
        <v>32</v>
      </c>
      <c r="C52" s="1607">
        <v>52</v>
      </c>
      <c r="D52" s="1607"/>
      <c r="E52" s="1607">
        <v>6</v>
      </c>
      <c r="F52" s="1607">
        <v>46672</v>
      </c>
    </row>
    <row r="53" spans="1:6" x14ac:dyDescent="0.2">
      <c r="A53" s="1607" t="s">
        <v>379</v>
      </c>
      <c r="B53" s="1607" t="s">
        <v>33</v>
      </c>
      <c r="C53" s="1607">
        <v>57</v>
      </c>
      <c r="D53" s="1607"/>
      <c r="E53" s="1607">
        <v>6</v>
      </c>
      <c r="F53" s="1607">
        <v>38389</v>
      </c>
    </row>
    <row r="54" spans="1:6" x14ac:dyDescent="0.2">
      <c r="A54" s="1607" t="s">
        <v>379</v>
      </c>
      <c r="B54" s="1607" t="s">
        <v>665</v>
      </c>
      <c r="C54" s="1607">
        <v>492</v>
      </c>
      <c r="D54" s="1607">
        <v>3</v>
      </c>
      <c r="E54" s="1607">
        <v>106</v>
      </c>
      <c r="F54" s="1607">
        <v>244131</v>
      </c>
    </row>
    <row r="55" spans="1:6" x14ac:dyDescent="0.2">
      <c r="A55" s="1607" t="s">
        <v>379</v>
      </c>
      <c r="B55" s="1607" t="s">
        <v>34</v>
      </c>
      <c r="C55" s="1607">
        <v>107</v>
      </c>
      <c r="D55" s="1607">
        <v>1</v>
      </c>
      <c r="E55" s="1607">
        <v>30</v>
      </c>
      <c r="F55" s="1607">
        <v>73767</v>
      </c>
    </row>
    <row r="56" spans="1:6" x14ac:dyDescent="0.2">
      <c r="A56" s="1607" t="s">
        <v>379</v>
      </c>
      <c r="B56" s="1607" t="s">
        <v>35</v>
      </c>
      <c r="C56" s="1607">
        <v>246</v>
      </c>
      <c r="D56" s="1607">
        <v>4</v>
      </c>
      <c r="E56" s="1607">
        <v>58</v>
      </c>
      <c r="F56" s="1607">
        <v>174528</v>
      </c>
    </row>
    <row r="57" spans="1:6" x14ac:dyDescent="0.2">
      <c r="A57" s="1607" t="s">
        <v>379</v>
      </c>
      <c r="B57" s="1607" t="s">
        <v>36</v>
      </c>
      <c r="C57" s="1607">
        <v>811</v>
      </c>
      <c r="D57" s="1607">
        <v>5</v>
      </c>
      <c r="E57" s="1607">
        <v>167</v>
      </c>
      <c r="F57" s="1607">
        <v>306000</v>
      </c>
    </row>
    <row r="58" spans="1:6" x14ac:dyDescent="0.2">
      <c r="A58" s="1607" t="s">
        <v>379</v>
      </c>
      <c r="B58" s="1607" t="s">
        <v>37</v>
      </c>
      <c r="C58" s="1607">
        <v>152</v>
      </c>
      <c r="D58" s="1607">
        <v>2</v>
      </c>
      <c r="E58" s="1607">
        <v>41</v>
      </c>
      <c r="F58" s="1607">
        <v>116453</v>
      </c>
    </row>
    <row r="59" spans="1:6" x14ac:dyDescent="0.2">
      <c r="A59" s="1607" t="s">
        <v>379</v>
      </c>
      <c r="B59" s="1607" t="s">
        <v>38</v>
      </c>
      <c r="C59" s="1607">
        <v>119</v>
      </c>
      <c r="D59" s="1607">
        <v>1</v>
      </c>
      <c r="E59" s="1607">
        <v>36</v>
      </c>
      <c r="F59" s="1607">
        <v>38835</v>
      </c>
    </row>
    <row r="60" spans="1:6" x14ac:dyDescent="0.2">
      <c r="A60" s="1607" t="s">
        <v>379</v>
      </c>
      <c r="B60" s="1607" t="s">
        <v>39</v>
      </c>
      <c r="C60" s="1607">
        <v>75</v>
      </c>
      <c r="D60" s="1607"/>
      <c r="E60" s="1607">
        <v>12</v>
      </c>
      <c r="F60" s="1607">
        <v>39297</v>
      </c>
    </row>
    <row r="61" spans="1:6" x14ac:dyDescent="0.2">
      <c r="A61" s="1607" t="s">
        <v>379</v>
      </c>
      <c r="B61" s="1607" t="s">
        <v>40</v>
      </c>
      <c r="C61" s="1607">
        <v>51</v>
      </c>
      <c r="D61" s="1607">
        <v>1</v>
      </c>
      <c r="E61" s="1607">
        <v>14</v>
      </c>
      <c r="F61" s="1607">
        <v>44454</v>
      </c>
    </row>
    <row r="62" spans="1:6" x14ac:dyDescent="0.2">
      <c r="A62" s="1607" t="s">
        <v>379</v>
      </c>
      <c r="B62" s="1607" t="s">
        <v>393</v>
      </c>
      <c r="C62" s="1607">
        <v>23</v>
      </c>
      <c r="D62" s="1607">
        <v>3</v>
      </c>
      <c r="E62" s="1607">
        <v>8</v>
      </c>
      <c r="F62" s="1607">
        <v>14599</v>
      </c>
    </row>
    <row r="63" spans="1:6" x14ac:dyDescent="0.2">
      <c r="A63" s="1607" t="s">
        <v>379</v>
      </c>
      <c r="B63" s="1607" t="s">
        <v>41</v>
      </c>
      <c r="C63" s="1607">
        <v>156</v>
      </c>
      <c r="D63" s="1607"/>
      <c r="E63" s="1607">
        <v>23</v>
      </c>
      <c r="F63" s="1607">
        <v>67800</v>
      </c>
    </row>
    <row r="64" spans="1:6" x14ac:dyDescent="0.2">
      <c r="A64" s="1607" t="s">
        <v>379</v>
      </c>
      <c r="B64" s="1607" t="s">
        <v>42</v>
      </c>
      <c r="C64" s="1607">
        <v>290</v>
      </c>
      <c r="D64" s="1607">
        <v>1</v>
      </c>
      <c r="E64" s="1607">
        <v>60</v>
      </c>
      <c r="F64" s="1607">
        <v>153388</v>
      </c>
    </row>
    <row r="65" spans="1:6" x14ac:dyDescent="0.2">
      <c r="A65" s="1607" t="s">
        <v>379</v>
      </c>
      <c r="B65" s="1607" t="s">
        <v>43</v>
      </c>
      <c r="C65" s="1607">
        <v>7</v>
      </c>
      <c r="D65" s="1607"/>
      <c r="E65" s="1607">
        <v>3</v>
      </c>
      <c r="F65" s="1607">
        <v>11063</v>
      </c>
    </row>
    <row r="66" spans="1:6" x14ac:dyDescent="0.2">
      <c r="A66" s="1607" t="s">
        <v>379</v>
      </c>
      <c r="B66" s="1607" t="s">
        <v>44</v>
      </c>
      <c r="C66" s="1607">
        <v>137</v>
      </c>
      <c r="D66" s="1607">
        <v>1</v>
      </c>
      <c r="E66" s="1607">
        <v>20</v>
      </c>
      <c r="F66" s="1607">
        <v>71347</v>
      </c>
    </row>
    <row r="67" spans="1:6" x14ac:dyDescent="0.2">
      <c r="A67" s="1607" t="s">
        <v>379</v>
      </c>
      <c r="B67" s="1607" t="s">
        <v>45</v>
      </c>
      <c r="C67" s="1607">
        <v>178</v>
      </c>
      <c r="D67" s="1607">
        <v>1</v>
      </c>
      <c r="E67" s="1607">
        <v>22</v>
      </c>
      <c r="F67" s="1607">
        <v>85724</v>
      </c>
    </row>
    <row r="68" spans="1:6" x14ac:dyDescent="0.2">
      <c r="A68" s="1607" t="s">
        <v>379</v>
      </c>
      <c r="B68" s="1607" t="s">
        <v>46</v>
      </c>
      <c r="C68" s="1607">
        <v>87</v>
      </c>
      <c r="D68" s="1607">
        <v>1</v>
      </c>
      <c r="E68" s="1607">
        <v>25</v>
      </c>
      <c r="F68" s="1607">
        <v>57940</v>
      </c>
    </row>
    <row r="69" spans="1:6" x14ac:dyDescent="0.2">
      <c r="A69" s="1607" t="s">
        <v>379</v>
      </c>
      <c r="B69" s="1607" t="s">
        <v>47</v>
      </c>
      <c r="C69" s="1607">
        <v>7</v>
      </c>
      <c r="D69" s="1607"/>
      <c r="E69" s="1607">
        <v>1</v>
      </c>
      <c r="F69" s="1607">
        <v>11109</v>
      </c>
    </row>
    <row r="70" spans="1:6" x14ac:dyDescent="0.2">
      <c r="A70" s="1607" t="s">
        <v>379</v>
      </c>
      <c r="B70" s="1607" t="s">
        <v>48</v>
      </c>
      <c r="C70" s="1607">
        <v>82</v>
      </c>
      <c r="D70" s="1607"/>
      <c r="E70" s="1607">
        <v>18</v>
      </c>
      <c r="F70" s="1607">
        <v>54942</v>
      </c>
    </row>
    <row r="71" spans="1:6" x14ac:dyDescent="0.2">
      <c r="A71" s="1607" t="s">
        <v>379</v>
      </c>
      <c r="B71" s="1607" t="s">
        <v>49</v>
      </c>
      <c r="C71" s="1607">
        <v>222</v>
      </c>
      <c r="D71" s="1607"/>
      <c r="E71" s="1607">
        <v>37</v>
      </c>
      <c r="F71" s="1607">
        <v>148771</v>
      </c>
    </row>
    <row r="72" spans="1:6" x14ac:dyDescent="0.2">
      <c r="A72" s="1607" t="s">
        <v>379</v>
      </c>
      <c r="B72" s="1607" t="s">
        <v>50</v>
      </c>
      <c r="C72" s="1607">
        <v>75</v>
      </c>
      <c r="D72" s="1607">
        <v>1</v>
      </c>
      <c r="E72" s="1607">
        <v>11</v>
      </c>
      <c r="F72" s="1607">
        <v>40998</v>
      </c>
    </row>
    <row r="73" spans="1:6" x14ac:dyDescent="0.2">
      <c r="A73" s="1607" t="s">
        <v>379</v>
      </c>
      <c r="B73" s="1607" t="s">
        <v>51</v>
      </c>
      <c r="C73" s="1607">
        <v>130</v>
      </c>
      <c r="D73" s="1607"/>
      <c r="E73" s="1607">
        <v>19</v>
      </c>
      <c r="F73" s="1607">
        <v>45104</v>
      </c>
    </row>
    <row r="74" spans="1:6" x14ac:dyDescent="0.2">
      <c r="A74" s="1607" t="s">
        <v>379</v>
      </c>
      <c r="B74" s="1607" t="s">
        <v>52</v>
      </c>
      <c r="C74" s="1607">
        <v>124</v>
      </c>
      <c r="D74" s="1607"/>
      <c r="E74" s="1607">
        <v>26</v>
      </c>
      <c r="F74" s="1607">
        <v>78604</v>
      </c>
    </row>
    <row r="75" spans="1:6" x14ac:dyDescent="0.2">
      <c r="A75" s="1607" t="s">
        <v>603</v>
      </c>
      <c r="B75" s="1607" t="s">
        <v>23</v>
      </c>
      <c r="C75" s="1607">
        <v>240</v>
      </c>
      <c r="D75" s="1607">
        <v>3</v>
      </c>
      <c r="E75" s="1607">
        <v>20</v>
      </c>
      <c r="F75" s="1607">
        <v>116821</v>
      </c>
    </row>
    <row r="76" spans="1:6" x14ac:dyDescent="0.2">
      <c r="A76" s="1607" t="s">
        <v>603</v>
      </c>
      <c r="B76" s="1607" t="s">
        <v>24</v>
      </c>
      <c r="C76" s="1607">
        <v>163</v>
      </c>
      <c r="D76" s="1607">
        <v>1</v>
      </c>
      <c r="E76" s="1607">
        <v>31</v>
      </c>
      <c r="F76" s="1607">
        <v>117363</v>
      </c>
    </row>
    <row r="77" spans="1:6" x14ac:dyDescent="0.2">
      <c r="A77" s="1607" t="s">
        <v>603</v>
      </c>
      <c r="B77" s="1607" t="s">
        <v>25</v>
      </c>
      <c r="C77" s="1607">
        <v>78</v>
      </c>
      <c r="D77" s="1607"/>
      <c r="E77" s="1607">
        <v>18</v>
      </c>
      <c r="F77" s="1607">
        <v>56135</v>
      </c>
    </row>
    <row r="78" spans="1:6" x14ac:dyDescent="0.2">
      <c r="A78" s="1607" t="s">
        <v>603</v>
      </c>
      <c r="B78" s="1607" t="s">
        <v>26</v>
      </c>
      <c r="C78" s="1607">
        <v>76</v>
      </c>
      <c r="D78" s="1607">
        <v>1</v>
      </c>
      <c r="E78" s="1607">
        <v>16</v>
      </c>
      <c r="F78" s="1607">
        <v>47884</v>
      </c>
    </row>
    <row r="79" spans="1:6" x14ac:dyDescent="0.2">
      <c r="A79" s="1607" t="s">
        <v>603</v>
      </c>
      <c r="B79" s="1607" t="s">
        <v>27</v>
      </c>
      <c r="C79" s="1607">
        <v>47</v>
      </c>
      <c r="D79" s="1607"/>
      <c r="E79" s="1607">
        <v>8</v>
      </c>
      <c r="F79" s="1607">
        <v>24377</v>
      </c>
    </row>
    <row r="80" spans="1:6" x14ac:dyDescent="0.2">
      <c r="A80" s="1607" t="s">
        <v>603</v>
      </c>
      <c r="B80" s="1607" t="s">
        <v>28</v>
      </c>
      <c r="C80" s="1607">
        <v>91</v>
      </c>
      <c r="D80" s="1607">
        <v>3</v>
      </c>
      <c r="E80" s="1607">
        <v>4</v>
      </c>
      <c r="F80" s="1607">
        <v>74687</v>
      </c>
    </row>
    <row r="81" spans="1:6" x14ac:dyDescent="0.2">
      <c r="A81" s="1607" t="s">
        <v>603</v>
      </c>
      <c r="B81" s="1607" t="s">
        <v>29</v>
      </c>
      <c r="C81" s="1607">
        <v>196</v>
      </c>
      <c r="D81" s="1607"/>
      <c r="E81" s="1607">
        <v>31</v>
      </c>
      <c r="F81" s="1607">
        <v>74354</v>
      </c>
    </row>
    <row r="82" spans="1:6" x14ac:dyDescent="0.2">
      <c r="A82" s="1607" t="s">
        <v>603</v>
      </c>
      <c r="B82" s="1607" t="s">
        <v>30</v>
      </c>
      <c r="C82" s="1607">
        <v>76</v>
      </c>
      <c r="D82" s="1607">
        <v>1</v>
      </c>
      <c r="E82" s="1607">
        <v>21</v>
      </c>
      <c r="F82" s="1607">
        <v>58158</v>
      </c>
    </row>
    <row r="83" spans="1:6" x14ac:dyDescent="0.2">
      <c r="A83" s="1607" t="s">
        <v>603</v>
      </c>
      <c r="B83" s="1607" t="s">
        <v>31</v>
      </c>
      <c r="C83" s="1607">
        <v>65</v>
      </c>
      <c r="D83" s="1607"/>
      <c r="E83" s="1607">
        <v>13</v>
      </c>
      <c r="F83" s="1607">
        <v>46430</v>
      </c>
    </row>
    <row r="84" spans="1:6" x14ac:dyDescent="0.2">
      <c r="A84" s="1607" t="s">
        <v>603</v>
      </c>
      <c r="B84" s="1607" t="s">
        <v>32</v>
      </c>
      <c r="C84" s="1607">
        <v>69</v>
      </c>
      <c r="D84" s="1607">
        <v>2</v>
      </c>
      <c r="E84" s="1607">
        <v>7</v>
      </c>
      <c r="F84" s="1607">
        <v>47407</v>
      </c>
    </row>
    <row r="85" spans="1:6" x14ac:dyDescent="0.2">
      <c r="A85" s="1607" t="s">
        <v>603</v>
      </c>
      <c r="B85" s="1607" t="s">
        <v>33</v>
      </c>
      <c r="C85" s="1607">
        <v>79</v>
      </c>
      <c r="D85" s="1607"/>
      <c r="E85" s="1607">
        <v>7</v>
      </c>
      <c r="F85" s="1607">
        <v>38677</v>
      </c>
    </row>
    <row r="86" spans="1:6" x14ac:dyDescent="0.2">
      <c r="A86" s="1607" t="s">
        <v>603</v>
      </c>
      <c r="B86" s="1607" t="s">
        <v>665</v>
      </c>
      <c r="C86" s="1607">
        <v>460</v>
      </c>
      <c r="D86" s="1607">
        <v>1</v>
      </c>
      <c r="E86" s="1607">
        <v>69</v>
      </c>
      <c r="F86" s="1607">
        <v>246818</v>
      </c>
    </row>
    <row r="87" spans="1:6" x14ac:dyDescent="0.2">
      <c r="A87" s="1607" t="s">
        <v>603</v>
      </c>
      <c r="B87" s="1607" t="s">
        <v>34</v>
      </c>
      <c r="C87" s="1607">
        <v>106</v>
      </c>
      <c r="D87" s="1607">
        <v>2</v>
      </c>
      <c r="E87" s="1607">
        <v>18</v>
      </c>
      <c r="F87" s="1607">
        <v>74361</v>
      </c>
    </row>
    <row r="88" spans="1:6" x14ac:dyDescent="0.2">
      <c r="A88" s="1607" t="s">
        <v>603</v>
      </c>
      <c r="B88" s="1607" t="s">
        <v>35</v>
      </c>
      <c r="C88" s="1607">
        <v>286</v>
      </c>
      <c r="D88" s="1607">
        <v>2</v>
      </c>
      <c r="E88" s="1607">
        <v>30</v>
      </c>
      <c r="F88" s="1607">
        <v>175915</v>
      </c>
    </row>
    <row r="89" spans="1:6" x14ac:dyDescent="0.2">
      <c r="A89" s="1607" t="s">
        <v>603</v>
      </c>
      <c r="B89" s="1607" t="s">
        <v>36</v>
      </c>
      <c r="C89" s="1607">
        <v>847</v>
      </c>
      <c r="D89" s="1607">
        <v>4</v>
      </c>
      <c r="E89" s="1607">
        <v>150</v>
      </c>
      <c r="F89" s="1607">
        <v>308293</v>
      </c>
    </row>
    <row r="90" spans="1:6" x14ac:dyDescent="0.2">
      <c r="A90" s="1607" t="s">
        <v>603</v>
      </c>
      <c r="B90" s="1607" t="s">
        <v>37</v>
      </c>
      <c r="C90" s="1607">
        <v>146</v>
      </c>
      <c r="D90" s="1607">
        <v>2</v>
      </c>
      <c r="E90" s="1607">
        <v>30</v>
      </c>
      <c r="F90" s="1607">
        <v>117291</v>
      </c>
    </row>
    <row r="91" spans="1:6" x14ac:dyDescent="0.2">
      <c r="A91" s="1607" t="s">
        <v>603</v>
      </c>
      <c r="B91" s="1607" t="s">
        <v>38</v>
      </c>
      <c r="C91" s="1607">
        <v>84</v>
      </c>
      <c r="D91" s="1607"/>
      <c r="E91" s="1607">
        <v>14</v>
      </c>
      <c r="F91" s="1607">
        <v>38848</v>
      </c>
    </row>
    <row r="92" spans="1:6" x14ac:dyDescent="0.2">
      <c r="A92" s="1607" t="s">
        <v>603</v>
      </c>
      <c r="B92" s="1607" t="s">
        <v>39</v>
      </c>
      <c r="C92" s="1607">
        <v>60</v>
      </c>
      <c r="D92" s="1607"/>
      <c r="E92" s="1607">
        <v>14</v>
      </c>
      <c r="F92" s="1607">
        <v>39937</v>
      </c>
    </row>
    <row r="93" spans="1:6" x14ac:dyDescent="0.2">
      <c r="A93" s="1607" t="s">
        <v>603</v>
      </c>
      <c r="B93" s="1607" t="s">
        <v>40</v>
      </c>
      <c r="C93" s="1607">
        <v>35</v>
      </c>
      <c r="D93" s="1607"/>
      <c r="E93" s="1607">
        <v>12</v>
      </c>
      <c r="F93" s="1607">
        <v>44838</v>
      </c>
    </row>
    <row r="94" spans="1:6" x14ac:dyDescent="0.2">
      <c r="A94" s="1607" t="s">
        <v>603</v>
      </c>
      <c r="B94" s="1607" t="s">
        <v>393</v>
      </c>
      <c r="C94" s="1607">
        <v>16</v>
      </c>
      <c r="D94" s="1607"/>
      <c r="E94" s="1607">
        <v>2</v>
      </c>
      <c r="F94" s="1607">
        <v>14714</v>
      </c>
    </row>
    <row r="95" spans="1:6" x14ac:dyDescent="0.2">
      <c r="A95" s="1607" t="s">
        <v>603</v>
      </c>
      <c r="B95" s="1607" t="s">
        <v>41</v>
      </c>
      <c r="C95" s="1607">
        <v>147</v>
      </c>
      <c r="D95" s="1607"/>
      <c r="E95" s="1607">
        <v>18</v>
      </c>
      <c r="F95" s="1607">
        <v>67960</v>
      </c>
    </row>
    <row r="96" spans="1:6" x14ac:dyDescent="0.2">
      <c r="A96" s="1607" t="s">
        <v>603</v>
      </c>
      <c r="B96" s="1607" t="s">
        <v>42</v>
      </c>
      <c r="C96" s="1607">
        <v>262</v>
      </c>
      <c r="D96" s="1607">
        <v>1</v>
      </c>
      <c r="E96" s="1607">
        <v>75</v>
      </c>
      <c r="F96" s="1607">
        <v>154286</v>
      </c>
    </row>
    <row r="97" spans="1:6" x14ac:dyDescent="0.2">
      <c r="A97" s="1607" t="s">
        <v>603</v>
      </c>
      <c r="B97" s="1607" t="s">
        <v>43</v>
      </c>
      <c r="C97" s="1607">
        <v>7</v>
      </c>
      <c r="D97" s="1607"/>
      <c r="E97" s="1607">
        <v>3</v>
      </c>
      <c r="F97" s="1607">
        <v>11192</v>
      </c>
    </row>
    <row r="98" spans="1:6" x14ac:dyDescent="0.2">
      <c r="A98" s="1607" t="s">
        <v>603</v>
      </c>
      <c r="B98" s="1607" t="s">
        <v>44</v>
      </c>
      <c r="C98" s="1607">
        <v>113</v>
      </c>
      <c r="D98" s="1607"/>
      <c r="E98" s="1607">
        <v>20</v>
      </c>
      <c r="F98" s="1607">
        <v>71810</v>
      </c>
    </row>
    <row r="99" spans="1:6" x14ac:dyDescent="0.2">
      <c r="A99" s="1607" t="s">
        <v>603</v>
      </c>
      <c r="B99" s="1607" t="s">
        <v>45</v>
      </c>
      <c r="C99" s="1607">
        <v>191</v>
      </c>
      <c r="D99" s="1607">
        <v>1</v>
      </c>
      <c r="E99" s="1607">
        <v>27</v>
      </c>
      <c r="F99" s="1607">
        <v>86449</v>
      </c>
    </row>
    <row r="100" spans="1:6" x14ac:dyDescent="0.2">
      <c r="A100" s="1607" t="s">
        <v>603</v>
      </c>
      <c r="B100" s="1607" t="s">
        <v>46</v>
      </c>
      <c r="C100" s="1607">
        <v>92</v>
      </c>
      <c r="D100" s="1607">
        <v>1</v>
      </c>
      <c r="E100" s="1607">
        <v>15</v>
      </c>
      <c r="F100" s="1607">
        <v>58167</v>
      </c>
    </row>
    <row r="101" spans="1:6" x14ac:dyDescent="0.2">
      <c r="A101" s="1607" t="s">
        <v>603</v>
      </c>
      <c r="B101" s="1607" t="s">
        <v>47</v>
      </c>
      <c r="C101" s="1607">
        <v>12</v>
      </c>
      <c r="D101" s="1607"/>
      <c r="E101" s="1607">
        <v>5</v>
      </c>
      <c r="F101" s="1607">
        <v>11180</v>
      </c>
    </row>
    <row r="102" spans="1:6" x14ac:dyDescent="0.2">
      <c r="A102" s="1607" t="s">
        <v>603</v>
      </c>
      <c r="B102" s="1607" t="s">
        <v>48</v>
      </c>
      <c r="C102" s="1607">
        <v>95</v>
      </c>
      <c r="D102" s="1607">
        <v>3</v>
      </c>
      <c r="E102" s="1607">
        <v>18</v>
      </c>
      <c r="F102" s="1607">
        <v>55252</v>
      </c>
    </row>
    <row r="103" spans="1:6" x14ac:dyDescent="0.2">
      <c r="A103" s="1607" t="s">
        <v>603</v>
      </c>
      <c r="B103" s="1607" t="s">
        <v>49</v>
      </c>
      <c r="C103" s="1607">
        <v>244</v>
      </c>
      <c r="D103" s="1607">
        <v>4</v>
      </c>
      <c r="E103" s="1607">
        <v>47</v>
      </c>
      <c r="F103" s="1607">
        <v>149972</v>
      </c>
    </row>
    <row r="104" spans="1:6" x14ac:dyDescent="0.2">
      <c r="A104" s="1607" t="s">
        <v>603</v>
      </c>
      <c r="B104" s="1607" t="s">
        <v>50</v>
      </c>
      <c r="C104" s="1607">
        <v>79</v>
      </c>
      <c r="D104" s="1607">
        <v>2</v>
      </c>
      <c r="E104" s="1607">
        <v>13</v>
      </c>
      <c r="F104" s="1607">
        <v>41250</v>
      </c>
    </row>
    <row r="105" spans="1:6" x14ac:dyDescent="0.2">
      <c r="A105" s="1607" t="s">
        <v>603</v>
      </c>
      <c r="B105" s="1607" t="s">
        <v>51</v>
      </c>
      <c r="C105" s="1607">
        <v>141</v>
      </c>
      <c r="D105" s="1607">
        <v>1</v>
      </c>
      <c r="E105" s="1607">
        <v>17</v>
      </c>
      <c r="F105" s="1607">
        <v>45093</v>
      </c>
    </row>
    <row r="106" spans="1:6" x14ac:dyDescent="0.2">
      <c r="A106" s="1607" t="s">
        <v>603</v>
      </c>
      <c r="B106" s="1607" t="s">
        <v>52</v>
      </c>
      <c r="C106" s="1607">
        <v>149</v>
      </c>
      <c r="D106" s="1607"/>
      <c r="E106" s="1607">
        <v>24</v>
      </c>
      <c r="F106" s="1607">
        <v>79112</v>
      </c>
    </row>
  </sheetData>
  <pageMargins left="0.7" right="0.7" top="0.75" bottom="0.75" header="0.3" footer="0.3"/>
  <pageSetup paperSize="9" scale="89" fitToHeight="50" orientation="landscape"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fitToPage="1"/>
  </sheetPr>
  <dimension ref="A1:G107"/>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0.42578125" bestFit="1" customWidth="1"/>
    <col min="3" max="3" width="5.140625" customWidth="1"/>
    <col min="4" max="4" width="7.140625" customWidth="1"/>
    <col min="5" max="5" width="20.7109375" bestFit="1" customWidth="1"/>
    <col min="6" max="6" width="25.5703125" bestFit="1" customWidth="1"/>
    <col min="7" max="7" width="21.5703125" bestFit="1" customWidth="1"/>
  </cols>
  <sheetData>
    <row r="1" spans="1:7" x14ac:dyDescent="0.2"/>
    <row r="4" spans="1:7" x14ac:dyDescent="0.2">
      <c r="A4" s="1606" t="s">
        <v>4</v>
      </c>
      <c r="B4" s="1606" t="s">
        <v>11</v>
      </c>
      <c r="C4" s="1606" t="s">
        <v>1100</v>
      </c>
      <c r="D4" s="1606" t="s">
        <v>1101</v>
      </c>
      <c r="E4" s="1606" t="s">
        <v>1102</v>
      </c>
    </row>
    <row r="5" spans="1:7" x14ac:dyDescent="0.2">
      <c r="A5" s="1607" t="s">
        <v>160</v>
      </c>
      <c r="B5" s="1607">
        <v>48845</v>
      </c>
      <c r="C5" s="1607">
        <v>37621</v>
      </c>
      <c r="D5" s="1607">
        <v>8849</v>
      </c>
      <c r="E5" s="1607">
        <v>2375</v>
      </c>
    </row>
    <row r="6" spans="1:7" x14ac:dyDescent="0.2">
      <c r="A6" s="1607" t="s">
        <v>379</v>
      </c>
      <c r="B6" s="1607">
        <v>50863</v>
      </c>
      <c r="C6" s="1607">
        <v>39626</v>
      </c>
      <c r="D6" s="1607">
        <v>8956</v>
      </c>
      <c r="E6" s="1607">
        <v>2281</v>
      </c>
    </row>
    <row r="7" spans="1:7" x14ac:dyDescent="0.2">
      <c r="A7" s="1607" t="s">
        <v>603</v>
      </c>
      <c r="B7" s="1607">
        <v>51787</v>
      </c>
      <c r="C7" s="1607">
        <v>40359</v>
      </c>
      <c r="D7" s="1607">
        <v>9090</v>
      </c>
      <c r="E7" s="1607">
        <v>2338</v>
      </c>
    </row>
    <row r="10" spans="1:7" x14ac:dyDescent="0.2">
      <c r="A10" s="1608" t="s">
        <v>4</v>
      </c>
      <c r="B10" s="1608" t="s">
        <v>1081</v>
      </c>
      <c r="C10" s="1608" t="s">
        <v>11</v>
      </c>
      <c r="D10" s="1608" t="s">
        <v>1086</v>
      </c>
      <c r="E10" s="1608" t="s">
        <v>1104</v>
      </c>
      <c r="F10" s="1608" t="s">
        <v>1105</v>
      </c>
      <c r="G10" s="1608" t="s">
        <v>1106</v>
      </c>
    </row>
    <row r="11" spans="1:7" x14ac:dyDescent="0.2">
      <c r="A11" s="1607" t="s">
        <v>160</v>
      </c>
      <c r="B11" s="1607" t="s">
        <v>23</v>
      </c>
      <c r="C11" s="1607">
        <v>2230</v>
      </c>
      <c r="D11" s="1607">
        <v>230350</v>
      </c>
      <c r="E11" s="1607">
        <v>113</v>
      </c>
      <c r="F11" s="1607">
        <v>1904</v>
      </c>
      <c r="G11" s="1607">
        <v>213</v>
      </c>
    </row>
    <row r="12" spans="1:7" x14ac:dyDescent="0.2">
      <c r="A12" s="1607" t="s">
        <v>160</v>
      </c>
      <c r="B12" s="1607" t="s">
        <v>24</v>
      </c>
      <c r="C12" s="1607">
        <v>1106</v>
      </c>
      <c r="D12" s="1607">
        <v>261960</v>
      </c>
      <c r="E12" s="1607">
        <v>35</v>
      </c>
      <c r="F12" s="1607">
        <v>865</v>
      </c>
      <c r="G12" s="1607">
        <v>206</v>
      </c>
    </row>
    <row r="13" spans="1:7" x14ac:dyDescent="0.2">
      <c r="A13" s="1607" t="s">
        <v>160</v>
      </c>
      <c r="B13" s="1607" t="s">
        <v>25</v>
      </c>
      <c r="C13" s="1607">
        <v>1060</v>
      </c>
      <c r="D13" s="1607">
        <v>116900</v>
      </c>
      <c r="E13" s="1607">
        <v>27</v>
      </c>
      <c r="F13" s="1607">
        <v>923</v>
      </c>
      <c r="G13" s="1607">
        <v>110</v>
      </c>
    </row>
    <row r="14" spans="1:7" x14ac:dyDescent="0.2">
      <c r="A14" s="1607" t="s">
        <v>160</v>
      </c>
      <c r="B14" s="1607" t="s">
        <v>26</v>
      </c>
      <c r="C14" s="1607">
        <v>1018</v>
      </c>
      <c r="D14" s="1607">
        <v>86890</v>
      </c>
      <c r="E14" s="1607">
        <v>17</v>
      </c>
      <c r="F14" s="1607">
        <v>860</v>
      </c>
      <c r="G14" s="1607">
        <v>141</v>
      </c>
    </row>
    <row r="15" spans="1:7" x14ac:dyDescent="0.2">
      <c r="A15" s="1607" t="s">
        <v>160</v>
      </c>
      <c r="B15" s="1607" t="s">
        <v>27</v>
      </c>
      <c r="C15" s="1607">
        <v>407</v>
      </c>
      <c r="D15" s="1607">
        <v>51360</v>
      </c>
      <c r="E15" s="1607">
        <v>26</v>
      </c>
      <c r="F15" s="1607">
        <v>287</v>
      </c>
      <c r="G15" s="1607">
        <v>94</v>
      </c>
    </row>
    <row r="16" spans="1:7" x14ac:dyDescent="0.2">
      <c r="A16" s="1607" t="s">
        <v>160</v>
      </c>
      <c r="B16" s="1607" t="s">
        <v>28</v>
      </c>
      <c r="C16" s="1607">
        <v>912</v>
      </c>
      <c r="D16" s="1607">
        <v>149670</v>
      </c>
      <c r="E16" s="1607">
        <v>51</v>
      </c>
      <c r="F16" s="1607">
        <v>619</v>
      </c>
      <c r="G16" s="1607">
        <v>242</v>
      </c>
    </row>
    <row r="17" spans="1:7" x14ac:dyDescent="0.2">
      <c r="A17" s="1607" t="s">
        <v>160</v>
      </c>
      <c r="B17" s="1607" t="s">
        <v>29</v>
      </c>
      <c r="C17" s="1607">
        <v>2107</v>
      </c>
      <c r="D17" s="1607">
        <v>148210</v>
      </c>
      <c r="E17" s="1607">
        <v>76</v>
      </c>
      <c r="F17" s="1607">
        <v>1797</v>
      </c>
      <c r="G17" s="1607">
        <v>234</v>
      </c>
    </row>
    <row r="18" spans="1:7" x14ac:dyDescent="0.2">
      <c r="A18" s="1607" t="s">
        <v>160</v>
      </c>
      <c r="B18" s="1607" t="s">
        <v>30</v>
      </c>
      <c r="C18" s="1607">
        <v>1200</v>
      </c>
      <c r="D18" s="1607">
        <v>122060</v>
      </c>
      <c r="E18" s="1607">
        <v>32</v>
      </c>
      <c r="F18" s="1607">
        <v>871</v>
      </c>
      <c r="G18" s="1607">
        <v>297</v>
      </c>
    </row>
    <row r="19" spans="1:7" x14ac:dyDescent="0.2">
      <c r="A19" s="1607" t="s">
        <v>160</v>
      </c>
      <c r="B19" s="1607" t="s">
        <v>31</v>
      </c>
      <c r="C19" s="1607">
        <v>523</v>
      </c>
      <c r="D19" s="1607">
        <v>106960</v>
      </c>
      <c r="E19" s="1607">
        <v>18</v>
      </c>
      <c r="F19" s="1607">
        <v>384</v>
      </c>
      <c r="G19" s="1607">
        <v>121</v>
      </c>
    </row>
    <row r="20" spans="1:7" x14ac:dyDescent="0.2">
      <c r="A20" s="1607" t="s">
        <v>160</v>
      </c>
      <c r="B20" s="1607" t="s">
        <v>32</v>
      </c>
      <c r="C20" s="1607">
        <v>831</v>
      </c>
      <c r="D20" s="1607">
        <v>103050</v>
      </c>
      <c r="E20" s="1607">
        <v>27</v>
      </c>
      <c r="F20" s="1607">
        <v>650</v>
      </c>
      <c r="G20" s="1607">
        <v>154</v>
      </c>
    </row>
    <row r="21" spans="1:7" x14ac:dyDescent="0.2">
      <c r="A21" s="1607" t="s">
        <v>160</v>
      </c>
      <c r="B21" s="1607" t="s">
        <v>33</v>
      </c>
      <c r="C21" s="1607">
        <v>489</v>
      </c>
      <c r="D21" s="1607">
        <v>92940</v>
      </c>
      <c r="E21" s="1607">
        <v>17</v>
      </c>
      <c r="F21" s="1607">
        <v>360</v>
      </c>
      <c r="G21" s="1607">
        <v>112</v>
      </c>
    </row>
    <row r="22" spans="1:7" x14ac:dyDescent="0.2">
      <c r="A22" s="1607" t="s">
        <v>160</v>
      </c>
      <c r="B22" s="1607" t="s">
        <v>665</v>
      </c>
      <c r="C22" s="1607">
        <v>6777</v>
      </c>
      <c r="D22" s="1607">
        <v>498810</v>
      </c>
      <c r="E22" s="1607">
        <v>351</v>
      </c>
      <c r="F22" s="1607">
        <v>5397</v>
      </c>
      <c r="G22" s="1607">
        <v>1029</v>
      </c>
    </row>
    <row r="23" spans="1:7" x14ac:dyDescent="0.2">
      <c r="A23" s="1607" t="s">
        <v>160</v>
      </c>
      <c r="B23" s="1607" t="s">
        <v>34</v>
      </c>
      <c r="C23" s="1607">
        <v>1032</v>
      </c>
      <c r="D23" s="1607">
        <v>158460</v>
      </c>
      <c r="E23" s="1607">
        <v>57</v>
      </c>
      <c r="F23" s="1607">
        <v>696</v>
      </c>
      <c r="G23" s="1607">
        <v>279</v>
      </c>
    </row>
    <row r="24" spans="1:7" x14ac:dyDescent="0.2">
      <c r="A24" s="1607" t="s">
        <v>160</v>
      </c>
      <c r="B24" s="1607" t="s">
        <v>35</v>
      </c>
      <c r="C24" s="1607">
        <v>2594</v>
      </c>
      <c r="D24" s="1607">
        <v>368080</v>
      </c>
      <c r="E24" s="1607">
        <v>96</v>
      </c>
      <c r="F24" s="1607">
        <v>2134</v>
      </c>
      <c r="G24" s="1607">
        <v>364</v>
      </c>
    </row>
    <row r="25" spans="1:7" x14ac:dyDescent="0.2">
      <c r="A25" s="1607" t="s">
        <v>160</v>
      </c>
      <c r="B25" s="1607" t="s">
        <v>36</v>
      </c>
      <c r="C25" s="1607">
        <v>8041</v>
      </c>
      <c r="D25" s="1607">
        <v>606340</v>
      </c>
      <c r="E25" s="1607">
        <v>571</v>
      </c>
      <c r="F25" s="1607">
        <v>6206</v>
      </c>
      <c r="G25" s="1607">
        <v>1264</v>
      </c>
    </row>
    <row r="26" spans="1:7" x14ac:dyDescent="0.2">
      <c r="A26" s="1607" t="s">
        <v>160</v>
      </c>
      <c r="B26" s="1607" t="s">
        <v>37</v>
      </c>
      <c r="C26" s="1607">
        <v>2052</v>
      </c>
      <c r="D26" s="1607">
        <v>234110</v>
      </c>
      <c r="E26" s="1607">
        <v>113</v>
      </c>
      <c r="F26" s="1607">
        <v>1386</v>
      </c>
      <c r="G26" s="1607">
        <v>553</v>
      </c>
    </row>
    <row r="27" spans="1:7" x14ac:dyDescent="0.2">
      <c r="A27" s="1607" t="s">
        <v>160</v>
      </c>
      <c r="B27" s="1607" t="s">
        <v>38</v>
      </c>
      <c r="C27" s="1607">
        <v>745</v>
      </c>
      <c r="D27" s="1607">
        <v>79500</v>
      </c>
      <c r="E27" s="1607">
        <v>40</v>
      </c>
      <c r="F27" s="1607">
        <v>505</v>
      </c>
      <c r="G27" s="1607">
        <v>200</v>
      </c>
    </row>
    <row r="28" spans="1:7" x14ac:dyDescent="0.2">
      <c r="A28" s="1607" t="s">
        <v>160</v>
      </c>
      <c r="B28" s="1607" t="s">
        <v>39</v>
      </c>
      <c r="C28" s="1607">
        <v>559</v>
      </c>
      <c r="D28" s="1607">
        <v>87390</v>
      </c>
      <c r="E28" s="1607">
        <v>37</v>
      </c>
      <c r="F28" s="1607">
        <v>377</v>
      </c>
      <c r="G28" s="1607">
        <v>145</v>
      </c>
    </row>
    <row r="29" spans="1:7" x14ac:dyDescent="0.2">
      <c r="A29" s="1607" t="s">
        <v>160</v>
      </c>
      <c r="B29" s="1607" t="s">
        <v>40</v>
      </c>
      <c r="C29" s="1607">
        <v>552</v>
      </c>
      <c r="D29" s="1607">
        <v>95510</v>
      </c>
      <c r="E29" s="1607">
        <v>14</v>
      </c>
      <c r="F29" s="1607">
        <v>461</v>
      </c>
      <c r="G29" s="1607">
        <v>77</v>
      </c>
    </row>
    <row r="30" spans="1:7" x14ac:dyDescent="0.2">
      <c r="A30" s="1607" t="s">
        <v>160</v>
      </c>
      <c r="B30" s="1607" t="s">
        <v>393</v>
      </c>
      <c r="C30" s="1607">
        <v>244</v>
      </c>
      <c r="D30" s="1607">
        <v>27070</v>
      </c>
      <c r="E30" s="1607">
        <v>2</v>
      </c>
      <c r="F30" s="1607">
        <v>181</v>
      </c>
      <c r="G30" s="1607">
        <v>61</v>
      </c>
    </row>
    <row r="31" spans="1:7" x14ac:dyDescent="0.2">
      <c r="A31" s="1607" t="s">
        <v>160</v>
      </c>
      <c r="B31" s="1607" t="s">
        <v>41</v>
      </c>
      <c r="C31" s="1607">
        <v>1124</v>
      </c>
      <c r="D31" s="1607">
        <v>136130</v>
      </c>
      <c r="E31" s="1607">
        <v>63</v>
      </c>
      <c r="F31" s="1607">
        <v>740</v>
      </c>
      <c r="G31" s="1607">
        <v>321</v>
      </c>
    </row>
    <row r="32" spans="1:7" x14ac:dyDescent="0.2">
      <c r="A32" s="1607" t="s">
        <v>160</v>
      </c>
      <c r="B32" s="1607" t="s">
        <v>42</v>
      </c>
      <c r="C32" s="1607">
        <v>2608</v>
      </c>
      <c r="D32" s="1607">
        <v>338260</v>
      </c>
      <c r="E32" s="1607">
        <v>117</v>
      </c>
      <c r="F32" s="1607">
        <v>1978</v>
      </c>
      <c r="G32" s="1607">
        <v>513</v>
      </c>
    </row>
    <row r="33" spans="1:7" x14ac:dyDescent="0.2">
      <c r="A33" s="1607" t="s">
        <v>160</v>
      </c>
      <c r="B33" s="1607" t="s">
        <v>43</v>
      </c>
      <c r="C33" s="1607">
        <v>109</v>
      </c>
      <c r="D33" s="1607">
        <v>21670</v>
      </c>
      <c r="E33" s="1607"/>
      <c r="F33" s="1607">
        <v>85</v>
      </c>
      <c r="G33" s="1607">
        <v>24</v>
      </c>
    </row>
    <row r="34" spans="1:7" x14ac:dyDescent="0.2">
      <c r="A34" s="1607" t="s">
        <v>160</v>
      </c>
      <c r="B34" s="1607" t="s">
        <v>44</v>
      </c>
      <c r="C34" s="1607">
        <v>1143</v>
      </c>
      <c r="D34" s="1607">
        <v>149930</v>
      </c>
      <c r="E34" s="1607">
        <v>40</v>
      </c>
      <c r="F34" s="1607">
        <v>938</v>
      </c>
      <c r="G34" s="1607">
        <v>165</v>
      </c>
    </row>
    <row r="35" spans="1:7" x14ac:dyDescent="0.2">
      <c r="A35" s="1607" t="s">
        <v>160</v>
      </c>
      <c r="B35" s="1607" t="s">
        <v>45</v>
      </c>
      <c r="C35" s="1607">
        <v>1395</v>
      </c>
      <c r="D35" s="1607">
        <v>174560</v>
      </c>
      <c r="E35" s="1607">
        <v>80</v>
      </c>
      <c r="F35" s="1607">
        <v>995</v>
      </c>
      <c r="G35" s="1607">
        <v>320</v>
      </c>
    </row>
    <row r="36" spans="1:7" x14ac:dyDescent="0.2">
      <c r="A36" s="1607" t="s">
        <v>160</v>
      </c>
      <c r="B36" s="1607" t="s">
        <v>46</v>
      </c>
      <c r="C36" s="1607">
        <v>788</v>
      </c>
      <c r="D36" s="1607">
        <v>114030</v>
      </c>
      <c r="E36" s="1607">
        <v>33</v>
      </c>
      <c r="F36" s="1607">
        <v>570</v>
      </c>
      <c r="G36" s="1607">
        <v>185</v>
      </c>
    </row>
    <row r="37" spans="1:7" x14ac:dyDescent="0.2">
      <c r="A37" s="1607" t="s">
        <v>160</v>
      </c>
      <c r="B37" s="1607" t="s">
        <v>47</v>
      </c>
      <c r="C37" s="1607">
        <v>125</v>
      </c>
      <c r="D37" s="1607">
        <v>23200</v>
      </c>
      <c r="E37" s="1607">
        <v>11</v>
      </c>
      <c r="F37" s="1607">
        <v>93</v>
      </c>
      <c r="G37" s="1607">
        <v>21</v>
      </c>
    </row>
    <row r="38" spans="1:7" x14ac:dyDescent="0.2">
      <c r="A38" s="1607" t="s">
        <v>160</v>
      </c>
      <c r="B38" s="1607" t="s">
        <v>48</v>
      </c>
      <c r="C38" s="1607">
        <v>1005</v>
      </c>
      <c r="D38" s="1607">
        <v>112400</v>
      </c>
      <c r="E38" s="1607">
        <v>37</v>
      </c>
      <c r="F38" s="1607">
        <v>791</v>
      </c>
      <c r="G38" s="1607">
        <v>177</v>
      </c>
    </row>
    <row r="39" spans="1:7" x14ac:dyDescent="0.2">
      <c r="A39" s="1607" t="s">
        <v>160</v>
      </c>
      <c r="B39" s="1607" t="s">
        <v>49</v>
      </c>
      <c r="C39" s="1607">
        <v>2743</v>
      </c>
      <c r="D39" s="1607">
        <v>316230</v>
      </c>
      <c r="E39" s="1607">
        <v>131</v>
      </c>
      <c r="F39" s="1607">
        <v>2057</v>
      </c>
      <c r="G39" s="1607">
        <v>555</v>
      </c>
    </row>
    <row r="40" spans="1:7" x14ac:dyDescent="0.2">
      <c r="A40" s="1607" t="s">
        <v>160</v>
      </c>
      <c r="B40" s="1607" t="s">
        <v>50</v>
      </c>
      <c r="C40" s="1607">
        <v>765</v>
      </c>
      <c r="D40" s="1607">
        <v>92830</v>
      </c>
      <c r="E40" s="1607">
        <v>18</v>
      </c>
      <c r="F40" s="1607">
        <v>620</v>
      </c>
      <c r="G40" s="1607">
        <v>127</v>
      </c>
    </row>
    <row r="41" spans="1:7" x14ac:dyDescent="0.2">
      <c r="A41" s="1607" t="s">
        <v>160</v>
      </c>
      <c r="B41" s="1607" t="s">
        <v>51</v>
      </c>
      <c r="C41" s="1607">
        <v>558</v>
      </c>
      <c r="D41" s="1607">
        <v>89590</v>
      </c>
      <c r="E41" s="1607">
        <v>40</v>
      </c>
      <c r="F41" s="1607">
        <v>369</v>
      </c>
      <c r="G41" s="1607">
        <v>149</v>
      </c>
    </row>
    <row r="42" spans="1:7" x14ac:dyDescent="0.2">
      <c r="A42" s="1607" t="s">
        <v>160</v>
      </c>
      <c r="B42" s="1607" t="s">
        <v>52</v>
      </c>
      <c r="C42" s="1607">
        <v>2003</v>
      </c>
      <c r="D42" s="1607">
        <v>178550</v>
      </c>
      <c r="E42" s="1607">
        <v>85</v>
      </c>
      <c r="F42" s="1607">
        <v>1522</v>
      </c>
      <c r="G42" s="1607">
        <v>396</v>
      </c>
    </row>
    <row r="43" spans="1:7" x14ac:dyDescent="0.2">
      <c r="A43" s="1607" t="s">
        <v>379</v>
      </c>
      <c r="B43" s="1607" t="s">
        <v>23</v>
      </c>
      <c r="C43" s="1607">
        <v>2547</v>
      </c>
      <c r="D43" s="1607">
        <v>229840</v>
      </c>
      <c r="E43" s="1607">
        <v>103</v>
      </c>
      <c r="F43" s="1607">
        <v>2232</v>
      </c>
      <c r="G43" s="1607">
        <v>212</v>
      </c>
    </row>
    <row r="44" spans="1:7" x14ac:dyDescent="0.2">
      <c r="A44" s="1607" t="s">
        <v>379</v>
      </c>
      <c r="B44" s="1607" t="s">
        <v>24</v>
      </c>
      <c r="C44" s="1607">
        <v>1159</v>
      </c>
      <c r="D44" s="1607">
        <v>262190</v>
      </c>
      <c r="E44" s="1607">
        <v>32</v>
      </c>
      <c r="F44" s="1607">
        <v>912</v>
      </c>
      <c r="G44" s="1607">
        <v>215</v>
      </c>
    </row>
    <row r="45" spans="1:7" x14ac:dyDescent="0.2">
      <c r="A45" s="1607" t="s">
        <v>379</v>
      </c>
      <c r="B45" s="1607" t="s">
        <v>25</v>
      </c>
      <c r="C45" s="1607">
        <v>1001</v>
      </c>
      <c r="D45" s="1607">
        <v>116520</v>
      </c>
      <c r="E45" s="1607">
        <v>20</v>
      </c>
      <c r="F45" s="1607">
        <v>846</v>
      </c>
      <c r="G45" s="1607">
        <v>135</v>
      </c>
    </row>
    <row r="46" spans="1:7" x14ac:dyDescent="0.2">
      <c r="A46" s="1607" t="s">
        <v>379</v>
      </c>
      <c r="B46" s="1607" t="s">
        <v>26</v>
      </c>
      <c r="C46" s="1607">
        <v>960</v>
      </c>
      <c r="D46" s="1607">
        <v>87130</v>
      </c>
      <c r="E46" s="1607">
        <v>22</v>
      </c>
      <c r="F46" s="1607">
        <v>772</v>
      </c>
      <c r="G46" s="1607">
        <v>166</v>
      </c>
    </row>
    <row r="47" spans="1:7" x14ac:dyDescent="0.2">
      <c r="A47" s="1607" t="s">
        <v>379</v>
      </c>
      <c r="B47" s="1607" t="s">
        <v>27</v>
      </c>
      <c r="C47" s="1607">
        <v>458</v>
      </c>
      <c r="D47" s="1607">
        <v>51350</v>
      </c>
      <c r="E47" s="1607">
        <v>16</v>
      </c>
      <c r="F47" s="1607">
        <v>315</v>
      </c>
      <c r="G47" s="1607">
        <v>127</v>
      </c>
    </row>
    <row r="48" spans="1:7" x14ac:dyDescent="0.2">
      <c r="A48" s="1607" t="s">
        <v>379</v>
      </c>
      <c r="B48" s="1607" t="s">
        <v>28</v>
      </c>
      <c r="C48" s="1607">
        <v>972</v>
      </c>
      <c r="D48" s="1607">
        <v>149520</v>
      </c>
      <c r="E48" s="1607">
        <v>25</v>
      </c>
      <c r="F48" s="1607">
        <v>742</v>
      </c>
      <c r="G48" s="1607">
        <v>205</v>
      </c>
    </row>
    <row r="49" spans="1:7" x14ac:dyDescent="0.2">
      <c r="A49" s="1607" t="s">
        <v>379</v>
      </c>
      <c r="B49" s="1607" t="s">
        <v>29</v>
      </c>
      <c r="C49" s="1607">
        <v>2232</v>
      </c>
      <c r="D49" s="1607">
        <v>148270</v>
      </c>
      <c r="E49" s="1607">
        <v>117</v>
      </c>
      <c r="F49" s="1607">
        <v>1880</v>
      </c>
      <c r="G49" s="1607">
        <v>235</v>
      </c>
    </row>
    <row r="50" spans="1:7" x14ac:dyDescent="0.2">
      <c r="A50" s="1607" t="s">
        <v>379</v>
      </c>
      <c r="B50" s="1607" t="s">
        <v>30</v>
      </c>
      <c r="C50" s="1607">
        <v>1212</v>
      </c>
      <c r="D50" s="1607">
        <v>122200</v>
      </c>
      <c r="E50" s="1607">
        <v>57</v>
      </c>
      <c r="F50" s="1607">
        <v>915</v>
      </c>
      <c r="G50" s="1607">
        <v>240</v>
      </c>
    </row>
    <row r="51" spans="1:7" x14ac:dyDescent="0.2">
      <c r="A51" s="1607" t="s">
        <v>379</v>
      </c>
      <c r="B51" s="1607" t="s">
        <v>31</v>
      </c>
      <c r="C51" s="1607">
        <v>534</v>
      </c>
      <c r="D51" s="1607">
        <v>107540</v>
      </c>
      <c r="E51" s="1607">
        <v>11</v>
      </c>
      <c r="F51" s="1607">
        <v>399</v>
      </c>
      <c r="G51" s="1607">
        <v>124</v>
      </c>
    </row>
    <row r="52" spans="1:7" x14ac:dyDescent="0.2">
      <c r="A52" s="1607" t="s">
        <v>379</v>
      </c>
      <c r="B52" s="1607" t="s">
        <v>32</v>
      </c>
      <c r="C52" s="1607">
        <v>813</v>
      </c>
      <c r="D52" s="1607">
        <v>104090</v>
      </c>
      <c r="E52" s="1607">
        <v>37</v>
      </c>
      <c r="F52" s="1607">
        <v>669</v>
      </c>
      <c r="G52" s="1607">
        <v>107</v>
      </c>
    </row>
    <row r="53" spans="1:7" x14ac:dyDescent="0.2">
      <c r="A53" s="1607" t="s">
        <v>379</v>
      </c>
      <c r="B53" s="1607" t="s">
        <v>33</v>
      </c>
      <c r="C53" s="1607">
        <v>555</v>
      </c>
      <c r="D53" s="1607">
        <v>93810</v>
      </c>
      <c r="E53" s="1607">
        <v>16</v>
      </c>
      <c r="F53" s="1607">
        <v>429</v>
      </c>
      <c r="G53" s="1607">
        <v>110</v>
      </c>
    </row>
    <row r="54" spans="1:7" x14ac:dyDescent="0.2">
      <c r="A54" s="1607" t="s">
        <v>379</v>
      </c>
      <c r="B54" s="1607" t="s">
        <v>665</v>
      </c>
      <c r="C54" s="1607">
        <v>6561</v>
      </c>
      <c r="D54" s="1607">
        <v>507170</v>
      </c>
      <c r="E54" s="1607">
        <v>353</v>
      </c>
      <c r="F54" s="1607">
        <v>5297</v>
      </c>
      <c r="G54" s="1607">
        <v>911</v>
      </c>
    </row>
    <row r="55" spans="1:7" x14ac:dyDescent="0.2">
      <c r="A55" s="1607" t="s">
        <v>379</v>
      </c>
      <c r="B55" s="1607" t="s">
        <v>34</v>
      </c>
      <c r="C55" s="1607">
        <v>1156</v>
      </c>
      <c r="D55" s="1607">
        <v>159380</v>
      </c>
      <c r="E55" s="1607">
        <v>53</v>
      </c>
      <c r="F55" s="1607">
        <v>773</v>
      </c>
      <c r="G55" s="1607">
        <v>330</v>
      </c>
    </row>
    <row r="56" spans="1:7" x14ac:dyDescent="0.2">
      <c r="A56" s="1607" t="s">
        <v>379</v>
      </c>
      <c r="B56" s="1607" t="s">
        <v>35</v>
      </c>
      <c r="C56" s="1607">
        <v>2866</v>
      </c>
      <c r="D56" s="1607">
        <v>370330</v>
      </c>
      <c r="E56" s="1607">
        <v>96</v>
      </c>
      <c r="F56" s="1607">
        <v>2331</v>
      </c>
      <c r="G56" s="1607">
        <v>439</v>
      </c>
    </row>
    <row r="57" spans="1:7" x14ac:dyDescent="0.2">
      <c r="A57" s="1607" t="s">
        <v>379</v>
      </c>
      <c r="B57" s="1607" t="s">
        <v>36</v>
      </c>
      <c r="C57" s="1607">
        <v>8235</v>
      </c>
      <c r="D57" s="1607">
        <v>615070</v>
      </c>
      <c r="E57" s="1607">
        <v>528</v>
      </c>
      <c r="F57" s="1607">
        <v>6437</v>
      </c>
      <c r="G57" s="1607">
        <v>1270</v>
      </c>
    </row>
    <row r="58" spans="1:7" x14ac:dyDescent="0.2">
      <c r="A58" s="1607" t="s">
        <v>379</v>
      </c>
      <c r="B58" s="1607" t="s">
        <v>37</v>
      </c>
      <c r="C58" s="1607">
        <v>2085</v>
      </c>
      <c r="D58" s="1607">
        <v>234770</v>
      </c>
      <c r="E58" s="1607">
        <v>68</v>
      </c>
      <c r="F58" s="1607">
        <v>1472</v>
      </c>
      <c r="G58" s="1607">
        <v>545</v>
      </c>
    </row>
    <row r="59" spans="1:7" x14ac:dyDescent="0.2">
      <c r="A59" s="1607" t="s">
        <v>379</v>
      </c>
      <c r="B59" s="1607" t="s">
        <v>38</v>
      </c>
      <c r="C59" s="1607">
        <v>826</v>
      </c>
      <c r="D59" s="1607">
        <v>79160</v>
      </c>
      <c r="E59" s="1607">
        <v>36</v>
      </c>
      <c r="F59" s="1607">
        <v>578</v>
      </c>
      <c r="G59" s="1607">
        <v>212</v>
      </c>
    </row>
    <row r="60" spans="1:7" x14ac:dyDescent="0.2">
      <c r="A60" s="1607" t="s">
        <v>379</v>
      </c>
      <c r="B60" s="1607" t="s">
        <v>39</v>
      </c>
      <c r="C60" s="1607">
        <v>656</v>
      </c>
      <c r="D60" s="1607">
        <v>88610</v>
      </c>
      <c r="E60" s="1607">
        <v>35</v>
      </c>
      <c r="F60" s="1607">
        <v>455</v>
      </c>
      <c r="G60" s="1607">
        <v>166</v>
      </c>
    </row>
    <row r="61" spans="1:7" x14ac:dyDescent="0.2">
      <c r="A61" s="1607" t="s">
        <v>379</v>
      </c>
      <c r="B61" s="1607" t="s">
        <v>40</v>
      </c>
      <c r="C61" s="1607">
        <v>536</v>
      </c>
      <c r="D61" s="1607">
        <v>96070</v>
      </c>
      <c r="E61" s="1607">
        <v>9</v>
      </c>
      <c r="F61" s="1607">
        <v>465</v>
      </c>
      <c r="G61" s="1607">
        <v>62</v>
      </c>
    </row>
    <row r="62" spans="1:7" x14ac:dyDescent="0.2">
      <c r="A62" s="1607" t="s">
        <v>379</v>
      </c>
      <c r="B62" s="1607" t="s">
        <v>393</v>
      </c>
      <c r="C62" s="1607">
        <v>255</v>
      </c>
      <c r="D62" s="1607">
        <v>26900</v>
      </c>
      <c r="E62" s="1607">
        <v>2</v>
      </c>
      <c r="F62" s="1607">
        <v>201</v>
      </c>
      <c r="G62" s="1607">
        <v>52</v>
      </c>
    </row>
    <row r="63" spans="1:7" x14ac:dyDescent="0.2">
      <c r="A63" s="1607" t="s">
        <v>379</v>
      </c>
      <c r="B63" s="1607" t="s">
        <v>41</v>
      </c>
      <c r="C63" s="1607">
        <v>1310</v>
      </c>
      <c r="D63" s="1607">
        <v>135890</v>
      </c>
      <c r="E63" s="1607">
        <v>65</v>
      </c>
      <c r="F63" s="1607">
        <v>917</v>
      </c>
      <c r="G63" s="1607">
        <v>328</v>
      </c>
    </row>
    <row r="64" spans="1:7" x14ac:dyDescent="0.2">
      <c r="A64" s="1607" t="s">
        <v>379</v>
      </c>
      <c r="B64" s="1607" t="s">
        <v>42</v>
      </c>
      <c r="C64" s="1607">
        <v>2732</v>
      </c>
      <c r="D64" s="1607">
        <v>339390</v>
      </c>
      <c r="E64" s="1607">
        <v>129</v>
      </c>
      <c r="F64" s="1607">
        <v>2029</v>
      </c>
      <c r="G64" s="1607">
        <v>574</v>
      </c>
    </row>
    <row r="65" spans="1:7" x14ac:dyDescent="0.2">
      <c r="A65" s="1607" t="s">
        <v>379</v>
      </c>
      <c r="B65" s="1607" t="s">
        <v>43</v>
      </c>
      <c r="C65" s="1607">
        <v>103</v>
      </c>
      <c r="D65" s="1607">
        <v>21850</v>
      </c>
      <c r="E65" s="1607">
        <v>2</v>
      </c>
      <c r="F65" s="1607">
        <v>81</v>
      </c>
      <c r="G65" s="1607">
        <v>20</v>
      </c>
    </row>
    <row r="66" spans="1:7" x14ac:dyDescent="0.2">
      <c r="A66" s="1607" t="s">
        <v>379</v>
      </c>
      <c r="B66" s="1607" t="s">
        <v>44</v>
      </c>
      <c r="C66" s="1607">
        <v>1103</v>
      </c>
      <c r="D66" s="1607">
        <v>150680</v>
      </c>
      <c r="E66" s="1607">
        <v>29</v>
      </c>
      <c r="F66" s="1607">
        <v>911</v>
      </c>
      <c r="G66" s="1607">
        <v>163</v>
      </c>
    </row>
    <row r="67" spans="1:7" x14ac:dyDescent="0.2">
      <c r="A67" s="1607" t="s">
        <v>379</v>
      </c>
      <c r="B67" s="1607" t="s">
        <v>45</v>
      </c>
      <c r="C67" s="1607">
        <v>1437</v>
      </c>
      <c r="D67" s="1607">
        <v>175930</v>
      </c>
      <c r="E67" s="1607">
        <v>102</v>
      </c>
      <c r="F67" s="1607">
        <v>955</v>
      </c>
      <c r="G67" s="1607">
        <v>380</v>
      </c>
    </row>
    <row r="68" spans="1:7" x14ac:dyDescent="0.2">
      <c r="A68" s="1607" t="s">
        <v>379</v>
      </c>
      <c r="B68" s="1607" t="s">
        <v>46</v>
      </c>
      <c r="C68" s="1607">
        <v>874</v>
      </c>
      <c r="D68" s="1607">
        <v>114530</v>
      </c>
      <c r="E68" s="1607">
        <v>38</v>
      </c>
      <c r="F68" s="1607">
        <v>629</v>
      </c>
      <c r="G68" s="1607">
        <v>207</v>
      </c>
    </row>
    <row r="69" spans="1:7" x14ac:dyDescent="0.2">
      <c r="A69" s="1607" t="s">
        <v>379</v>
      </c>
      <c r="B69" s="1607" t="s">
        <v>47</v>
      </c>
      <c r="C69" s="1607">
        <v>116</v>
      </c>
      <c r="D69" s="1607">
        <v>23200</v>
      </c>
      <c r="E69" s="1607">
        <v>6</v>
      </c>
      <c r="F69" s="1607">
        <v>91</v>
      </c>
      <c r="G69" s="1607">
        <v>19</v>
      </c>
    </row>
    <row r="70" spans="1:7" x14ac:dyDescent="0.2">
      <c r="A70" s="1607" t="s">
        <v>379</v>
      </c>
      <c r="B70" s="1607" t="s">
        <v>48</v>
      </c>
      <c r="C70" s="1607">
        <v>1074</v>
      </c>
      <c r="D70" s="1607">
        <v>112470</v>
      </c>
      <c r="E70" s="1607">
        <v>34</v>
      </c>
      <c r="F70" s="1607">
        <v>884</v>
      </c>
      <c r="G70" s="1607">
        <v>156</v>
      </c>
    </row>
    <row r="71" spans="1:7" x14ac:dyDescent="0.2">
      <c r="A71" s="1607" t="s">
        <v>379</v>
      </c>
      <c r="B71" s="1607" t="s">
        <v>49</v>
      </c>
      <c r="C71" s="1607">
        <v>2869</v>
      </c>
      <c r="D71" s="1607">
        <v>317100</v>
      </c>
      <c r="E71" s="1607">
        <v>100</v>
      </c>
      <c r="F71" s="1607">
        <v>2280</v>
      </c>
      <c r="G71" s="1607">
        <v>489</v>
      </c>
    </row>
    <row r="72" spans="1:7" x14ac:dyDescent="0.2">
      <c r="A72" s="1607" t="s">
        <v>379</v>
      </c>
      <c r="B72" s="1607" t="s">
        <v>50</v>
      </c>
      <c r="C72" s="1607">
        <v>923</v>
      </c>
      <c r="D72" s="1607">
        <v>93750</v>
      </c>
      <c r="E72" s="1607">
        <v>25</v>
      </c>
      <c r="F72" s="1607">
        <v>688</v>
      </c>
      <c r="G72" s="1607">
        <v>210</v>
      </c>
    </row>
    <row r="73" spans="1:7" x14ac:dyDescent="0.2">
      <c r="A73" s="1607" t="s">
        <v>379</v>
      </c>
      <c r="B73" s="1607" t="s">
        <v>51</v>
      </c>
      <c r="C73" s="1607">
        <v>644</v>
      </c>
      <c r="D73" s="1607">
        <v>89860</v>
      </c>
      <c r="E73" s="1607">
        <v>47</v>
      </c>
      <c r="F73" s="1607">
        <v>432</v>
      </c>
      <c r="G73" s="1607">
        <v>165</v>
      </c>
    </row>
    <row r="74" spans="1:7" x14ac:dyDescent="0.2">
      <c r="A74" s="1607" t="s">
        <v>379</v>
      </c>
      <c r="B74" s="1607" t="s">
        <v>52</v>
      </c>
      <c r="C74" s="1607">
        <v>2058</v>
      </c>
      <c r="D74" s="1607">
        <v>180130</v>
      </c>
      <c r="E74" s="1607">
        <v>68</v>
      </c>
      <c r="F74" s="1607">
        <v>1609</v>
      </c>
      <c r="G74" s="1607">
        <v>381</v>
      </c>
    </row>
    <row r="75" spans="1:7" x14ac:dyDescent="0.2">
      <c r="A75" s="1607" t="s">
        <v>379</v>
      </c>
      <c r="B75" s="1607" t="s">
        <v>1103</v>
      </c>
      <c r="C75" s="1607">
        <v>1</v>
      </c>
      <c r="D75" s="1607"/>
      <c r="E75" s="1607"/>
      <c r="F75" s="1607"/>
      <c r="G75" s="1607">
        <v>1</v>
      </c>
    </row>
    <row r="76" spans="1:7" x14ac:dyDescent="0.2">
      <c r="A76" s="1607" t="s">
        <v>603</v>
      </c>
      <c r="B76" s="1607" t="s">
        <v>23</v>
      </c>
      <c r="C76" s="1607">
        <v>2582</v>
      </c>
      <c r="D76" s="1607">
        <v>228800</v>
      </c>
      <c r="E76" s="1607">
        <v>179</v>
      </c>
      <c r="F76" s="1607">
        <v>2139</v>
      </c>
      <c r="G76" s="1607">
        <v>264</v>
      </c>
    </row>
    <row r="77" spans="1:7" x14ac:dyDescent="0.2">
      <c r="A77" s="1607" t="s">
        <v>603</v>
      </c>
      <c r="B77" s="1607" t="s">
        <v>24</v>
      </c>
      <c r="C77" s="1607">
        <v>1212</v>
      </c>
      <c r="D77" s="1607">
        <v>261800</v>
      </c>
      <c r="E77" s="1607">
        <v>36</v>
      </c>
      <c r="F77" s="1607">
        <v>922</v>
      </c>
      <c r="G77" s="1607">
        <v>254</v>
      </c>
    </row>
    <row r="78" spans="1:7" x14ac:dyDescent="0.2">
      <c r="A78" s="1607" t="s">
        <v>603</v>
      </c>
      <c r="B78" s="1607" t="s">
        <v>25</v>
      </c>
      <c r="C78" s="1607">
        <v>1003</v>
      </c>
      <c r="D78" s="1607">
        <v>116280</v>
      </c>
      <c r="E78" s="1607">
        <v>40</v>
      </c>
      <c r="F78" s="1607">
        <v>819</v>
      </c>
      <c r="G78" s="1607">
        <v>144</v>
      </c>
    </row>
    <row r="79" spans="1:7" x14ac:dyDescent="0.2">
      <c r="A79" s="1607" t="s">
        <v>603</v>
      </c>
      <c r="B79" s="1607" t="s">
        <v>26</v>
      </c>
      <c r="C79" s="1607">
        <v>1087</v>
      </c>
      <c r="D79" s="1607">
        <v>86810</v>
      </c>
      <c r="E79" s="1607">
        <v>16</v>
      </c>
      <c r="F79" s="1607">
        <v>933</v>
      </c>
      <c r="G79" s="1607">
        <v>138</v>
      </c>
    </row>
    <row r="80" spans="1:7" x14ac:dyDescent="0.2">
      <c r="A80" s="1607" t="s">
        <v>603</v>
      </c>
      <c r="B80" s="1607" t="s">
        <v>27</v>
      </c>
      <c r="C80" s="1607">
        <v>488</v>
      </c>
      <c r="D80" s="1607">
        <v>51450</v>
      </c>
      <c r="E80" s="1607">
        <v>23</v>
      </c>
      <c r="F80" s="1607">
        <v>334</v>
      </c>
      <c r="G80" s="1607">
        <v>131</v>
      </c>
    </row>
    <row r="81" spans="1:7" x14ac:dyDescent="0.2">
      <c r="A81" s="1607" t="s">
        <v>603</v>
      </c>
      <c r="B81" s="1607" t="s">
        <v>28</v>
      </c>
      <c r="C81" s="1607">
        <v>1015</v>
      </c>
      <c r="D81" s="1607">
        <v>149200</v>
      </c>
      <c r="E81" s="1607">
        <v>22</v>
      </c>
      <c r="F81" s="1607">
        <v>749</v>
      </c>
      <c r="G81" s="1607">
        <v>244</v>
      </c>
    </row>
    <row r="82" spans="1:7" x14ac:dyDescent="0.2">
      <c r="A82" s="1607" t="s">
        <v>603</v>
      </c>
      <c r="B82" s="1607" t="s">
        <v>29</v>
      </c>
      <c r="C82" s="1607">
        <v>2211</v>
      </c>
      <c r="D82" s="1607">
        <v>148710</v>
      </c>
      <c r="E82" s="1607">
        <v>139</v>
      </c>
      <c r="F82" s="1607">
        <v>1823</v>
      </c>
      <c r="G82" s="1607">
        <v>249</v>
      </c>
    </row>
    <row r="83" spans="1:7" x14ac:dyDescent="0.2">
      <c r="A83" s="1607" t="s">
        <v>603</v>
      </c>
      <c r="B83" s="1607" t="s">
        <v>30</v>
      </c>
      <c r="C83" s="1607">
        <v>1197</v>
      </c>
      <c r="D83" s="1607">
        <v>121940</v>
      </c>
      <c r="E83" s="1607">
        <v>28</v>
      </c>
      <c r="F83" s="1607">
        <v>915</v>
      </c>
      <c r="G83" s="1607">
        <v>254</v>
      </c>
    </row>
    <row r="84" spans="1:7" x14ac:dyDescent="0.2">
      <c r="A84" s="1607" t="s">
        <v>603</v>
      </c>
      <c r="B84" s="1607" t="s">
        <v>31</v>
      </c>
      <c r="C84" s="1607">
        <v>648</v>
      </c>
      <c r="D84" s="1607">
        <v>108130</v>
      </c>
      <c r="E84" s="1607">
        <v>10</v>
      </c>
      <c r="F84" s="1607">
        <v>507</v>
      </c>
      <c r="G84" s="1607">
        <v>131</v>
      </c>
    </row>
    <row r="85" spans="1:7" x14ac:dyDescent="0.2">
      <c r="A85" s="1607" t="s">
        <v>603</v>
      </c>
      <c r="B85" s="1607" t="s">
        <v>32</v>
      </c>
      <c r="C85" s="1607">
        <v>925</v>
      </c>
      <c r="D85" s="1607">
        <v>104840</v>
      </c>
      <c r="E85" s="1607">
        <v>29</v>
      </c>
      <c r="F85" s="1607">
        <v>719</v>
      </c>
      <c r="G85" s="1607">
        <v>177</v>
      </c>
    </row>
    <row r="86" spans="1:7" x14ac:dyDescent="0.2">
      <c r="A86" s="1607" t="s">
        <v>603</v>
      </c>
      <c r="B86" s="1607" t="s">
        <v>33</v>
      </c>
      <c r="C86" s="1607">
        <v>630</v>
      </c>
      <c r="D86" s="1607">
        <v>94760</v>
      </c>
      <c r="E86" s="1607">
        <v>18</v>
      </c>
      <c r="F86" s="1607">
        <v>502</v>
      </c>
      <c r="G86" s="1607">
        <v>110</v>
      </c>
    </row>
    <row r="87" spans="1:7" x14ac:dyDescent="0.2">
      <c r="A87" s="1607" t="s">
        <v>603</v>
      </c>
      <c r="B87" s="1607" t="s">
        <v>665</v>
      </c>
      <c r="C87" s="1607">
        <v>6414</v>
      </c>
      <c r="D87" s="1607">
        <v>513210</v>
      </c>
      <c r="E87" s="1607">
        <v>319</v>
      </c>
      <c r="F87" s="1607">
        <v>5134</v>
      </c>
      <c r="G87" s="1607">
        <v>961</v>
      </c>
    </row>
    <row r="88" spans="1:7" x14ac:dyDescent="0.2">
      <c r="A88" s="1607" t="s">
        <v>603</v>
      </c>
      <c r="B88" s="1607" t="s">
        <v>34</v>
      </c>
      <c r="C88" s="1607">
        <v>1197</v>
      </c>
      <c r="D88" s="1607">
        <v>160130</v>
      </c>
      <c r="E88" s="1607">
        <v>71</v>
      </c>
      <c r="F88" s="1607">
        <v>819</v>
      </c>
      <c r="G88" s="1607">
        <v>307</v>
      </c>
    </row>
    <row r="89" spans="1:7" x14ac:dyDescent="0.2">
      <c r="A89" s="1607" t="s">
        <v>603</v>
      </c>
      <c r="B89" s="1607" t="s">
        <v>35</v>
      </c>
      <c r="C89" s="1607">
        <v>2824</v>
      </c>
      <c r="D89" s="1607">
        <v>371410</v>
      </c>
      <c r="E89" s="1607">
        <v>100</v>
      </c>
      <c r="F89" s="1607">
        <v>2323</v>
      </c>
      <c r="G89" s="1607">
        <v>401</v>
      </c>
    </row>
    <row r="90" spans="1:7" x14ac:dyDescent="0.2">
      <c r="A90" s="1607" t="s">
        <v>603</v>
      </c>
      <c r="B90" s="1607" t="s">
        <v>36</v>
      </c>
      <c r="C90" s="1607">
        <v>8352</v>
      </c>
      <c r="D90" s="1607">
        <v>621020</v>
      </c>
      <c r="E90" s="1607">
        <v>498</v>
      </c>
      <c r="F90" s="1607">
        <v>6607</v>
      </c>
      <c r="G90" s="1607">
        <v>1247</v>
      </c>
    </row>
    <row r="91" spans="1:7" x14ac:dyDescent="0.2">
      <c r="A91" s="1607" t="s">
        <v>603</v>
      </c>
      <c r="B91" s="1607" t="s">
        <v>37</v>
      </c>
      <c r="C91" s="1607">
        <v>2195</v>
      </c>
      <c r="D91" s="1607">
        <v>235180</v>
      </c>
      <c r="E91" s="1607">
        <v>90</v>
      </c>
      <c r="F91" s="1607">
        <v>1544</v>
      </c>
      <c r="G91" s="1607">
        <v>561</v>
      </c>
    </row>
    <row r="92" spans="1:7" x14ac:dyDescent="0.2">
      <c r="A92" s="1607" t="s">
        <v>603</v>
      </c>
      <c r="B92" s="1607" t="s">
        <v>38</v>
      </c>
      <c r="C92" s="1607">
        <v>784</v>
      </c>
      <c r="D92" s="1607">
        <v>78760</v>
      </c>
      <c r="E92" s="1607">
        <v>46</v>
      </c>
      <c r="F92" s="1607">
        <v>556</v>
      </c>
      <c r="G92" s="1607">
        <v>182</v>
      </c>
    </row>
    <row r="93" spans="1:7" x14ac:dyDescent="0.2">
      <c r="A93" s="1607" t="s">
        <v>603</v>
      </c>
      <c r="B93" s="1607" t="s">
        <v>39</v>
      </c>
      <c r="C93" s="1607">
        <v>646</v>
      </c>
      <c r="D93" s="1607">
        <v>90090</v>
      </c>
      <c r="E93" s="1607">
        <v>38</v>
      </c>
      <c r="F93" s="1607">
        <v>495</v>
      </c>
      <c r="G93" s="1607">
        <v>113</v>
      </c>
    </row>
    <row r="94" spans="1:7" x14ac:dyDescent="0.2">
      <c r="A94" s="1607" t="s">
        <v>603</v>
      </c>
      <c r="B94" s="1607" t="s">
        <v>40</v>
      </c>
      <c r="C94" s="1607">
        <v>571</v>
      </c>
      <c r="D94" s="1607">
        <v>95780</v>
      </c>
      <c r="E94" s="1607">
        <v>16</v>
      </c>
      <c r="F94" s="1607">
        <v>470</v>
      </c>
      <c r="G94" s="1607">
        <v>85</v>
      </c>
    </row>
    <row r="95" spans="1:7" x14ac:dyDescent="0.2">
      <c r="A95" s="1607" t="s">
        <v>603</v>
      </c>
      <c r="B95" s="1607" t="s">
        <v>393</v>
      </c>
      <c r="C95" s="1607">
        <v>233</v>
      </c>
      <c r="D95" s="1607">
        <v>26950</v>
      </c>
      <c r="E95" s="1607">
        <v>2</v>
      </c>
      <c r="F95" s="1607">
        <v>176</v>
      </c>
      <c r="G95" s="1607">
        <v>55</v>
      </c>
    </row>
    <row r="96" spans="1:7" x14ac:dyDescent="0.2">
      <c r="A96" s="1607" t="s">
        <v>603</v>
      </c>
      <c r="B96" s="1607" t="s">
        <v>41</v>
      </c>
      <c r="C96" s="1607">
        <v>1296</v>
      </c>
      <c r="D96" s="1607">
        <v>135790</v>
      </c>
      <c r="E96" s="1607">
        <v>45</v>
      </c>
      <c r="F96" s="1607">
        <v>975</v>
      </c>
      <c r="G96" s="1607">
        <v>276</v>
      </c>
    </row>
    <row r="97" spans="1:7" x14ac:dyDescent="0.2">
      <c r="A97" s="1607" t="s">
        <v>603</v>
      </c>
      <c r="B97" s="1607" t="s">
        <v>42</v>
      </c>
      <c r="C97" s="1607">
        <v>2856</v>
      </c>
      <c r="D97" s="1607">
        <v>339960</v>
      </c>
      <c r="E97" s="1607">
        <v>134</v>
      </c>
      <c r="F97" s="1607">
        <v>2125</v>
      </c>
      <c r="G97" s="1607">
        <v>597</v>
      </c>
    </row>
    <row r="98" spans="1:7" x14ac:dyDescent="0.2">
      <c r="A98" s="1607" t="s">
        <v>603</v>
      </c>
      <c r="B98" s="1607" t="s">
        <v>43</v>
      </c>
      <c r="C98" s="1607">
        <v>83</v>
      </c>
      <c r="D98" s="1607">
        <v>22000</v>
      </c>
      <c r="E98" s="1607">
        <v>3</v>
      </c>
      <c r="F98" s="1607">
        <v>55</v>
      </c>
      <c r="G98" s="1607">
        <v>25</v>
      </c>
    </row>
    <row r="99" spans="1:7" x14ac:dyDescent="0.2">
      <c r="A99" s="1607" t="s">
        <v>603</v>
      </c>
      <c r="B99" s="1607" t="s">
        <v>44</v>
      </c>
      <c r="C99" s="1607">
        <v>1091</v>
      </c>
      <c r="D99" s="1607">
        <v>151100</v>
      </c>
      <c r="E99" s="1607">
        <v>34</v>
      </c>
      <c r="F99" s="1607">
        <v>883</v>
      </c>
      <c r="G99" s="1607">
        <v>174</v>
      </c>
    </row>
    <row r="100" spans="1:7" x14ac:dyDescent="0.2">
      <c r="A100" s="1607" t="s">
        <v>603</v>
      </c>
      <c r="B100" s="1607" t="s">
        <v>45</v>
      </c>
      <c r="C100" s="1607">
        <v>1658</v>
      </c>
      <c r="D100" s="1607">
        <v>176830</v>
      </c>
      <c r="E100" s="1607">
        <v>62</v>
      </c>
      <c r="F100" s="1607">
        <v>1240</v>
      </c>
      <c r="G100" s="1607">
        <v>356</v>
      </c>
    </row>
    <row r="101" spans="1:7" x14ac:dyDescent="0.2">
      <c r="A101" s="1607" t="s">
        <v>603</v>
      </c>
      <c r="B101" s="1607" t="s">
        <v>46</v>
      </c>
      <c r="C101" s="1607">
        <v>890</v>
      </c>
      <c r="D101" s="1607">
        <v>115020</v>
      </c>
      <c r="E101" s="1607">
        <v>42</v>
      </c>
      <c r="F101" s="1607">
        <v>612</v>
      </c>
      <c r="G101" s="1607">
        <v>236</v>
      </c>
    </row>
    <row r="102" spans="1:7" x14ac:dyDescent="0.2">
      <c r="A102" s="1607" t="s">
        <v>603</v>
      </c>
      <c r="B102" s="1607" t="s">
        <v>47</v>
      </c>
      <c r="C102" s="1607">
        <v>131</v>
      </c>
      <c r="D102" s="1607">
        <v>23080</v>
      </c>
      <c r="E102" s="1607">
        <v>1</v>
      </c>
      <c r="F102" s="1607">
        <v>102</v>
      </c>
      <c r="G102" s="1607">
        <v>28</v>
      </c>
    </row>
    <row r="103" spans="1:7" x14ac:dyDescent="0.2">
      <c r="A103" s="1607" t="s">
        <v>603</v>
      </c>
      <c r="B103" s="1607" t="s">
        <v>48</v>
      </c>
      <c r="C103" s="1607">
        <v>1231</v>
      </c>
      <c r="D103" s="1607">
        <v>112680</v>
      </c>
      <c r="E103" s="1607">
        <v>46</v>
      </c>
      <c r="F103" s="1607">
        <v>978</v>
      </c>
      <c r="G103" s="1607">
        <v>207</v>
      </c>
    </row>
    <row r="104" spans="1:7" x14ac:dyDescent="0.2">
      <c r="A104" s="1607" t="s">
        <v>603</v>
      </c>
      <c r="B104" s="1607" t="s">
        <v>49</v>
      </c>
      <c r="C104" s="1607">
        <v>2770</v>
      </c>
      <c r="D104" s="1607">
        <v>318170</v>
      </c>
      <c r="E104" s="1607">
        <v>100</v>
      </c>
      <c r="F104" s="1607">
        <v>2228</v>
      </c>
      <c r="G104" s="1607">
        <v>442</v>
      </c>
    </row>
    <row r="105" spans="1:7" x14ac:dyDescent="0.2">
      <c r="A105" s="1607" t="s">
        <v>603</v>
      </c>
      <c r="B105" s="1607" t="s">
        <v>50</v>
      </c>
      <c r="C105" s="1607">
        <v>886</v>
      </c>
      <c r="D105" s="1607">
        <v>94000</v>
      </c>
      <c r="E105" s="1607">
        <v>18</v>
      </c>
      <c r="F105" s="1607">
        <v>681</v>
      </c>
      <c r="G105" s="1607">
        <v>187</v>
      </c>
    </row>
    <row r="106" spans="1:7" x14ac:dyDescent="0.2">
      <c r="A106" s="1607" t="s">
        <v>603</v>
      </c>
      <c r="B106" s="1607" t="s">
        <v>51</v>
      </c>
      <c r="C106" s="1607">
        <v>691</v>
      </c>
      <c r="D106" s="1607">
        <v>89610</v>
      </c>
      <c r="E106" s="1607">
        <v>41</v>
      </c>
      <c r="F106" s="1607">
        <v>501</v>
      </c>
      <c r="G106" s="1607">
        <v>149</v>
      </c>
    </row>
    <row r="107" spans="1:7" x14ac:dyDescent="0.2">
      <c r="A107" s="1607" t="s">
        <v>603</v>
      </c>
      <c r="B107" s="1607" t="s">
        <v>52</v>
      </c>
      <c r="C107" s="1607">
        <v>1990</v>
      </c>
      <c r="D107" s="1607">
        <v>181310</v>
      </c>
      <c r="E107" s="1607">
        <v>92</v>
      </c>
      <c r="F107" s="1607">
        <v>1493</v>
      </c>
      <c r="G107" s="1607">
        <v>405</v>
      </c>
    </row>
  </sheetData>
  <pageMargins left="0.7" right="0.7" top="0.75" bottom="0.75" header="0.3" footer="0.3"/>
  <pageSetup paperSize="9" fitToHeight="50" orientation="landscape"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fitToPage="1"/>
  </sheetPr>
  <dimension ref="A1:H13"/>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4.42578125" bestFit="1" customWidth="1"/>
    <col min="3" max="3" width="6.140625" bestFit="1" customWidth="1"/>
    <col min="4" max="4" width="9.5703125" bestFit="1" customWidth="1"/>
    <col min="5" max="5" width="15.42578125" bestFit="1" customWidth="1"/>
    <col min="6" max="6" width="13.7109375" bestFit="1" customWidth="1"/>
    <col min="7" max="7" width="8.140625" bestFit="1" customWidth="1"/>
    <col min="8" max="8" width="28.42578125" bestFit="1" customWidth="1"/>
  </cols>
  <sheetData>
    <row r="1" spans="1:8" x14ac:dyDescent="0.2"/>
    <row r="4" spans="1:8" x14ac:dyDescent="0.2">
      <c r="A4" s="1606" t="s">
        <v>4</v>
      </c>
      <c r="B4" s="1606" t="s">
        <v>1107</v>
      </c>
      <c r="C4" s="1606" t="s">
        <v>11</v>
      </c>
      <c r="D4" s="1606" t="s">
        <v>1082</v>
      </c>
      <c r="E4" s="1606" t="s">
        <v>1083</v>
      </c>
      <c r="F4" s="1606" t="s">
        <v>1084</v>
      </c>
      <c r="G4" s="1606" t="s">
        <v>1085</v>
      </c>
      <c r="H4" s="1606" t="s">
        <v>1108</v>
      </c>
    </row>
    <row r="5" spans="1:8" x14ac:dyDescent="0.2">
      <c r="A5" s="1607" t="s">
        <v>160</v>
      </c>
      <c r="B5" s="1607" t="s">
        <v>1100</v>
      </c>
      <c r="C5" s="1607">
        <v>37621</v>
      </c>
      <c r="D5" s="1607">
        <v>11598</v>
      </c>
      <c r="E5" s="1607">
        <v>25970</v>
      </c>
      <c r="F5" s="1607">
        <v>9</v>
      </c>
      <c r="G5" s="1607">
        <v>39</v>
      </c>
      <c r="H5" s="1607">
        <v>5</v>
      </c>
    </row>
    <row r="6" spans="1:8" x14ac:dyDescent="0.2">
      <c r="A6" s="1607" t="s">
        <v>379</v>
      </c>
      <c r="B6" s="1607" t="s">
        <v>1100</v>
      </c>
      <c r="C6" s="1607">
        <v>39626</v>
      </c>
      <c r="D6" s="1607">
        <v>12566</v>
      </c>
      <c r="E6" s="1607">
        <v>27005</v>
      </c>
      <c r="F6" s="1607">
        <v>6</v>
      </c>
      <c r="G6" s="1607">
        <v>35</v>
      </c>
      <c r="H6" s="1607">
        <v>14</v>
      </c>
    </row>
    <row r="7" spans="1:8" x14ac:dyDescent="0.2">
      <c r="A7" s="1607" t="s">
        <v>603</v>
      </c>
      <c r="B7" s="1607" t="s">
        <v>1100</v>
      </c>
      <c r="C7" s="1607">
        <v>40359</v>
      </c>
      <c r="D7" s="1607">
        <v>13392</v>
      </c>
      <c r="E7" s="1607">
        <v>26907</v>
      </c>
      <c r="F7" s="1607">
        <v>10</v>
      </c>
      <c r="G7" s="1607">
        <v>41</v>
      </c>
      <c r="H7" s="1607">
        <v>9</v>
      </c>
    </row>
    <row r="8" spans="1:8" x14ac:dyDescent="0.2">
      <c r="A8" s="1607" t="s">
        <v>160</v>
      </c>
      <c r="B8" s="1607" t="s">
        <v>1101</v>
      </c>
      <c r="C8" s="1607">
        <v>8849</v>
      </c>
      <c r="D8" s="1607">
        <v>3559</v>
      </c>
      <c r="E8" s="1607">
        <v>2163</v>
      </c>
      <c r="F8" s="1607">
        <v>396</v>
      </c>
      <c r="G8" s="1607">
        <v>2532</v>
      </c>
      <c r="H8" s="1607">
        <v>199</v>
      </c>
    </row>
    <row r="9" spans="1:8" x14ac:dyDescent="0.2">
      <c r="A9" s="1607" t="s">
        <v>379</v>
      </c>
      <c r="B9" s="1607" t="s">
        <v>1101</v>
      </c>
      <c r="C9" s="1607">
        <v>8956</v>
      </c>
      <c r="D9" s="1607">
        <v>3481</v>
      </c>
      <c r="E9" s="1607">
        <v>2167</v>
      </c>
      <c r="F9" s="1607">
        <v>414</v>
      </c>
      <c r="G9" s="1607">
        <v>2680</v>
      </c>
      <c r="H9" s="1607">
        <v>214</v>
      </c>
    </row>
    <row r="10" spans="1:8" x14ac:dyDescent="0.2">
      <c r="A10" s="1607" t="s">
        <v>603</v>
      </c>
      <c r="B10" s="1607" t="s">
        <v>1101</v>
      </c>
      <c r="C10" s="1607">
        <v>9090</v>
      </c>
      <c r="D10" s="1607">
        <v>3703</v>
      </c>
      <c r="E10" s="1607">
        <v>2182</v>
      </c>
      <c r="F10" s="1607">
        <v>340</v>
      </c>
      <c r="G10" s="1607">
        <v>2651</v>
      </c>
      <c r="H10" s="1607">
        <v>214</v>
      </c>
    </row>
    <row r="11" spans="1:8" x14ac:dyDescent="0.2">
      <c r="A11" s="1607" t="s">
        <v>160</v>
      </c>
      <c r="B11" s="1607" t="s">
        <v>1102</v>
      </c>
      <c r="C11" s="1607">
        <v>2375</v>
      </c>
      <c r="D11" s="1607">
        <v>524</v>
      </c>
      <c r="E11" s="1607">
        <v>1349</v>
      </c>
      <c r="F11" s="1607">
        <v>33</v>
      </c>
      <c r="G11" s="1607">
        <v>350</v>
      </c>
      <c r="H11" s="1607">
        <v>119</v>
      </c>
    </row>
    <row r="12" spans="1:8" x14ac:dyDescent="0.2">
      <c r="A12" s="1607" t="s">
        <v>379</v>
      </c>
      <c r="B12" s="1607" t="s">
        <v>1102</v>
      </c>
      <c r="C12" s="1607">
        <v>2281</v>
      </c>
      <c r="D12" s="1607">
        <v>496</v>
      </c>
      <c r="E12" s="1607">
        <v>1319</v>
      </c>
      <c r="F12" s="1607">
        <v>25</v>
      </c>
      <c r="G12" s="1607">
        <v>309</v>
      </c>
      <c r="H12" s="1607">
        <v>132</v>
      </c>
    </row>
    <row r="13" spans="1:8" x14ac:dyDescent="0.2">
      <c r="A13" s="1607" t="s">
        <v>603</v>
      </c>
      <c r="B13" s="1607" t="s">
        <v>1102</v>
      </c>
      <c r="C13" s="1607">
        <v>2338</v>
      </c>
      <c r="D13" s="1607">
        <v>424</v>
      </c>
      <c r="E13" s="1607">
        <v>1450</v>
      </c>
      <c r="F13" s="1607">
        <v>35</v>
      </c>
      <c r="G13" s="1607">
        <v>299</v>
      </c>
      <c r="H13" s="1607">
        <v>130</v>
      </c>
    </row>
  </sheetData>
  <pageMargins left="0.7" right="0.7" top="0.75" bottom="0.75" header="0.3" footer="0.3"/>
  <pageSetup paperSize="9" fitToHeight="50" orientation="landscape"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fitToPage="1"/>
  </sheetPr>
  <dimension ref="A1:E104"/>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0.42578125" customWidth="1"/>
    <col min="3" max="3" width="24" bestFit="1" customWidth="1"/>
    <col min="4" max="4" width="20.7109375" customWidth="1"/>
    <col min="5" max="5" width="21.5703125" bestFit="1" customWidth="1"/>
  </cols>
  <sheetData>
    <row r="1" spans="1:5" x14ac:dyDescent="0.2"/>
    <row r="4" spans="1:5" x14ac:dyDescent="0.2">
      <c r="A4" s="1606" t="s">
        <v>4</v>
      </c>
      <c r="B4" s="1606" t="s">
        <v>1109</v>
      </c>
      <c r="C4" s="1606" t="s">
        <v>1104</v>
      </c>
      <c r="D4" s="1606" t="s">
        <v>1106</v>
      </c>
    </row>
    <row r="5" spans="1:5" x14ac:dyDescent="0.2">
      <c r="A5" s="1607" t="s">
        <v>160</v>
      </c>
      <c r="B5" s="1607">
        <v>556</v>
      </c>
      <c r="C5" s="1607">
        <v>24</v>
      </c>
      <c r="D5" s="1607">
        <v>532</v>
      </c>
    </row>
    <row r="6" spans="1:5" x14ac:dyDescent="0.2">
      <c r="A6" s="1607" t="s">
        <v>379</v>
      </c>
      <c r="B6" s="1607">
        <v>717</v>
      </c>
      <c r="C6" s="1607">
        <v>19</v>
      </c>
      <c r="D6" s="1607">
        <v>698</v>
      </c>
    </row>
    <row r="7" spans="1:5" x14ac:dyDescent="0.2">
      <c r="A7" s="1607" t="s">
        <v>603</v>
      </c>
      <c r="B7" s="1607">
        <v>665</v>
      </c>
      <c r="C7" s="1607">
        <v>19</v>
      </c>
      <c r="D7" s="1607">
        <v>646</v>
      </c>
    </row>
    <row r="10" spans="1:5" x14ac:dyDescent="0.2">
      <c r="A10" s="1608" t="s">
        <v>4</v>
      </c>
      <c r="B10" s="1608" t="s">
        <v>1081</v>
      </c>
      <c r="C10" s="1608" t="s">
        <v>1110</v>
      </c>
      <c r="D10" s="1608" t="s">
        <v>1104</v>
      </c>
      <c r="E10" s="1608" t="s">
        <v>1106</v>
      </c>
    </row>
    <row r="11" spans="1:5" x14ac:dyDescent="0.2">
      <c r="A11" s="1607" t="s">
        <v>160</v>
      </c>
      <c r="B11" s="1607" t="s">
        <v>23</v>
      </c>
      <c r="C11" s="1607">
        <v>27</v>
      </c>
      <c r="D11" s="1607">
        <v>3</v>
      </c>
      <c r="E11" s="1607">
        <v>24</v>
      </c>
    </row>
    <row r="12" spans="1:5" x14ac:dyDescent="0.2">
      <c r="A12" s="1607" t="s">
        <v>160</v>
      </c>
      <c r="B12" s="1607" t="s">
        <v>24</v>
      </c>
      <c r="C12" s="1607">
        <v>7</v>
      </c>
      <c r="D12" s="1607">
        <v>2</v>
      </c>
      <c r="E12" s="1607">
        <v>5</v>
      </c>
    </row>
    <row r="13" spans="1:5" x14ac:dyDescent="0.2">
      <c r="A13" s="1607" t="s">
        <v>160</v>
      </c>
      <c r="B13" s="1607" t="s">
        <v>25</v>
      </c>
      <c r="C13" s="1607">
        <v>4</v>
      </c>
      <c r="D13" s="1607">
        <v>0</v>
      </c>
      <c r="E13" s="1607">
        <v>4</v>
      </c>
    </row>
    <row r="14" spans="1:5" x14ac:dyDescent="0.2">
      <c r="A14" s="1607" t="s">
        <v>160</v>
      </c>
      <c r="B14" s="1607" t="s">
        <v>26</v>
      </c>
      <c r="C14" s="1607">
        <v>14</v>
      </c>
      <c r="D14" s="1607">
        <v>0</v>
      </c>
      <c r="E14" s="1607">
        <v>14</v>
      </c>
    </row>
    <row r="15" spans="1:5" x14ac:dyDescent="0.2">
      <c r="A15" s="1607" t="s">
        <v>160</v>
      </c>
      <c r="B15" s="1607" t="s">
        <v>27</v>
      </c>
      <c r="C15" s="1607">
        <v>3</v>
      </c>
      <c r="D15" s="1607">
        <v>0</v>
      </c>
      <c r="E15" s="1607">
        <v>3</v>
      </c>
    </row>
    <row r="16" spans="1:5" x14ac:dyDescent="0.2">
      <c r="A16" s="1607" t="s">
        <v>160</v>
      </c>
      <c r="B16" s="1607" t="s">
        <v>28</v>
      </c>
      <c r="C16" s="1607">
        <v>15</v>
      </c>
      <c r="D16" s="1607">
        <v>0</v>
      </c>
      <c r="E16" s="1607">
        <v>15</v>
      </c>
    </row>
    <row r="17" spans="1:5" x14ac:dyDescent="0.2">
      <c r="A17" s="1607" t="s">
        <v>160</v>
      </c>
      <c r="B17" s="1607" t="s">
        <v>29</v>
      </c>
      <c r="C17" s="1607">
        <v>9</v>
      </c>
      <c r="D17" s="1607">
        <v>0</v>
      </c>
      <c r="E17" s="1607">
        <v>9</v>
      </c>
    </row>
    <row r="18" spans="1:5" x14ac:dyDescent="0.2">
      <c r="A18" s="1607" t="s">
        <v>160</v>
      </c>
      <c r="B18" s="1607" t="s">
        <v>30</v>
      </c>
      <c r="C18" s="1607">
        <v>9</v>
      </c>
      <c r="D18" s="1607">
        <v>1</v>
      </c>
      <c r="E18" s="1607">
        <v>8</v>
      </c>
    </row>
    <row r="19" spans="1:5" x14ac:dyDescent="0.2">
      <c r="A19" s="1607" t="s">
        <v>160</v>
      </c>
      <c r="B19" s="1607" t="s">
        <v>31</v>
      </c>
      <c r="C19" s="1607">
        <v>8</v>
      </c>
      <c r="D19" s="1607">
        <v>0</v>
      </c>
      <c r="E19" s="1607">
        <v>8</v>
      </c>
    </row>
    <row r="20" spans="1:5" x14ac:dyDescent="0.2">
      <c r="A20" s="1607" t="s">
        <v>160</v>
      </c>
      <c r="B20" s="1607" t="s">
        <v>32</v>
      </c>
      <c r="C20" s="1607">
        <v>7</v>
      </c>
      <c r="D20" s="1607">
        <v>0</v>
      </c>
      <c r="E20" s="1607">
        <v>7</v>
      </c>
    </row>
    <row r="21" spans="1:5" x14ac:dyDescent="0.2">
      <c r="A21" s="1607" t="s">
        <v>160</v>
      </c>
      <c r="B21" s="1607" t="s">
        <v>33</v>
      </c>
      <c r="C21" s="1607">
        <v>10</v>
      </c>
      <c r="D21" s="1607">
        <v>0</v>
      </c>
      <c r="E21" s="1607">
        <v>10</v>
      </c>
    </row>
    <row r="22" spans="1:5" x14ac:dyDescent="0.2">
      <c r="A22" s="1607" t="s">
        <v>160</v>
      </c>
      <c r="B22" s="1607" t="s">
        <v>665</v>
      </c>
      <c r="C22" s="1607">
        <v>56</v>
      </c>
      <c r="D22" s="1607">
        <v>4</v>
      </c>
      <c r="E22" s="1607">
        <v>52</v>
      </c>
    </row>
    <row r="23" spans="1:5" x14ac:dyDescent="0.2">
      <c r="A23" s="1607" t="s">
        <v>160</v>
      </c>
      <c r="B23" s="1607" t="s">
        <v>34</v>
      </c>
      <c r="C23" s="1607">
        <v>15</v>
      </c>
      <c r="D23" s="1607">
        <v>0</v>
      </c>
      <c r="E23" s="1607">
        <v>15</v>
      </c>
    </row>
    <row r="24" spans="1:5" x14ac:dyDescent="0.2">
      <c r="A24" s="1607" t="s">
        <v>160</v>
      </c>
      <c r="B24" s="1607" t="s">
        <v>35</v>
      </c>
      <c r="C24" s="1607">
        <v>22</v>
      </c>
      <c r="D24" s="1607">
        <v>0</v>
      </c>
      <c r="E24" s="1607">
        <v>22</v>
      </c>
    </row>
    <row r="25" spans="1:5" x14ac:dyDescent="0.2">
      <c r="A25" s="1607" t="s">
        <v>160</v>
      </c>
      <c r="B25" s="1607" t="s">
        <v>36</v>
      </c>
      <c r="C25" s="1607">
        <v>86</v>
      </c>
      <c r="D25" s="1607">
        <v>8</v>
      </c>
      <c r="E25" s="1607">
        <v>78</v>
      </c>
    </row>
    <row r="26" spans="1:5" x14ac:dyDescent="0.2">
      <c r="A26" s="1607" t="s">
        <v>160</v>
      </c>
      <c r="B26" s="1607" t="s">
        <v>37</v>
      </c>
      <c r="C26" s="1607">
        <v>53</v>
      </c>
      <c r="D26" s="1607">
        <v>0</v>
      </c>
      <c r="E26" s="1607">
        <v>53</v>
      </c>
    </row>
    <row r="27" spans="1:5" x14ac:dyDescent="0.2">
      <c r="A27" s="1607" t="s">
        <v>160</v>
      </c>
      <c r="B27" s="1607" t="s">
        <v>38</v>
      </c>
      <c r="C27" s="1607">
        <v>8</v>
      </c>
      <c r="D27" s="1607">
        <v>0</v>
      </c>
      <c r="E27" s="1607">
        <v>8</v>
      </c>
    </row>
    <row r="28" spans="1:5" x14ac:dyDescent="0.2">
      <c r="A28" s="1607" t="s">
        <v>160</v>
      </c>
      <c r="B28" s="1607" t="s">
        <v>39</v>
      </c>
      <c r="C28" s="1607">
        <v>6</v>
      </c>
      <c r="D28" s="1607">
        <v>0</v>
      </c>
      <c r="E28" s="1607">
        <v>6</v>
      </c>
    </row>
    <row r="29" spans="1:5" x14ac:dyDescent="0.2">
      <c r="A29" s="1607" t="s">
        <v>160</v>
      </c>
      <c r="B29" s="1607" t="s">
        <v>40</v>
      </c>
      <c r="C29" s="1607">
        <v>5</v>
      </c>
      <c r="D29" s="1607">
        <v>0</v>
      </c>
      <c r="E29" s="1607">
        <v>5</v>
      </c>
    </row>
    <row r="30" spans="1:5" x14ac:dyDescent="0.2">
      <c r="A30" s="1607" t="s">
        <v>160</v>
      </c>
      <c r="B30" s="1607" t="s">
        <v>393</v>
      </c>
      <c r="C30" s="1607">
        <v>5</v>
      </c>
      <c r="D30" s="1607">
        <v>0</v>
      </c>
      <c r="E30" s="1607">
        <v>5</v>
      </c>
    </row>
    <row r="31" spans="1:5" x14ac:dyDescent="0.2">
      <c r="A31" s="1607" t="s">
        <v>160</v>
      </c>
      <c r="B31" s="1607" t="s">
        <v>41</v>
      </c>
      <c r="C31" s="1607">
        <v>16</v>
      </c>
      <c r="D31" s="1607">
        <v>0</v>
      </c>
      <c r="E31" s="1607">
        <v>16</v>
      </c>
    </row>
    <row r="32" spans="1:5" x14ac:dyDescent="0.2">
      <c r="A32" s="1607" t="s">
        <v>160</v>
      </c>
      <c r="B32" s="1607" t="s">
        <v>42</v>
      </c>
      <c r="C32" s="1607">
        <v>42</v>
      </c>
      <c r="D32" s="1607">
        <v>3</v>
      </c>
      <c r="E32" s="1607">
        <v>39</v>
      </c>
    </row>
    <row r="33" spans="1:5" x14ac:dyDescent="0.2">
      <c r="A33" s="1607" t="s">
        <v>160</v>
      </c>
      <c r="B33" s="1607" t="s">
        <v>43</v>
      </c>
      <c r="C33" s="1607">
        <v>15</v>
      </c>
      <c r="D33" s="1607">
        <v>0</v>
      </c>
      <c r="E33" s="1607">
        <v>15</v>
      </c>
    </row>
    <row r="34" spans="1:5" x14ac:dyDescent="0.2">
      <c r="A34" s="1607" t="s">
        <v>160</v>
      </c>
      <c r="B34" s="1607" t="s">
        <v>44</v>
      </c>
      <c r="C34" s="1607">
        <v>8</v>
      </c>
      <c r="D34" s="1607">
        <v>0</v>
      </c>
      <c r="E34" s="1607">
        <v>8</v>
      </c>
    </row>
    <row r="35" spans="1:5" x14ac:dyDescent="0.2">
      <c r="A35" s="1607" t="s">
        <v>160</v>
      </c>
      <c r="B35" s="1607" t="s">
        <v>45</v>
      </c>
      <c r="C35" s="1607">
        <v>19</v>
      </c>
      <c r="D35" s="1607">
        <v>0</v>
      </c>
      <c r="E35" s="1607">
        <v>19</v>
      </c>
    </row>
    <row r="36" spans="1:5" x14ac:dyDescent="0.2">
      <c r="A36" s="1607" t="s">
        <v>160</v>
      </c>
      <c r="B36" s="1607" t="s">
        <v>46</v>
      </c>
      <c r="C36" s="1607">
        <v>12</v>
      </c>
      <c r="D36" s="1607">
        <v>0</v>
      </c>
      <c r="E36" s="1607">
        <v>12</v>
      </c>
    </row>
    <row r="37" spans="1:5" x14ac:dyDescent="0.2">
      <c r="A37" s="1607" t="s">
        <v>160</v>
      </c>
      <c r="B37" s="1607" t="s">
        <v>47</v>
      </c>
      <c r="C37" s="1607">
        <v>2</v>
      </c>
      <c r="D37" s="1607">
        <v>0</v>
      </c>
      <c r="E37" s="1607">
        <v>2</v>
      </c>
    </row>
    <row r="38" spans="1:5" x14ac:dyDescent="0.2">
      <c r="A38" s="1607" t="s">
        <v>160</v>
      </c>
      <c r="B38" s="1607" t="s">
        <v>48</v>
      </c>
      <c r="C38" s="1607">
        <v>19</v>
      </c>
      <c r="D38" s="1607">
        <v>2</v>
      </c>
      <c r="E38" s="1607">
        <v>17</v>
      </c>
    </row>
    <row r="39" spans="1:5" x14ac:dyDescent="0.2">
      <c r="A39" s="1607" t="s">
        <v>160</v>
      </c>
      <c r="B39" s="1607" t="s">
        <v>49</v>
      </c>
      <c r="C39" s="1607">
        <v>26</v>
      </c>
      <c r="D39" s="1607">
        <v>0</v>
      </c>
      <c r="E39" s="1607">
        <v>26</v>
      </c>
    </row>
    <row r="40" spans="1:5" x14ac:dyDescent="0.2">
      <c r="A40" s="1607" t="s">
        <v>160</v>
      </c>
      <c r="B40" s="1607" t="s">
        <v>50</v>
      </c>
      <c r="C40" s="1607">
        <v>10</v>
      </c>
      <c r="D40" s="1607">
        <v>0</v>
      </c>
      <c r="E40" s="1607">
        <v>10</v>
      </c>
    </row>
    <row r="41" spans="1:5" x14ac:dyDescent="0.2">
      <c r="A41" s="1607" t="s">
        <v>160</v>
      </c>
      <c r="B41" s="1607" t="s">
        <v>51</v>
      </c>
      <c r="C41" s="1607">
        <v>10</v>
      </c>
      <c r="D41" s="1607">
        <v>1</v>
      </c>
      <c r="E41" s="1607">
        <v>9</v>
      </c>
    </row>
    <row r="42" spans="1:5" x14ac:dyDescent="0.2">
      <c r="A42" s="1607" t="s">
        <v>160</v>
      </c>
      <c r="B42" s="1607" t="s">
        <v>52</v>
      </c>
      <c r="C42" s="1607">
        <v>8</v>
      </c>
      <c r="D42" s="1607">
        <v>0</v>
      </c>
      <c r="E42" s="1607">
        <v>8</v>
      </c>
    </row>
    <row r="43" spans="1:5" x14ac:dyDescent="0.2">
      <c r="A43" s="1607" t="s">
        <v>379</v>
      </c>
      <c r="B43" s="1607" t="s">
        <v>23</v>
      </c>
      <c r="C43" s="1607">
        <v>25</v>
      </c>
      <c r="D43" s="1607">
        <v>2</v>
      </c>
      <c r="E43" s="1607">
        <v>23</v>
      </c>
    </row>
    <row r="44" spans="1:5" x14ac:dyDescent="0.2">
      <c r="A44" s="1607" t="s">
        <v>379</v>
      </c>
      <c r="B44" s="1607" t="s">
        <v>24</v>
      </c>
      <c r="C44" s="1607">
        <v>14</v>
      </c>
      <c r="D44" s="1607">
        <v>0</v>
      </c>
      <c r="E44" s="1607">
        <v>14</v>
      </c>
    </row>
    <row r="45" spans="1:5" x14ac:dyDescent="0.2">
      <c r="A45" s="1607" t="s">
        <v>379</v>
      </c>
      <c r="B45" s="1607" t="s">
        <v>25</v>
      </c>
      <c r="C45" s="1607">
        <v>5</v>
      </c>
      <c r="D45" s="1607">
        <v>0</v>
      </c>
      <c r="E45" s="1607">
        <v>5</v>
      </c>
    </row>
    <row r="46" spans="1:5" x14ac:dyDescent="0.2">
      <c r="A46" s="1607" t="s">
        <v>379</v>
      </c>
      <c r="B46" s="1607" t="s">
        <v>26</v>
      </c>
      <c r="C46" s="1607">
        <v>12</v>
      </c>
      <c r="D46" s="1607">
        <v>0</v>
      </c>
      <c r="E46" s="1607">
        <v>12</v>
      </c>
    </row>
    <row r="47" spans="1:5" x14ac:dyDescent="0.2">
      <c r="A47" s="1607" t="s">
        <v>379</v>
      </c>
      <c r="B47" s="1607" t="s">
        <v>27</v>
      </c>
      <c r="C47" s="1607">
        <v>5</v>
      </c>
      <c r="D47" s="1607">
        <v>0</v>
      </c>
      <c r="E47" s="1607">
        <v>5</v>
      </c>
    </row>
    <row r="48" spans="1:5" x14ac:dyDescent="0.2">
      <c r="A48" s="1607" t="s">
        <v>379</v>
      </c>
      <c r="B48" s="1607" t="s">
        <v>28</v>
      </c>
      <c r="C48" s="1607">
        <v>14</v>
      </c>
      <c r="D48" s="1607">
        <v>1</v>
      </c>
      <c r="E48" s="1607">
        <v>13</v>
      </c>
    </row>
    <row r="49" spans="1:5" x14ac:dyDescent="0.2">
      <c r="A49" s="1607" t="s">
        <v>379</v>
      </c>
      <c r="B49" s="1607" t="s">
        <v>29</v>
      </c>
      <c r="C49" s="1607">
        <v>14</v>
      </c>
      <c r="D49" s="1607">
        <v>0</v>
      </c>
      <c r="E49" s="1607">
        <v>14</v>
      </c>
    </row>
    <row r="50" spans="1:5" x14ac:dyDescent="0.2">
      <c r="A50" s="1607" t="s">
        <v>379</v>
      </c>
      <c r="B50" s="1607" t="s">
        <v>30</v>
      </c>
      <c r="C50" s="1607">
        <v>13</v>
      </c>
      <c r="D50" s="1607">
        <v>1</v>
      </c>
      <c r="E50" s="1607">
        <v>12</v>
      </c>
    </row>
    <row r="51" spans="1:5" x14ac:dyDescent="0.2">
      <c r="A51" s="1607" t="s">
        <v>379</v>
      </c>
      <c r="B51" s="1607" t="s">
        <v>31</v>
      </c>
      <c r="C51" s="1607">
        <v>7</v>
      </c>
      <c r="D51" s="1607">
        <v>0</v>
      </c>
      <c r="E51" s="1607">
        <v>7</v>
      </c>
    </row>
    <row r="52" spans="1:5" x14ac:dyDescent="0.2">
      <c r="A52" s="1607" t="s">
        <v>379</v>
      </c>
      <c r="B52" s="1607" t="s">
        <v>32</v>
      </c>
      <c r="C52" s="1607">
        <v>6</v>
      </c>
      <c r="D52" s="1607">
        <v>1</v>
      </c>
      <c r="E52" s="1607">
        <v>5</v>
      </c>
    </row>
    <row r="53" spans="1:5" x14ac:dyDescent="0.2">
      <c r="A53" s="1607" t="s">
        <v>379</v>
      </c>
      <c r="B53" s="1607" t="s">
        <v>33</v>
      </c>
      <c r="C53" s="1607">
        <v>3</v>
      </c>
      <c r="D53" s="1607">
        <v>0</v>
      </c>
      <c r="E53" s="1607">
        <v>3</v>
      </c>
    </row>
    <row r="54" spans="1:5" x14ac:dyDescent="0.2">
      <c r="A54" s="1607" t="s">
        <v>379</v>
      </c>
      <c r="B54" s="1607" t="s">
        <v>665</v>
      </c>
      <c r="C54" s="1607">
        <v>107</v>
      </c>
      <c r="D54" s="1607">
        <v>3</v>
      </c>
      <c r="E54" s="1607">
        <v>104</v>
      </c>
    </row>
    <row r="55" spans="1:5" x14ac:dyDescent="0.2">
      <c r="A55" s="1607" t="s">
        <v>379</v>
      </c>
      <c r="B55" s="1607" t="s">
        <v>34</v>
      </c>
      <c r="C55" s="1607">
        <v>27</v>
      </c>
      <c r="D55" s="1607">
        <v>1</v>
      </c>
      <c r="E55" s="1607">
        <v>26</v>
      </c>
    </row>
    <row r="56" spans="1:5" x14ac:dyDescent="0.2">
      <c r="A56" s="1607" t="s">
        <v>379</v>
      </c>
      <c r="B56" s="1607" t="s">
        <v>35</v>
      </c>
      <c r="C56" s="1607">
        <v>52</v>
      </c>
      <c r="D56" s="1607">
        <v>2</v>
      </c>
      <c r="E56" s="1607">
        <v>50</v>
      </c>
    </row>
    <row r="57" spans="1:5" x14ac:dyDescent="0.2">
      <c r="A57" s="1607" t="s">
        <v>379</v>
      </c>
      <c r="B57" s="1607" t="s">
        <v>36</v>
      </c>
      <c r="C57" s="1607">
        <v>111</v>
      </c>
      <c r="D57" s="1607">
        <v>2</v>
      </c>
      <c r="E57" s="1607">
        <v>109</v>
      </c>
    </row>
    <row r="58" spans="1:5" x14ac:dyDescent="0.2">
      <c r="A58" s="1607" t="s">
        <v>379</v>
      </c>
      <c r="B58" s="1607" t="s">
        <v>37</v>
      </c>
      <c r="C58" s="1607">
        <v>45</v>
      </c>
      <c r="D58" s="1607">
        <v>0</v>
      </c>
      <c r="E58" s="1607">
        <v>45</v>
      </c>
    </row>
    <row r="59" spans="1:5" x14ac:dyDescent="0.2">
      <c r="A59" s="1607" t="s">
        <v>379</v>
      </c>
      <c r="B59" s="1607" t="s">
        <v>38</v>
      </c>
      <c r="C59" s="1607">
        <v>6</v>
      </c>
      <c r="D59" s="1607">
        <v>0</v>
      </c>
      <c r="E59" s="1607">
        <v>6</v>
      </c>
    </row>
    <row r="60" spans="1:5" x14ac:dyDescent="0.2">
      <c r="A60" s="1607" t="s">
        <v>379</v>
      </c>
      <c r="B60" s="1607" t="s">
        <v>39</v>
      </c>
      <c r="C60" s="1607">
        <v>11</v>
      </c>
      <c r="D60" s="1607">
        <v>0</v>
      </c>
      <c r="E60" s="1607">
        <v>11</v>
      </c>
    </row>
    <row r="61" spans="1:5" x14ac:dyDescent="0.2">
      <c r="A61" s="1607" t="s">
        <v>379</v>
      </c>
      <c r="B61" s="1607" t="s">
        <v>40</v>
      </c>
      <c r="C61" s="1607">
        <v>3</v>
      </c>
      <c r="D61" s="1607">
        <v>1</v>
      </c>
      <c r="E61" s="1607">
        <v>2</v>
      </c>
    </row>
    <row r="62" spans="1:5" x14ac:dyDescent="0.2">
      <c r="A62" s="1607" t="s">
        <v>379</v>
      </c>
      <c r="B62" s="1607" t="s">
        <v>393</v>
      </c>
      <c r="C62" s="1607">
        <v>10</v>
      </c>
      <c r="D62" s="1607">
        <v>0</v>
      </c>
      <c r="E62" s="1607">
        <v>10</v>
      </c>
    </row>
    <row r="63" spans="1:5" x14ac:dyDescent="0.2">
      <c r="A63" s="1607" t="s">
        <v>379</v>
      </c>
      <c r="B63" s="1607" t="s">
        <v>41</v>
      </c>
      <c r="C63" s="1607">
        <v>23</v>
      </c>
      <c r="D63" s="1607">
        <v>0</v>
      </c>
      <c r="E63" s="1607">
        <v>23</v>
      </c>
    </row>
    <row r="64" spans="1:5" x14ac:dyDescent="0.2">
      <c r="A64" s="1607" t="s">
        <v>379</v>
      </c>
      <c r="B64" s="1607" t="s">
        <v>42</v>
      </c>
      <c r="C64" s="1607">
        <v>45</v>
      </c>
      <c r="D64" s="1607">
        <v>2</v>
      </c>
      <c r="E64" s="1607">
        <v>43</v>
      </c>
    </row>
    <row r="65" spans="1:5" x14ac:dyDescent="0.2">
      <c r="A65" s="1607" t="s">
        <v>379</v>
      </c>
      <c r="B65" s="1607" t="s">
        <v>43</v>
      </c>
      <c r="C65" s="1607">
        <v>22</v>
      </c>
      <c r="D65" s="1607">
        <v>0</v>
      </c>
      <c r="E65" s="1607">
        <v>22</v>
      </c>
    </row>
    <row r="66" spans="1:5" x14ac:dyDescent="0.2">
      <c r="A66" s="1607" t="s">
        <v>379</v>
      </c>
      <c r="B66" s="1607" t="s">
        <v>44</v>
      </c>
      <c r="C66" s="1607">
        <v>9</v>
      </c>
      <c r="D66" s="1607">
        <v>0</v>
      </c>
      <c r="E66" s="1607">
        <v>9</v>
      </c>
    </row>
    <row r="67" spans="1:5" x14ac:dyDescent="0.2">
      <c r="A67" s="1607" t="s">
        <v>379</v>
      </c>
      <c r="B67" s="1607" t="s">
        <v>45</v>
      </c>
      <c r="C67" s="1607">
        <v>26</v>
      </c>
      <c r="D67" s="1607">
        <v>0</v>
      </c>
      <c r="E67" s="1607">
        <v>26</v>
      </c>
    </row>
    <row r="68" spans="1:5" x14ac:dyDescent="0.2">
      <c r="A68" s="1607" t="s">
        <v>379</v>
      </c>
      <c r="B68" s="1607" t="s">
        <v>46</v>
      </c>
      <c r="C68" s="1607">
        <v>5</v>
      </c>
      <c r="D68" s="1607">
        <v>0</v>
      </c>
      <c r="E68" s="1607">
        <v>5</v>
      </c>
    </row>
    <row r="69" spans="1:5" x14ac:dyDescent="0.2">
      <c r="A69" s="1607" t="s">
        <v>379</v>
      </c>
      <c r="B69" s="1607" t="s">
        <v>47</v>
      </c>
      <c r="C69" s="1607">
        <v>2</v>
      </c>
      <c r="D69" s="1607">
        <v>0</v>
      </c>
      <c r="E69" s="1607">
        <v>2</v>
      </c>
    </row>
    <row r="70" spans="1:5" x14ac:dyDescent="0.2">
      <c r="A70" s="1607" t="s">
        <v>379</v>
      </c>
      <c r="B70" s="1607" t="s">
        <v>48</v>
      </c>
      <c r="C70" s="1607">
        <v>12</v>
      </c>
      <c r="D70" s="1607">
        <v>0</v>
      </c>
      <c r="E70" s="1607">
        <v>12</v>
      </c>
    </row>
    <row r="71" spans="1:5" x14ac:dyDescent="0.2">
      <c r="A71" s="1607" t="s">
        <v>379</v>
      </c>
      <c r="B71" s="1607" t="s">
        <v>49</v>
      </c>
      <c r="C71" s="1607">
        <v>34</v>
      </c>
      <c r="D71" s="1607">
        <v>1</v>
      </c>
      <c r="E71" s="1607">
        <v>33</v>
      </c>
    </row>
    <row r="72" spans="1:5" x14ac:dyDescent="0.2">
      <c r="A72" s="1607" t="s">
        <v>379</v>
      </c>
      <c r="B72" s="1607" t="s">
        <v>50</v>
      </c>
      <c r="C72" s="1607">
        <v>12</v>
      </c>
      <c r="D72" s="1607">
        <v>0</v>
      </c>
      <c r="E72" s="1607">
        <v>12</v>
      </c>
    </row>
    <row r="73" spans="1:5" x14ac:dyDescent="0.2">
      <c r="A73" s="1607" t="s">
        <v>379</v>
      </c>
      <c r="B73" s="1607" t="s">
        <v>51</v>
      </c>
      <c r="C73" s="1607">
        <v>4</v>
      </c>
      <c r="D73" s="1607">
        <v>0</v>
      </c>
      <c r="E73" s="1607">
        <v>4</v>
      </c>
    </row>
    <row r="74" spans="1:5" x14ac:dyDescent="0.2">
      <c r="A74" s="1607" t="s">
        <v>379</v>
      </c>
      <c r="B74" s="1607" t="s">
        <v>52</v>
      </c>
      <c r="C74" s="1607">
        <v>33</v>
      </c>
      <c r="D74" s="1607">
        <v>2</v>
      </c>
      <c r="E74" s="1607">
        <v>31</v>
      </c>
    </row>
    <row r="75" spans="1:5" x14ac:dyDescent="0.2">
      <c r="A75" s="1607" t="s">
        <v>603</v>
      </c>
      <c r="B75" s="1607" t="s">
        <v>23</v>
      </c>
      <c r="C75" s="1607">
        <v>22</v>
      </c>
      <c r="D75" s="1607">
        <v>1</v>
      </c>
      <c r="E75" s="1607">
        <v>21</v>
      </c>
    </row>
    <row r="76" spans="1:5" x14ac:dyDescent="0.2">
      <c r="A76" s="1607" t="s">
        <v>603</v>
      </c>
      <c r="B76" s="1607" t="s">
        <v>24</v>
      </c>
      <c r="C76" s="1607">
        <v>16</v>
      </c>
      <c r="D76" s="1607">
        <v>0</v>
      </c>
      <c r="E76" s="1607">
        <v>16</v>
      </c>
    </row>
    <row r="77" spans="1:5" x14ac:dyDescent="0.2">
      <c r="A77" s="1607" t="s">
        <v>603</v>
      </c>
      <c r="B77" s="1607" t="s">
        <v>25</v>
      </c>
      <c r="C77" s="1607">
        <v>9</v>
      </c>
      <c r="D77" s="1607">
        <v>0</v>
      </c>
      <c r="E77" s="1607">
        <v>9</v>
      </c>
    </row>
    <row r="78" spans="1:5" x14ac:dyDescent="0.2">
      <c r="A78" s="1607" t="s">
        <v>603</v>
      </c>
      <c r="B78" s="1607" t="s">
        <v>26</v>
      </c>
      <c r="C78" s="1607">
        <v>22</v>
      </c>
      <c r="D78" s="1607">
        <v>0</v>
      </c>
      <c r="E78" s="1607">
        <v>22</v>
      </c>
    </row>
    <row r="79" spans="1:5" x14ac:dyDescent="0.2">
      <c r="A79" s="1607" t="s">
        <v>603</v>
      </c>
      <c r="B79" s="1607" t="s">
        <v>27</v>
      </c>
      <c r="C79" s="1607">
        <v>5</v>
      </c>
      <c r="D79" s="1607">
        <v>0</v>
      </c>
      <c r="E79" s="1607">
        <v>5</v>
      </c>
    </row>
    <row r="80" spans="1:5" x14ac:dyDescent="0.2">
      <c r="A80" s="1607" t="s">
        <v>603</v>
      </c>
      <c r="B80" s="1607" t="s">
        <v>28</v>
      </c>
      <c r="C80" s="1607">
        <v>18</v>
      </c>
      <c r="D80" s="1607">
        <v>1</v>
      </c>
      <c r="E80" s="1607">
        <v>17</v>
      </c>
    </row>
    <row r="81" spans="1:5" x14ac:dyDescent="0.2">
      <c r="A81" s="1607" t="s">
        <v>603</v>
      </c>
      <c r="B81" s="1607" t="s">
        <v>29</v>
      </c>
      <c r="C81" s="1607">
        <v>14</v>
      </c>
      <c r="D81" s="1607">
        <v>0</v>
      </c>
      <c r="E81" s="1607">
        <v>14</v>
      </c>
    </row>
    <row r="82" spans="1:5" x14ac:dyDescent="0.2">
      <c r="A82" s="1607" t="s">
        <v>603</v>
      </c>
      <c r="B82" s="1607" t="s">
        <v>30</v>
      </c>
      <c r="C82" s="1607">
        <v>14</v>
      </c>
      <c r="D82" s="1607">
        <v>0</v>
      </c>
      <c r="E82" s="1607">
        <v>14</v>
      </c>
    </row>
    <row r="83" spans="1:5" x14ac:dyDescent="0.2">
      <c r="A83" s="1607" t="s">
        <v>603</v>
      </c>
      <c r="B83" s="1607" t="s">
        <v>31</v>
      </c>
      <c r="C83" s="1607">
        <v>5</v>
      </c>
      <c r="D83" s="1607">
        <v>0</v>
      </c>
      <c r="E83" s="1607">
        <v>5</v>
      </c>
    </row>
    <row r="84" spans="1:5" x14ac:dyDescent="0.2">
      <c r="A84" s="1607" t="s">
        <v>603</v>
      </c>
      <c r="B84" s="1607" t="s">
        <v>32</v>
      </c>
      <c r="C84" s="1607">
        <v>6</v>
      </c>
      <c r="D84" s="1607">
        <v>0</v>
      </c>
      <c r="E84" s="1607">
        <v>6</v>
      </c>
    </row>
    <row r="85" spans="1:5" x14ac:dyDescent="0.2">
      <c r="A85" s="1607" t="s">
        <v>603</v>
      </c>
      <c r="B85" s="1607" t="s">
        <v>33</v>
      </c>
      <c r="C85" s="1607">
        <v>6</v>
      </c>
      <c r="D85" s="1607">
        <v>1</v>
      </c>
      <c r="E85" s="1607">
        <v>5</v>
      </c>
    </row>
    <row r="86" spans="1:5" x14ac:dyDescent="0.2">
      <c r="A86" s="1607" t="s">
        <v>603</v>
      </c>
      <c r="B86" s="1607" t="s">
        <v>665</v>
      </c>
      <c r="C86" s="1607">
        <v>93</v>
      </c>
      <c r="D86" s="1607">
        <v>4</v>
      </c>
      <c r="E86" s="1607">
        <v>89</v>
      </c>
    </row>
    <row r="87" spans="1:5" x14ac:dyDescent="0.2">
      <c r="A87" s="1607" t="s">
        <v>603</v>
      </c>
      <c r="B87" s="1607" t="s">
        <v>34</v>
      </c>
      <c r="C87" s="1607">
        <v>26</v>
      </c>
      <c r="D87" s="1607">
        <v>2</v>
      </c>
      <c r="E87" s="1607">
        <v>24</v>
      </c>
    </row>
    <row r="88" spans="1:5" x14ac:dyDescent="0.2">
      <c r="A88" s="1607" t="s">
        <v>603</v>
      </c>
      <c r="B88" s="1607" t="s">
        <v>35</v>
      </c>
      <c r="C88" s="1607">
        <v>54</v>
      </c>
      <c r="D88" s="1607">
        <v>1</v>
      </c>
      <c r="E88" s="1607">
        <v>53</v>
      </c>
    </row>
    <row r="89" spans="1:5" x14ac:dyDescent="0.2">
      <c r="A89" s="1607" t="s">
        <v>603</v>
      </c>
      <c r="B89" s="1607" t="s">
        <v>36</v>
      </c>
      <c r="C89" s="1607">
        <v>97</v>
      </c>
      <c r="D89" s="1607">
        <v>3</v>
      </c>
      <c r="E89" s="1607">
        <v>94</v>
      </c>
    </row>
    <row r="90" spans="1:5" x14ac:dyDescent="0.2">
      <c r="A90" s="1607" t="s">
        <v>603</v>
      </c>
      <c r="B90" s="1607" t="s">
        <v>37</v>
      </c>
      <c r="C90" s="1607">
        <v>46</v>
      </c>
      <c r="D90" s="1607">
        <v>2</v>
      </c>
      <c r="E90" s="1607">
        <v>44</v>
      </c>
    </row>
    <row r="91" spans="1:5" x14ac:dyDescent="0.2">
      <c r="A91" s="1607" t="s">
        <v>603</v>
      </c>
      <c r="B91" s="1607" t="s">
        <v>38</v>
      </c>
      <c r="C91" s="1607">
        <v>11</v>
      </c>
      <c r="D91" s="1607">
        <v>0</v>
      </c>
      <c r="E91" s="1607">
        <v>11</v>
      </c>
    </row>
    <row r="92" spans="1:5" x14ac:dyDescent="0.2">
      <c r="A92" s="1607" t="s">
        <v>603</v>
      </c>
      <c r="B92" s="1607" t="s">
        <v>39</v>
      </c>
      <c r="C92" s="1607">
        <v>11</v>
      </c>
      <c r="D92" s="1607">
        <v>0</v>
      </c>
      <c r="E92" s="1607">
        <v>11</v>
      </c>
    </row>
    <row r="93" spans="1:5" x14ac:dyDescent="0.2">
      <c r="A93" s="1607" t="s">
        <v>603</v>
      </c>
      <c r="B93" s="1607" t="s">
        <v>40</v>
      </c>
      <c r="C93" s="1607">
        <v>2</v>
      </c>
      <c r="D93" s="1607">
        <v>0</v>
      </c>
      <c r="E93" s="1607">
        <v>2</v>
      </c>
    </row>
    <row r="94" spans="1:5" x14ac:dyDescent="0.2">
      <c r="A94" s="1607" t="s">
        <v>603</v>
      </c>
      <c r="B94" s="1607" t="s">
        <v>41</v>
      </c>
      <c r="C94" s="1607">
        <v>16</v>
      </c>
      <c r="D94" s="1607">
        <v>0</v>
      </c>
      <c r="E94" s="1607">
        <v>16</v>
      </c>
    </row>
    <row r="95" spans="1:5" x14ac:dyDescent="0.2">
      <c r="A95" s="1607" t="s">
        <v>603</v>
      </c>
      <c r="B95" s="1607" t="s">
        <v>42</v>
      </c>
      <c r="C95" s="1607">
        <v>37</v>
      </c>
      <c r="D95" s="1607">
        <v>1</v>
      </c>
      <c r="E95" s="1607">
        <v>36</v>
      </c>
    </row>
    <row r="96" spans="1:5" x14ac:dyDescent="0.2">
      <c r="A96" s="1607" t="s">
        <v>603</v>
      </c>
      <c r="B96" s="1607" t="s">
        <v>43</v>
      </c>
      <c r="C96" s="1607">
        <v>12</v>
      </c>
      <c r="D96" s="1607">
        <v>0</v>
      </c>
      <c r="E96" s="1607">
        <v>12</v>
      </c>
    </row>
    <row r="97" spans="1:5" x14ac:dyDescent="0.2">
      <c r="A97" s="1607" t="s">
        <v>603</v>
      </c>
      <c r="B97" s="1607" t="s">
        <v>44</v>
      </c>
      <c r="C97" s="1607">
        <v>7</v>
      </c>
      <c r="D97" s="1607">
        <v>0</v>
      </c>
      <c r="E97" s="1607">
        <v>7</v>
      </c>
    </row>
    <row r="98" spans="1:5" x14ac:dyDescent="0.2">
      <c r="A98" s="1607" t="s">
        <v>603</v>
      </c>
      <c r="B98" s="1607" t="s">
        <v>45</v>
      </c>
      <c r="C98" s="1607">
        <v>24</v>
      </c>
      <c r="D98" s="1607">
        <v>0</v>
      </c>
      <c r="E98" s="1607">
        <v>24</v>
      </c>
    </row>
    <row r="99" spans="1:5" x14ac:dyDescent="0.2">
      <c r="A99" s="1607" t="s">
        <v>603</v>
      </c>
      <c r="B99" s="1607" t="s">
        <v>46</v>
      </c>
      <c r="C99" s="1607">
        <v>10</v>
      </c>
      <c r="D99" s="1607">
        <v>0</v>
      </c>
      <c r="E99" s="1607">
        <v>10</v>
      </c>
    </row>
    <row r="100" spans="1:5" x14ac:dyDescent="0.2">
      <c r="A100" s="1607" t="s">
        <v>603</v>
      </c>
      <c r="B100" s="1607" t="s">
        <v>48</v>
      </c>
      <c r="C100" s="1607">
        <v>12</v>
      </c>
      <c r="D100" s="1607">
        <v>1</v>
      </c>
      <c r="E100" s="1607">
        <v>11</v>
      </c>
    </row>
    <row r="101" spans="1:5" x14ac:dyDescent="0.2">
      <c r="A101" s="1607" t="s">
        <v>603</v>
      </c>
      <c r="B101" s="1607" t="s">
        <v>49</v>
      </c>
      <c r="C101" s="1607">
        <v>25</v>
      </c>
      <c r="D101" s="1607">
        <v>0</v>
      </c>
      <c r="E101" s="1607">
        <v>25</v>
      </c>
    </row>
    <row r="102" spans="1:5" x14ac:dyDescent="0.2">
      <c r="A102" s="1607" t="s">
        <v>603</v>
      </c>
      <c r="B102" s="1607" t="s">
        <v>50</v>
      </c>
      <c r="C102" s="1607">
        <v>12</v>
      </c>
      <c r="D102" s="1607">
        <v>0</v>
      </c>
      <c r="E102" s="1607">
        <v>12</v>
      </c>
    </row>
    <row r="103" spans="1:5" x14ac:dyDescent="0.2">
      <c r="A103" s="1607" t="s">
        <v>603</v>
      </c>
      <c r="B103" s="1607" t="s">
        <v>51</v>
      </c>
      <c r="C103" s="1607">
        <v>7</v>
      </c>
      <c r="D103" s="1607">
        <v>1</v>
      </c>
      <c r="E103" s="1607">
        <v>6</v>
      </c>
    </row>
    <row r="104" spans="1:5" x14ac:dyDescent="0.2">
      <c r="A104" s="1607" t="s">
        <v>603</v>
      </c>
      <c r="B104" s="1607" t="s">
        <v>52</v>
      </c>
      <c r="C104" s="1607">
        <v>26</v>
      </c>
      <c r="D104" s="1607">
        <v>1</v>
      </c>
      <c r="E104" s="1607">
        <v>25</v>
      </c>
    </row>
  </sheetData>
  <pageMargins left="0.7" right="0.7" top="0.75" bottom="0.75" header="0.3" footer="0.3"/>
  <pageSetup paperSize="9" fitToHeight="5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4"/>
  <dimension ref="A2:I37"/>
  <sheetViews>
    <sheetView workbookViewId="0">
      <selection activeCell="D5" sqref="D5"/>
    </sheetView>
  </sheetViews>
  <sheetFormatPr defaultRowHeight="12.75" x14ac:dyDescent="0.2"/>
  <cols>
    <col min="1" max="1" width="20.28515625" customWidth="1"/>
    <col min="2" max="2" width="17.85546875" customWidth="1"/>
    <col min="3" max="3" width="24" customWidth="1"/>
    <col min="4" max="4" width="22.140625" customWidth="1"/>
    <col min="5" max="5" width="15.5703125" customWidth="1"/>
    <col min="6" max="6" width="21" customWidth="1"/>
    <col min="7" max="7" width="23.7109375" customWidth="1"/>
    <col min="8" max="8" width="22" customWidth="1"/>
    <col min="9" max="9" width="11.42578125" customWidth="1"/>
    <col min="10" max="12" width="6.5703125" customWidth="1"/>
    <col min="13" max="33" width="7.5703125" customWidth="1"/>
    <col min="34" max="34" width="24" bestFit="1" customWidth="1"/>
    <col min="35" max="44" width="6.5703125" customWidth="1"/>
    <col min="45" max="65" width="7.5703125" customWidth="1"/>
    <col min="66" max="66" width="22.140625" bestFit="1" customWidth="1"/>
    <col min="67" max="76" width="6.5703125" customWidth="1"/>
    <col min="77" max="97" width="7.5703125" customWidth="1"/>
    <col min="98" max="98" width="15.5703125" bestFit="1" customWidth="1"/>
    <col min="99" max="108" width="6.5703125" customWidth="1"/>
    <col min="109" max="129" width="7.5703125" customWidth="1"/>
    <col min="130" max="130" width="21" bestFit="1" customWidth="1"/>
    <col min="131" max="140" width="6.5703125" customWidth="1"/>
    <col min="141" max="161" width="7.5703125" customWidth="1"/>
    <col min="162" max="162" width="23.7109375" bestFit="1" customWidth="1"/>
    <col min="163" max="172" width="6.5703125" customWidth="1"/>
    <col min="173" max="193" width="7.5703125" customWidth="1"/>
    <col min="194" max="194" width="22" customWidth="1"/>
    <col min="195" max="204" width="6.5703125" customWidth="1"/>
    <col min="205" max="225" width="7.5703125" customWidth="1"/>
    <col min="226" max="226" width="23.140625" bestFit="1" customWidth="1"/>
    <col min="227" max="227" width="29.28515625" bestFit="1" customWidth="1"/>
    <col min="228" max="228" width="27.42578125" bestFit="1" customWidth="1"/>
    <col min="229" max="229" width="20.85546875" bestFit="1" customWidth="1"/>
    <col min="230" max="230" width="26.42578125" bestFit="1" customWidth="1"/>
    <col min="231" max="231" width="29" bestFit="1" customWidth="1"/>
    <col min="232" max="232" width="27.28515625" bestFit="1" customWidth="1"/>
  </cols>
  <sheetData>
    <row r="2" spans="1:9" x14ac:dyDescent="0.2">
      <c r="A2" s="1300" t="s">
        <v>4</v>
      </c>
      <c r="B2" t="s">
        <v>603</v>
      </c>
    </row>
    <row r="4" spans="1:9" x14ac:dyDescent="0.2">
      <c r="A4" s="1300" t="s">
        <v>658</v>
      </c>
      <c r="B4" t="s">
        <v>660</v>
      </c>
      <c r="C4" t="s">
        <v>661</v>
      </c>
      <c r="D4" t="s">
        <v>662</v>
      </c>
      <c r="E4" t="s">
        <v>663</v>
      </c>
      <c r="F4" t="s">
        <v>659</v>
      </c>
      <c r="G4" t="s">
        <v>664</v>
      </c>
      <c r="H4" t="s">
        <v>667</v>
      </c>
      <c r="I4" t="s">
        <v>669</v>
      </c>
    </row>
    <row r="5" spans="1:9" x14ac:dyDescent="0.2">
      <c r="A5" s="1301" t="s">
        <v>23</v>
      </c>
      <c r="B5">
        <v>277</v>
      </c>
      <c r="C5">
        <v>98</v>
      </c>
      <c r="D5">
        <v>64</v>
      </c>
      <c r="E5">
        <v>16</v>
      </c>
      <c r="F5">
        <v>455</v>
      </c>
      <c r="G5">
        <v>342</v>
      </c>
      <c r="H5">
        <v>9</v>
      </c>
      <c r="I5">
        <v>228800</v>
      </c>
    </row>
    <row r="6" spans="1:9" x14ac:dyDescent="0.2">
      <c r="A6" s="1301" t="s">
        <v>24</v>
      </c>
      <c r="B6">
        <v>168</v>
      </c>
      <c r="C6">
        <v>107</v>
      </c>
      <c r="D6">
        <v>78</v>
      </c>
      <c r="E6">
        <v>41</v>
      </c>
      <c r="F6">
        <v>394</v>
      </c>
      <c r="G6">
        <v>214</v>
      </c>
      <c r="H6">
        <v>76</v>
      </c>
      <c r="I6">
        <v>261800</v>
      </c>
    </row>
    <row r="7" spans="1:9" x14ac:dyDescent="0.2">
      <c r="A7" s="1301" t="s">
        <v>25</v>
      </c>
      <c r="B7">
        <v>81</v>
      </c>
      <c r="C7">
        <v>34</v>
      </c>
      <c r="D7">
        <v>30</v>
      </c>
      <c r="E7">
        <v>18</v>
      </c>
      <c r="F7">
        <v>163</v>
      </c>
      <c r="G7">
        <v>181</v>
      </c>
      <c r="H7">
        <v>23</v>
      </c>
      <c r="I7">
        <v>116280</v>
      </c>
    </row>
    <row r="8" spans="1:9" x14ac:dyDescent="0.2">
      <c r="A8" s="1301" t="s">
        <v>26</v>
      </c>
      <c r="B8">
        <v>86</v>
      </c>
      <c r="C8">
        <v>50</v>
      </c>
      <c r="D8">
        <v>33</v>
      </c>
      <c r="E8">
        <v>15</v>
      </c>
      <c r="F8">
        <v>184</v>
      </c>
      <c r="G8">
        <v>81</v>
      </c>
      <c r="H8">
        <v>46</v>
      </c>
      <c r="I8">
        <v>86810</v>
      </c>
    </row>
    <row r="9" spans="1:9" x14ac:dyDescent="0.2">
      <c r="A9" s="1301" t="s">
        <v>27</v>
      </c>
      <c r="B9">
        <v>51</v>
      </c>
      <c r="C9">
        <v>21</v>
      </c>
      <c r="D9">
        <v>10</v>
      </c>
      <c r="E9">
        <v>11</v>
      </c>
      <c r="F9">
        <v>93</v>
      </c>
      <c r="G9">
        <v>109</v>
      </c>
      <c r="H9">
        <v>2</v>
      </c>
      <c r="I9">
        <v>51450</v>
      </c>
    </row>
    <row r="10" spans="1:9" x14ac:dyDescent="0.2">
      <c r="A10" s="1301" t="s">
        <v>28</v>
      </c>
      <c r="B10">
        <v>104</v>
      </c>
      <c r="C10">
        <v>49</v>
      </c>
      <c r="D10">
        <v>60</v>
      </c>
      <c r="E10">
        <v>23</v>
      </c>
      <c r="F10">
        <v>236</v>
      </c>
      <c r="G10">
        <v>178</v>
      </c>
      <c r="H10">
        <v>62</v>
      </c>
      <c r="I10">
        <v>149200</v>
      </c>
    </row>
    <row r="11" spans="1:9" x14ac:dyDescent="0.2">
      <c r="A11" s="1301" t="s">
        <v>29</v>
      </c>
      <c r="B11">
        <v>214</v>
      </c>
      <c r="C11">
        <v>60</v>
      </c>
      <c r="D11">
        <v>46</v>
      </c>
      <c r="E11">
        <v>24</v>
      </c>
      <c r="F11">
        <v>344</v>
      </c>
      <c r="G11">
        <v>773</v>
      </c>
      <c r="H11">
        <v>1</v>
      </c>
      <c r="I11">
        <v>148710</v>
      </c>
    </row>
    <row r="12" spans="1:9" x14ac:dyDescent="0.2">
      <c r="A12" s="1301" t="s">
        <v>30</v>
      </c>
      <c r="B12">
        <v>87</v>
      </c>
      <c r="C12">
        <v>33</v>
      </c>
      <c r="D12">
        <v>49</v>
      </c>
      <c r="E12">
        <v>11</v>
      </c>
      <c r="F12">
        <v>180</v>
      </c>
      <c r="G12">
        <v>592</v>
      </c>
      <c r="H12">
        <v>11</v>
      </c>
      <c r="I12">
        <v>121940</v>
      </c>
    </row>
    <row r="13" spans="1:9" x14ac:dyDescent="0.2">
      <c r="A13" s="1301" t="s">
        <v>31</v>
      </c>
      <c r="B13">
        <v>67</v>
      </c>
      <c r="C13">
        <v>34</v>
      </c>
      <c r="D13">
        <v>47</v>
      </c>
      <c r="E13">
        <v>10</v>
      </c>
      <c r="F13">
        <v>158</v>
      </c>
      <c r="G13">
        <v>175</v>
      </c>
      <c r="H13">
        <v>4</v>
      </c>
      <c r="I13">
        <v>108130</v>
      </c>
    </row>
    <row r="14" spans="1:9" x14ac:dyDescent="0.2">
      <c r="A14" s="1301" t="s">
        <v>32</v>
      </c>
      <c r="B14">
        <v>76</v>
      </c>
      <c r="C14">
        <v>38</v>
      </c>
      <c r="D14">
        <v>30</v>
      </c>
      <c r="E14">
        <v>45</v>
      </c>
      <c r="F14">
        <v>189</v>
      </c>
      <c r="G14">
        <v>243</v>
      </c>
      <c r="H14">
        <v>22</v>
      </c>
      <c r="I14">
        <v>104840</v>
      </c>
    </row>
    <row r="15" spans="1:9" x14ac:dyDescent="0.2">
      <c r="A15" s="1301" t="s">
        <v>33</v>
      </c>
      <c r="B15">
        <v>84</v>
      </c>
      <c r="C15">
        <v>23</v>
      </c>
      <c r="D15">
        <v>19</v>
      </c>
      <c r="E15">
        <v>4</v>
      </c>
      <c r="F15">
        <v>130</v>
      </c>
      <c r="G15">
        <v>165</v>
      </c>
      <c r="H15">
        <v>6</v>
      </c>
      <c r="I15">
        <v>94760</v>
      </c>
    </row>
    <row r="16" spans="1:9" x14ac:dyDescent="0.2">
      <c r="A16" s="1301" t="s">
        <v>665</v>
      </c>
      <c r="B16">
        <v>523</v>
      </c>
      <c r="C16">
        <v>239</v>
      </c>
      <c r="D16">
        <v>182</v>
      </c>
      <c r="E16">
        <v>94</v>
      </c>
      <c r="F16">
        <v>1038</v>
      </c>
      <c r="G16">
        <v>1786</v>
      </c>
      <c r="H16">
        <v>5</v>
      </c>
      <c r="I16">
        <v>513210</v>
      </c>
    </row>
    <row r="17" spans="1:9" x14ac:dyDescent="0.2">
      <c r="A17" s="1301" t="s">
        <v>34</v>
      </c>
      <c r="B17">
        <v>122</v>
      </c>
      <c r="C17">
        <v>96</v>
      </c>
      <c r="D17">
        <v>52</v>
      </c>
      <c r="E17">
        <v>73</v>
      </c>
      <c r="F17">
        <v>343</v>
      </c>
      <c r="G17">
        <v>428</v>
      </c>
      <c r="H17">
        <v>1</v>
      </c>
      <c r="I17">
        <v>160130</v>
      </c>
    </row>
    <row r="18" spans="1:9" x14ac:dyDescent="0.2">
      <c r="A18" s="1301" t="s">
        <v>35</v>
      </c>
      <c r="B18">
        <v>302</v>
      </c>
      <c r="C18">
        <v>156</v>
      </c>
      <c r="D18">
        <v>93</v>
      </c>
      <c r="E18">
        <v>110</v>
      </c>
      <c r="F18">
        <v>661</v>
      </c>
      <c r="G18">
        <v>944</v>
      </c>
      <c r="H18">
        <v>23</v>
      </c>
      <c r="I18">
        <v>371410</v>
      </c>
    </row>
    <row r="19" spans="1:9" x14ac:dyDescent="0.2">
      <c r="A19" s="1301" t="s">
        <v>36</v>
      </c>
      <c r="B19">
        <v>962</v>
      </c>
      <c r="C19">
        <v>367</v>
      </c>
      <c r="D19">
        <v>300</v>
      </c>
      <c r="E19">
        <v>80</v>
      </c>
      <c r="F19">
        <v>1709</v>
      </c>
      <c r="G19">
        <v>2350</v>
      </c>
      <c r="H19">
        <v>9</v>
      </c>
      <c r="I19">
        <v>621020</v>
      </c>
    </row>
    <row r="20" spans="1:9" x14ac:dyDescent="0.2">
      <c r="A20" s="1301" t="s">
        <v>37</v>
      </c>
      <c r="B20">
        <v>153</v>
      </c>
      <c r="C20">
        <v>88</v>
      </c>
      <c r="D20">
        <v>72</v>
      </c>
      <c r="E20">
        <v>47</v>
      </c>
      <c r="F20">
        <v>360</v>
      </c>
      <c r="G20">
        <v>471</v>
      </c>
      <c r="H20">
        <v>181</v>
      </c>
      <c r="I20">
        <v>235180</v>
      </c>
    </row>
    <row r="21" spans="1:9" x14ac:dyDescent="0.2">
      <c r="A21" s="1301" t="s">
        <v>38</v>
      </c>
      <c r="B21">
        <v>103</v>
      </c>
      <c r="C21">
        <v>33</v>
      </c>
      <c r="D21">
        <v>42</v>
      </c>
      <c r="E21">
        <v>11</v>
      </c>
      <c r="F21">
        <v>189</v>
      </c>
      <c r="G21">
        <v>348</v>
      </c>
      <c r="I21">
        <v>78760</v>
      </c>
    </row>
    <row r="22" spans="1:9" x14ac:dyDescent="0.2">
      <c r="A22" s="1301" t="s">
        <v>39</v>
      </c>
      <c r="B22">
        <v>70</v>
      </c>
      <c r="C22">
        <v>37</v>
      </c>
      <c r="D22">
        <v>43</v>
      </c>
      <c r="E22">
        <v>61</v>
      </c>
      <c r="F22">
        <v>211</v>
      </c>
      <c r="G22">
        <v>390</v>
      </c>
      <c r="H22">
        <v>7</v>
      </c>
      <c r="I22">
        <v>90090</v>
      </c>
    </row>
    <row r="23" spans="1:9" x14ac:dyDescent="0.2">
      <c r="A23" s="1301" t="s">
        <v>40</v>
      </c>
      <c r="B23">
        <v>39</v>
      </c>
      <c r="C23">
        <v>36</v>
      </c>
      <c r="D23">
        <v>24</v>
      </c>
      <c r="E23">
        <v>15</v>
      </c>
      <c r="F23">
        <v>114</v>
      </c>
      <c r="G23">
        <v>83</v>
      </c>
      <c r="H23">
        <v>28</v>
      </c>
      <c r="I23">
        <v>95780</v>
      </c>
    </row>
    <row r="24" spans="1:9" x14ac:dyDescent="0.2">
      <c r="A24" s="1301" t="s">
        <v>393</v>
      </c>
      <c r="B24">
        <v>17</v>
      </c>
      <c r="C24">
        <v>8</v>
      </c>
      <c r="D24">
        <v>9</v>
      </c>
      <c r="E24">
        <v>5</v>
      </c>
      <c r="F24">
        <v>39</v>
      </c>
      <c r="G24">
        <v>65</v>
      </c>
      <c r="H24">
        <v>43</v>
      </c>
      <c r="I24">
        <v>26950</v>
      </c>
    </row>
    <row r="25" spans="1:9" x14ac:dyDescent="0.2">
      <c r="A25" s="1301" t="s">
        <v>41</v>
      </c>
      <c r="B25">
        <v>162</v>
      </c>
      <c r="C25">
        <v>52</v>
      </c>
      <c r="D25">
        <v>41</v>
      </c>
      <c r="E25">
        <v>17</v>
      </c>
      <c r="F25">
        <v>272</v>
      </c>
      <c r="G25">
        <v>569</v>
      </c>
      <c r="H25">
        <v>15</v>
      </c>
      <c r="I25">
        <v>135790</v>
      </c>
    </row>
    <row r="26" spans="1:9" x14ac:dyDescent="0.2">
      <c r="A26" s="1301" t="s">
        <v>42</v>
      </c>
      <c r="B26">
        <v>307</v>
      </c>
      <c r="C26">
        <v>127</v>
      </c>
      <c r="D26">
        <v>190</v>
      </c>
      <c r="E26">
        <v>33</v>
      </c>
      <c r="F26">
        <v>657</v>
      </c>
      <c r="G26">
        <v>1206</v>
      </c>
      <c r="I26">
        <v>339960</v>
      </c>
    </row>
    <row r="27" spans="1:9" x14ac:dyDescent="0.2">
      <c r="A27" s="1301" t="s">
        <v>43</v>
      </c>
      <c r="B27">
        <v>7</v>
      </c>
      <c r="C27">
        <v>2</v>
      </c>
      <c r="D27">
        <v>5</v>
      </c>
      <c r="E27">
        <v>1</v>
      </c>
      <c r="F27">
        <v>15</v>
      </c>
      <c r="G27">
        <v>9</v>
      </c>
      <c r="H27">
        <v>12</v>
      </c>
      <c r="I27">
        <v>22000</v>
      </c>
    </row>
    <row r="28" spans="1:9" x14ac:dyDescent="0.2">
      <c r="A28" s="1301" t="s">
        <v>44</v>
      </c>
      <c r="B28">
        <v>116</v>
      </c>
      <c r="C28">
        <v>57</v>
      </c>
      <c r="D28">
        <v>43</v>
      </c>
      <c r="E28">
        <v>18</v>
      </c>
      <c r="F28">
        <v>234</v>
      </c>
      <c r="G28">
        <v>177</v>
      </c>
      <c r="H28">
        <v>52</v>
      </c>
      <c r="I28">
        <v>151100</v>
      </c>
    </row>
    <row r="29" spans="1:9" x14ac:dyDescent="0.2">
      <c r="A29" s="1301" t="s">
        <v>45</v>
      </c>
      <c r="B29">
        <v>223</v>
      </c>
      <c r="C29">
        <v>70</v>
      </c>
      <c r="D29">
        <v>71</v>
      </c>
      <c r="E29">
        <v>32</v>
      </c>
      <c r="F29">
        <v>396</v>
      </c>
      <c r="G29">
        <v>503</v>
      </c>
      <c r="H29">
        <v>7</v>
      </c>
      <c r="I29">
        <v>176830</v>
      </c>
    </row>
    <row r="30" spans="1:9" x14ac:dyDescent="0.2">
      <c r="A30" s="1301" t="s">
        <v>46</v>
      </c>
      <c r="B30">
        <v>100</v>
      </c>
      <c r="C30">
        <v>35</v>
      </c>
      <c r="D30">
        <v>23</v>
      </c>
      <c r="E30">
        <v>46</v>
      </c>
      <c r="F30">
        <v>204</v>
      </c>
      <c r="G30">
        <v>133</v>
      </c>
      <c r="H30">
        <v>54</v>
      </c>
      <c r="I30">
        <v>115020</v>
      </c>
    </row>
    <row r="31" spans="1:9" x14ac:dyDescent="0.2">
      <c r="A31" s="1301" t="s">
        <v>47</v>
      </c>
      <c r="B31">
        <v>13</v>
      </c>
      <c r="C31">
        <v>7</v>
      </c>
      <c r="D31">
        <v>5</v>
      </c>
      <c r="E31">
        <v>8</v>
      </c>
      <c r="F31">
        <v>33</v>
      </c>
      <c r="G31">
        <v>11</v>
      </c>
      <c r="H31">
        <v>12</v>
      </c>
      <c r="I31">
        <v>23080</v>
      </c>
    </row>
    <row r="32" spans="1:9" x14ac:dyDescent="0.2">
      <c r="A32" s="1301" t="s">
        <v>48</v>
      </c>
      <c r="B32">
        <v>105</v>
      </c>
      <c r="C32">
        <v>44</v>
      </c>
      <c r="D32">
        <v>40</v>
      </c>
      <c r="E32">
        <v>15</v>
      </c>
      <c r="F32">
        <v>204</v>
      </c>
      <c r="G32">
        <v>250</v>
      </c>
      <c r="H32">
        <v>15</v>
      </c>
      <c r="I32">
        <v>112680</v>
      </c>
    </row>
    <row r="33" spans="1:9" x14ac:dyDescent="0.2">
      <c r="A33" s="1301" t="s">
        <v>49</v>
      </c>
      <c r="B33">
        <v>278</v>
      </c>
      <c r="C33">
        <v>114</v>
      </c>
      <c r="D33">
        <v>150</v>
      </c>
      <c r="E33">
        <v>41</v>
      </c>
      <c r="F33">
        <v>583</v>
      </c>
      <c r="G33">
        <v>796</v>
      </c>
      <c r="H33">
        <v>7</v>
      </c>
      <c r="I33">
        <v>318170</v>
      </c>
    </row>
    <row r="34" spans="1:9" x14ac:dyDescent="0.2">
      <c r="A34" s="1301" t="s">
        <v>50</v>
      </c>
      <c r="B34">
        <v>86</v>
      </c>
      <c r="C34">
        <v>45</v>
      </c>
      <c r="D34">
        <v>27</v>
      </c>
      <c r="E34">
        <v>17</v>
      </c>
      <c r="F34">
        <v>175</v>
      </c>
      <c r="G34">
        <v>167</v>
      </c>
      <c r="H34">
        <v>21</v>
      </c>
      <c r="I34">
        <v>94000</v>
      </c>
    </row>
    <row r="35" spans="1:9" x14ac:dyDescent="0.2">
      <c r="A35" s="1301" t="s">
        <v>51</v>
      </c>
      <c r="B35">
        <v>158</v>
      </c>
      <c r="C35">
        <v>47</v>
      </c>
      <c r="D35">
        <v>53</v>
      </c>
      <c r="E35">
        <v>11</v>
      </c>
      <c r="F35">
        <v>269</v>
      </c>
      <c r="G35">
        <v>241</v>
      </c>
      <c r="H35">
        <v>4</v>
      </c>
      <c r="I35">
        <v>89610</v>
      </c>
    </row>
    <row r="36" spans="1:9" x14ac:dyDescent="0.2">
      <c r="A36" s="1301" t="s">
        <v>52</v>
      </c>
      <c r="B36">
        <v>169</v>
      </c>
      <c r="C36">
        <v>74</v>
      </c>
      <c r="D36">
        <v>77</v>
      </c>
      <c r="E36">
        <v>102</v>
      </c>
      <c r="F36">
        <v>422</v>
      </c>
      <c r="G36">
        <v>718</v>
      </c>
      <c r="H36">
        <v>5</v>
      </c>
      <c r="I36">
        <v>181310</v>
      </c>
    </row>
    <row r="37" spans="1:9" x14ac:dyDescent="0.2">
      <c r="A37" s="1301" t="s">
        <v>666</v>
      </c>
      <c r="B37">
        <v>5310</v>
      </c>
      <c r="C37">
        <v>2281</v>
      </c>
      <c r="D37">
        <v>2008</v>
      </c>
      <c r="E37">
        <v>1055</v>
      </c>
      <c r="F37">
        <v>10654</v>
      </c>
      <c r="G37">
        <v>14698</v>
      </c>
      <c r="H37">
        <v>763</v>
      </c>
      <c r="I37">
        <v>5424800</v>
      </c>
    </row>
  </sheetData>
  <pageMargins left="0.7" right="0.7" top="0.75" bottom="0.75" header="0.3" footer="0.3"/>
  <pageSetup paperSize="9" orientation="portrait"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fitToPage="1"/>
  </sheetPr>
  <dimension ref="A1:W12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3.140625" customWidth="1"/>
    <col min="3" max="3" width="11" customWidth="1"/>
    <col min="4" max="4" width="12.42578125" customWidth="1"/>
    <col min="5" max="5" width="19" customWidth="1"/>
    <col min="6" max="6" width="11.7109375" customWidth="1"/>
    <col min="7" max="7" width="10.5703125" customWidth="1"/>
    <col min="8" max="8" width="6.7109375" customWidth="1"/>
    <col min="9" max="9" width="19" customWidth="1"/>
    <col min="10" max="10" width="16.42578125" customWidth="1"/>
    <col min="11" max="11" width="11.7109375" customWidth="1"/>
    <col min="12" max="12" width="6.7109375" customWidth="1"/>
    <col min="13" max="13" width="26.28515625" bestFit="1" customWidth="1"/>
    <col min="14" max="14" width="19.42578125" customWidth="1"/>
    <col min="15" max="15" width="27.42578125" bestFit="1" customWidth="1"/>
    <col min="16" max="16" width="19.28515625" customWidth="1"/>
    <col min="17" max="17" width="22.7109375" customWidth="1"/>
    <col min="18" max="18" width="25.85546875" bestFit="1" customWidth="1"/>
    <col min="19" max="19" width="16.5703125" bestFit="1" customWidth="1"/>
    <col min="20" max="20" width="11.28515625" customWidth="1"/>
    <col min="21" max="21" width="22" bestFit="1" customWidth="1"/>
    <col min="22" max="22" width="13.7109375" bestFit="1" customWidth="1"/>
    <col min="23" max="23" width="7.140625" customWidth="1"/>
  </cols>
  <sheetData>
    <row r="1" spans="1:21" x14ac:dyDescent="0.2"/>
    <row r="4" spans="1:21" x14ac:dyDescent="0.2">
      <c r="A4" s="1606" t="s">
        <v>4</v>
      </c>
      <c r="B4" s="1606" t="s">
        <v>1111</v>
      </c>
      <c r="C4" s="1606" t="s">
        <v>1112</v>
      </c>
      <c r="D4" s="1606" t="s">
        <v>1113</v>
      </c>
      <c r="E4" s="1606" t="s">
        <v>1114</v>
      </c>
      <c r="F4" s="1606" t="s">
        <v>1115</v>
      </c>
      <c r="G4" s="1606" t="s">
        <v>1116</v>
      </c>
      <c r="H4" s="1606" t="s">
        <v>1117</v>
      </c>
      <c r="I4" s="1606" t="s">
        <v>1118</v>
      </c>
      <c r="J4" s="1606" t="s">
        <v>1119</v>
      </c>
      <c r="K4" s="1606" t="s">
        <v>1120</v>
      </c>
      <c r="L4" s="1606" t="s">
        <v>1121</v>
      </c>
      <c r="M4" s="1606" t="s">
        <v>1122</v>
      </c>
      <c r="N4" s="1606" t="s">
        <v>1123</v>
      </c>
      <c r="O4" s="1606" t="s">
        <v>1124</v>
      </c>
      <c r="P4" s="1606" t="s">
        <v>1125</v>
      </c>
      <c r="Q4" s="1606" t="s">
        <v>1126</v>
      </c>
      <c r="R4" s="1606" t="s">
        <v>1127</v>
      </c>
      <c r="S4" s="1606" t="s">
        <v>1128</v>
      </c>
      <c r="T4" s="1606" t="s">
        <v>1129</v>
      </c>
      <c r="U4" s="1606" t="s">
        <v>1130</v>
      </c>
    </row>
    <row r="5" spans="1:21" x14ac:dyDescent="0.2">
      <c r="A5" s="1607" t="s">
        <v>160</v>
      </c>
      <c r="B5" s="1607">
        <v>2444</v>
      </c>
      <c r="C5" s="1607">
        <v>89</v>
      </c>
      <c r="D5" s="1607">
        <v>1488</v>
      </c>
      <c r="E5" s="1607">
        <v>176</v>
      </c>
      <c r="F5" s="1607">
        <v>526</v>
      </c>
      <c r="G5" s="1607">
        <v>51</v>
      </c>
      <c r="H5" s="1607">
        <v>652</v>
      </c>
      <c r="I5" s="1607">
        <v>523</v>
      </c>
      <c r="J5" s="1607">
        <v>113</v>
      </c>
      <c r="K5" s="1607">
        <v>183</v>
      </c>
      <c r="L5" s="1607">
        <v>222</v>
      </c>
      <c r="M5" s="1607">
        <v>283</v>
      </c>
      <c r="N5" s="1607">
        <v>384</v>
      </c>
      <c r="O5" s="1607">
        <v>2495</v>
      </c>
      <c r="P5" s="1607">
        <v>403</v>
      </c>
      <c r="Q5" s="1607">
        <v>1331</v>
      </c>
      <c r="R5" s="1607">
        <v>8</v>
      </c>
      <c r="S5" s="1607">
        <v>76</v>
      </c>
      <c r="T5" s="1607">
        <v>1201</v>
      </c>
      <c r="U5" s="1607">
        <v>192</v>
      </c>
    </row>
    <row r="6" spans="1:21" x14ac:dyDescent="0.2">
      <c r="A6" s="1607" t="s">
        <v>379</v>
      </c>
      <c r="B6" s="1607">
        <v>2461</v>
      </c>
      <c r="C6" s="1607">
        <v>85</v>
      </c>
      <c r="D6" s="1607">
        <v>1005</v>
      </c>
      <c r="E6" s="1607">
        <v>119</v>
      </c>
      <c r="F6" s="1607">
        <v>546</v>
      </c>
      <c r="G6" s="1607">
        <v>71</v>
      </c>
      <c r="H6" s="1607">
        <v>695</v>
      </c>
      <c r="I6" s="1607">
        <v>539</v>
      </c>
      <c r="J6" s="1607">
        <v>138</v>
      </c>
      <c r="K6" s="1607">
        <v>193</v>
      </c>
      <c r="L6" s="1607">
        <v>255</v>
      </c>
      <c r="M6" s="1607">
        <v>273</v>
      </c>
      <c r="N6" s="1607">
        <v>401</v>
      </c>
      <c r="O6" s="1607">
        <v>2852</v>
      </c>
      <c r="P6" s="1607">
        <v>216</v>
      </c>
      <c r="Q6" s="1607">
        <v>1122</v>
      </c>
      <c r="R6" s="1607">
        <v>7</v>
      </c>
      <c r="S6" s="1607">
        <v>73</v>
      </c>
      <c r="T6" s="1607">
        <v>1167</v>
      </c>
      <c r="U6" s="1607">
        <v>151</v>
      </c>
    </row>
    <row r="7" spans="1:21" x14ac:dyDescent="0.2">
      <c r="A7" s="1607" t="s">
        <v>603</v>
      </c>
      <c r="B7" s="1607">
        <v>2525</v>
      </c>
      <c r="C7" s="1607">
        <v>84</v>
      </c>
      <c r="D7" s="1607">
        <v>1297</v>
      </c>
      <c r="E7" s="1607">
        <v>146</v>
      </c>
      <c r="F7" s="1607">
        <v>559</v>
      </c>
      <c r="G7" s="1607">
        <v>84</v>
      </c>
      <c r="H7" s="1607">
        <v>717</v>
      </c>
      <c r="I7" s="1607">
        <v>486</v>
      </c>
      <c r="J7" s="1607">
        <v>132</v>
      </c>
      <c r="K7" s="1607">
        <v>192</v>
      </c>
      <c r="L7" s="1607">
        <v>196</v>
      </c>
      <c r="M7" s="1607">
        <v>261</v>
      </c>
      <c r="N7" s="1607">
        <v>415</v>
      </c>
      <c r="O7" s="1607">
        <v>3116</v>
      </c>
      <c r="P7" s="1607">
        <v>293</v>
      </c>
      <c r="Q7" s="1607">
        <v>1212</v>
      </c>
      <c r="R7" s="1607">
        <v>3</v>
      </c>
      <c r="S7" s="1607">
        <v>76</v>
      </c>
      <c r="T7" s="1607">
        <v>1164</v>
      </c>
      <c r="U7" s="1607">
        <v>170</v>
      </c>
    </row>
    <row r="10" spans="1:21" x14ac:dyDescent="0.2">
      <c r="A10" s="1608" t="s">
        <v>4</v>
      </c>
      <c r="B10" s="1608" t="s">
        <v>1131</v>
      </c>
      <c r="C10" s="1608" t="s">
        <v>1132</v>
      </c>
      <c r="D10" s="1608" t="s">
        <v>1133</v>
      </c>
      <c r="E10" s="1608" t="s">
        <v>1134</v>
      </c>
      <c r="F10" s="1608" t="s">
        <v>1135</v>
      </c>
      <c r="G10" s="1608" t="s">
        <v>1136</v>
      </c>
      <c r="H10" s="1608" t="s">
        <v>1137</v>
      </c>
      <c r="I10" s="1608" t="s">
        <v>1138</v>
      </c>
      <c r="J10" s="1608" t="s">
        <v>1139</v>
      </c>
      <c r="K10" s="1608" t="s">
        <v>1140</v>
      </c>
      <c r="L10" s="1608" t="s">
        <v>1141</v>
      </c>
    </row>
    <row r="11" spans="1:21" x14ac:dyDescent="0.2">
      <c r="A11" s="1607" t="s">
        <v>160</v>
      </c>
      <c r="B11" s="1607" t="s">
        <v>73</v>
      </c>
      <c r="C11" s="1607">
        <v>2444</v>
      </c>
      <c r="D11" s="1607">
        <v>560</v>
      </c>
      <c r="E11" s="1607">
        <v>106</v>
      </c>
      <c r="F11" s="1607">
        <v>979</v>
      </c>
      <c r="G11" s="1607">
        <v>374</v>
      </c>
      <c r="H11" s="1607">
        <v>72</v>
      </c>
      <c r="I11" s="1607">
        <v>181</v>
      </c>
      <c r="J11" s="1607">
        <v>60</v>
      </c>
      <c r="K11" s="1607">
        <v>34</v>
      </c>
      <c r="L11" s="1607">
        <v>78</v>
      </c>
    </row>
    <row r="12" spans="1:21" x14ac:dyDescent="0.2">
      <c r="A12" s="1607" t="s">
        <v>379</v>
      </c>
      <c r="B12" s="1607" t="s">
        <v>73</v>
      </c>
      <c r="C12" s="1607">
        <v>2461</v>
      </c>
      <c r="D12" s="1607">
        <v>520</v>
      </c>
      <c r="E12" s="1607">
        <v>96</v>
      </c>
      <c r="F12" s="1607">
        <v>1035</v>
      </c>
      <c r="G12" s="1607">
        <v>380</v>
      </c>
      <c r="H12" s="1607">
        <v>79</v>
      </c>
      <c r="I12" s="1607">
        <v>200</v>
      </c>
      <c r="J12" s="1607">
        <v>40</v>
      </c>
      <c r="K12" s="1607">
        <v>33</v>
      </c>
      <c r="L12" s="1607">
        <v>78</v>
      </c>
    </row>
    <row r="13" spans="1:21" x14ac:dyDescent="0.2">
      <c r="A13" s="1607" t="s">
        <v>603</v>
      </c>
      <c r="B13" s="1607" t="s">
        <v>73</v>
      </c>
      <c r="C13" s="1607">
        <v>2525</v>
      </c>
      <c r="D13" s="1607">
        <v>543</v>
      </c>
      <c r="E13" s="1607">
        <v>111</v>
      </c>
      <c r="F13" s="1607">
        <v>1010</v>
      </c>
      <c r="G13" s="1607">
        <v>371</v>
      </c>
      <c r="H13" s="1607">
        <v>83</v>
      </c>
      <c r="I13" s="1607">
        <v>244</v>
      </c>
      <c r="J13" s="1607">
        <v>52</v>
      </c>
      <c r="K13" s="1607">
        <v>36</v>
      </c>
      <c r="L13" s="1607">
        <v>75</v>
      </c>
    </row>
    <row r="20" spans="1:23" x14ac:dyDescent="0.2">
      <c r="A20" s="1608" t="s">
        <v>4</v>
      </c>
      <c r="B20" s="1608" t="s">
        <v>1142</v>
      </c>
      <c r="C20" s="1608" t="s">
        <v>1143</v>
      </c>
      <c r="D20" s="1608" t="s">
        <v>1144</v>
      </c>
      <c r="E20" s="1608" t="s">
        <v>1145</v>
      </c>
      <c r="F20" s="1608" t="s">
        <v>1146</v>
      </c>
      <c r="G20" s="1608" t="s">
        <v>1147</v>
      </c>
      <c r="H20" s="1608" t="s">
        <v>1148</v>
      </c>
    </row>
    <row r="21" spans="1:23" x14ac:dyDescent="0.2">
      <c r="A21" s="1607" t="s">
        <v>160</v>
      </c>
      <c r="B21" s="1607">
        <v>1488</v>
      </c>
      <c r="C21" s="1607">
        <v>52</v>
      </c>
      <c r="D21" s="1607">
        <v>360</v>
      </c>
      <c r="E21" s="1607">
        <v>88</v>
      </c>
      <c r="F21" s="1607">
        <v>321</v>
      </c>
      <c r="G21" s="1607">
        <v>308</v>
      </c>
      <c r="H21" s="1607">
        <v>359</v>
      </c>
    </row>
    <row r="22" spans="1:23" x14ac:dyDescent="0.2">
      <c r="A22" s="1607" t="s">
        <v>379</v>
      </c>
      <c r="B22" s="1607">
        <v>1005</v>
      </c>
      <c r="C22" s="1607">
        <v>3</v>
      </c>
      <c r="D22" s="1607">
        <v>94</v>
      </c>
      <c r="E22" s="1607">
        <v>38</v>
      </c>
      <c r="F22" s="1607">
        <v>232</v>
      </c>
      <c r="G22" s="1607">
        <v>316</v>
      </c>
      <c r="H22" s="1607">
        <v>322</v>
      </c>
    </row>
    <row r="23" spans="1:23" x14ac:dyDescent="0.2">
      <c r="A23" s="1607" t="s">
        <v>603</v>
      </c>
      <c r="B23" s="1607">
        <v>1297</v>
      </c>
      <c r="C23" s="1607">
        <v>11</v>
      </c>
      <c r="D23" s="1607">
        <v>98</v>
      </c>
      <c r="E23" s="1607">
        <v>46</v>
      </c>
      <c r="F23" s="1607">
        <v>251</v>
      </c>
      <c r="G23" s="1607">
        <v>454</v>
      </c>
      <c r="H23" s="1607">
        <v>437</v>
      </c>
    </row>
    <row r="30" spans="1:23" x14ac:dyDescent="0.2">
      <c r="A30" s="1608" t="s">
        <v>4</v>
      </c>
      <c r="B30" s="1608" t="s">
        <v>1081</v>
      </c>
      <c r="C30" s="1608" t="s">
        <v>1111</v>
      </c>
      <c r="D30" s="1608" t="s">
        <v>1112</v>
      </c>
      <c r="E30" s="1608" t="s">
        <v>1113</v>
      </c>
      <c r="F30" s="1608" t="s">
        <v>1114</v>
      </c>
      <c r="G30" s="1608" t="s">
        <v>1115</v>
      </c>
      <c r="H30" s="1608" t="s">
        <v>1116</v>
      </c>
      <c r="I30" s="1608" t="s">
        <v>1117</v>
      </c>
      <c r="J30" s="1608" t="s">
        <v>1118</v>
      </c>
      <c r="K30" s="1608" t="s">
        <v>1119</v>
      </c>
      <c r="L30" s="1608" t="s">
        <v>1120</v>
      </c>
      <c r="M30" s="1608" t="s">
        <v>1121</v>
      </c>
      <c r="N30" s="1608" t="s">
        <v>1122</v>
      </c>
      <c r="O30" s="1608" t="s">
        <v>1123</v>
      </c>
      <c r="P30" s="1608" t="s">
        <v>1124</v>
      </c>
      <c r="Q30" s="1608" t="s">
        <v>1125</v>
      </c>
      <c r="R30" s="1608" t="s">
        <v>1126</v>
      </c>
      <c r="S30" s="1608" t="s">
        <v>1127</v>
      </c>
      <c r="T30" s="1608" t="s">
        <v>1128</v>
      </c>
      <c r="U30" s="1608" t="s">
        <v>1129</v>
      </c>
      <c r="V30" s="1608" t="s">
        <v>1130</v>
      </c>
      <c r="W30" s="1608" t="s">
        <v>1086</v>
      </c>
    </row>
    <row r="31" spans="1:23" x14ac:dyDescent="0.2">
      <c r="A31" s="1607" t="s">
        <v>160</v>
      </c>
      <c r="B31" s="1607" t="s">
        <v>23</v>
      </c>
      <c r="C31" s="1607">
        <v>58</v>
      </c>
      <c r="D31" s="1607">
        <v>12</v>
      </c>
      <c r="E31" s="1607">
        <v>43</v>
      </c>
      <c r="F31" s="1607">
        <v>4</v>
      </c>
      <c r="G31" s="1607">
        <v>23</v>
      </c>
      <c r="H31" s="1607">
        <v>2</v>
      </c>
      <c r="I31" s="1607">
        <v>117</v>
      </c>
      <c r="J31" s="1607">
        <v>11</v>
      </c>
      <c r="K31" s="1607">
        <v>3</v>
      </c>
      <c r="L31" s="1607">
        <v>5</v>
      </c>
      <c r="M31" s="1607">
        <v>9</v>
      </c>
      <c r="N31" s="1607">
        <v>7</v>
      </c>
      <c r="O31" s="1607">
        <v>11</v>
      </c>
      <c r="P31" s="1607">
        <v>113</v>
      </c>
      <c r="Q31" s="1607">
        <v>21</v>
      </c>
      <c r="R31" s="1607">
        <v>58</v>
      </c>
      <c r="S31" s="1607">
        <v>0</v>
      </c>
      <c r="T31" s="1607">
        <v>15</v>
      </c>
      <c r="U31" s="1607">
        <v>27</v>
      </c>
      <c r="V31" s="1607">
        <v>39</v>
      </c>
      <c r="W31" s="1607">
        <v>230350</v>
      </c>
    </row>
    <row r="32" spans="1:23" x14ac:dyDescent="0.2">
      <c r="A32" s="1607" t="s">
        <v>160</v>
      </c>
      <c r="B32" s="1607" t="s">
        <v>24</v>
      </c>
      <c r="C32" s="1607">
        <v>187</v>
      </c>
      <c r="D32" s="1607">
        <v>5</v>
      </c>
      <c r="E32" s="1607">
        <v>84</v>
      </c>
      <c r="F32" s="1607">
        <v>15</v>
      </c>
      <c r="G32" s="1607">
        <v>13</v>
      </c>
      <c r="H32" s="1607">
        <v>0</v>
      </c>
      <c r="I32" s="1607">
        <v>11</v>
      </c>
      <c r="J32" s="1607">
        <v>69</v>
      </c>
      <c r="K32" s="1607">
        <v>5</v>
      </c>
      <c r="L32" s="1607">
        <v>2</v>
      </c>
      <c r="M32" s="1607">
        <v>4</v>
      </c>
      <c r="N32" s="1607">
        <v>4</v>
      </c>
      <c r="O32" s="1607">
        <v>16</v>
      </c>
      <c r="P32" s="1607">
        <v>51</v>
      </c>
      <c r="Q32" s="1607">
        <v>9</v>
      </c>
      <c r="R32" s="1607">
        <v>29</v>
      </c>
      <c r="S32" s="1607">
        <v>0</v>
      </c>
      <c r="T32" s="1607">
        <v>1</v>
      </c>
      <c r="U32" s="1607">
        <v>32</v>
      </c>
      <c r="V32" s="1607">
        <v>4</v>
      </c>
      <c r="W32" s="1607">
        <v>261960</v>
      </c>
    </row>
    <row r="33" spans="1:23" x14ac:dyDescent="0.2">
      <c r="A33" s="1607" t="s">
        <v>160</v>
      </c>
      <c r="B33" s="1607" t="s">
        <v>25</v>
      </c>
      <c r="C33" s="1607">
        <v>69</v>
      </c>
      <c r="D33" s="1607">
        <v>1</v>
      </c>
      <c r="E33" s="1607">
        <v>56</v>
      </c>
      <c r="F33" s="1607">
        <v>5</v>
      </c>
      <c r="G33" s="1607">
        <v>9</v>
      </c>
      <c r="H33" s="1607">
        <v>0</v>
      </c>
      <c r="I33" s="1607">
        <v>1</v>
      </c>
      <c r="J33" s="1607">
        <v>6</v>
      </c>
      <c r="K33" s="1607">
        <v>2</v>
      </c>
      <c r="L33" s="1607">
        <v>1</v>
      </c>
      <c r="M33" s="1607">
        <v>3</v>
      </c>
      <c r="N33" s="1607">
        <v>3</v>
      </c>
      <c r="O33" s="1607">
        <v>9</v>
      </c>
      <c r="P33" s="1607">
        <v>39</v>
      </c>
      <c r="Q33" s="1607">
        <v>15</v>
      </c>
      <c r="R33" s="1607">
        <v>2</v>
      </c>
      <c r="S33" s="1607">
        <v>0</v>
      </c>
      <c r="T33" s="1607">
        <v>0</v>
      </c>
      <c r="U33" s="1607">
        <v>17</v>
      </c>
      <c r="V33" s="1607">
        <v>2</v>
      </c>
      <c r="W33" s="1607">
        <v>116900</v>
      </c>
    </row>
    <row r="34" spans="1:23" x14ac:dyDescent="0.2">
      <c r="A34" s="1607" t="s">
        <v>160</v>
      </c>
      <c r="B34" s="1607" t="s">
        <v>26</v>
      </c>
      <c r="C34" s="1607">
        <v>70</v>
      </c>
      <c r="D34" s="1607">
        <v>1</v>
      </c>
      <c r="E34" s="1607">
        <v>34</v>
      </c>
      <c r="F34" s="1607">
        <v>4</v>
      </c>
      <c r="G34" s="1607">
        <v>5</v>
      </c>
      <c r="H34" s="1607">
        <v>0</v>
      </c>
      <c r="I34" s="1607">
        <v>7</v>
      </c>
      <c r="J34" s="1607">
        <v>9</v>
      </c>
      <c r="K34" s="1607">
        <v>1</v>
      </c>
      <c r="L34" s="1607">
        <v>0</v>
      </c>
      <c r="M34" s="1607">
        <v>4</v>
      </c>
      <c r="N34" s="1607">
        <v>3</v>
      </c>
      <c r="O34" s="1607">
        <v>8</v>
      </c>
      <c r="P34" s="1607">
        <v>20</v>
      </c>
      <c r="Q34" s="1607">
        <v>4</v>
      </c>
      <c r="R34" s="1607">
        <v>20</v>
      </c>
      <c r="S34" s="1607">
        <v>2</v>
      </c>
      <c r="T34" s="1607">
        <v>31</v>
      </c>
      <c r="U34" s="1607">
        <v>50</v>
      </c>
      <c r="V34" s="1607">
        <v>2</v>
      </c>
      <c r="W34" s="1607">
        <v>86890</v>
      </c>
    </row>
    <row r="35" spans="1:23" x14ac:dyDescent="0.2">
      <c r="A35" s="1607" t="s">
        <v>160</v>
      </c>
      <c r="B35" s="1607" t="s">
        <v>27</v>
      </c>
      <c r="C35" s="1607">
        <v>19</v>
      </c>
      <c r="D35" s="1607">
        <v>1</v>
      </c>
      <c r="E35" s="1607">
        <v>6</v>
      </c>
      <c r="F35" s="1607">
        <v>0</v>
      </c>
      <c r="G35" s="1607">
        <v>6</v>
      </c>
      <c r="H35" s="1607">
        <v>0</v>
      </c>
      <c r="I35" s="1607">
        <v>0</v>
      </c>
      <c r="J35" s="1607">
        <v>6</v>
      </c>
      <c r="K35" s="1607">
        <v>1</v>
      </c>
      <c r="L35" s="1607">
        <v>1</v>
      </c>
      <c r="M35" s="1607">
        <v>2</v>
      </c>
      <c r="N35" s="1607">
        <v>5</v>
      </c>
      <c r="O35" s="1607">
        <v>7</v>
      </c>
      <c r="P35" s="1607">
        <v>16</v>
      </c>
      <c r="Q35" s="1607">
        <v>2</v>
      </c>
      <c r="R35" s="1607">
        <v>0</v>
      </c>
      <c r="S35" s="1607">
        <v>0</v>
      </c>
      <c r="T35" s="1607">
        <v>0</v>
      </c>
      <c r="U35" s="1607">
        <v>21</v>
      </c>
      <c r="V35" s="1607">
        <v>0</v>
      </c>
      <c r="W35" s="1607">
        <v>51360</v>
      </c>
    </row>
    <row r="36" spans="1:23" x14ac:dyDescent="0.2">
      <c r="A36" s="1607" t="s">
        <v>160</v>
      </c>
      <c r="B36" s="1607" t="s">
        <v>28</v>
      </c>
      <c r="C36" s="1607">
        <v>102</v>
      </c>
      <c r="D36" s="1607">
        <v>2</v>
      </c>
      <c r="E36" s="1607">
        <v>69</v>
      </c>
      <c r="F36" s="1607">
        <v>9</v>
      </c>
      <c r="G36" s="1607">
        <v>18</v>
      </c>
      <c r="H36" s="1607">
        <v>2</v>
      </c>
      <c r="I36" s="1607">
        <v>17</v>
      </c>
      <c r="J36" s="1607">
        <v>18</v>
      </c>
      <c r="K36" s="1607">
        <v>3</v>
      </c>
      <c r="L36" s="1607">
        <v>6</v>
      </c>
      <c r="M36" s="1607">
        <v>15</v>
      </c>
      <c r="N36" s="1607">
        <v>6</v>
      </c>
      <c r="O36" s="1607">
        <v>16</v>
      </c>
      <c r="P36" s="1607">
        <v>49</v>
      </c>
      <c r="Q36" s="1607">
        <v>9</v>
      </c>
      <c r="R36" s="1607">
        <v>7</v>
      </c>
      <c r="S36" s="1607">
        <v>0</v>
      </c>
      <c r="T36" s="1607">
        <v>0</v>
      </c>
      <c r="U36" s="1607">
        <v>23</v>
      </c>
      <c r="V36" s="1607">
        <v>5</v>
      </c>
      <c r="W36" s="1607">
        <v>149670</v>
      </c>
    </row>
    <row r="37" spans="1:23" x14ac:dyDescent="0.2">
      <c r="A37" s="1607" t="s">
        <v>160</v>
      </c>
      <c r="B37" s="1607" t="s">
        <v>29</v>
      </c>
      <c r="C37" s="1607">
        <v>40</v>
      </c>
      <c r="D37" s="1607">
        <v>4</v>
      </c>
      <c r="E37" s="1607">
        <v>35</v>
      </c>
      <c r="F37" s="1607">
        <v>3</v>
      </c>
      <c r="G37" s="1607">
        <v>20</v>
      </c>
      <c r="H37" s="1607">
        <v>4</v>
      </c>
      <c r="I37" s="1607">
        <v>34</v>
      </c>
      <c r="J37" s="1607">
        <v>11</v>
      </c>
      <c r="K37" s="1607">
        <v>1</v>
      </c>
      <c r="L37" s="1607">
        <v>9</v>
      </c>
      <c r="M37" s="1607">
        <v>20</v>
      </c>
      <c r="N37" s="1607">
        <v>13</v>
      </c>
      <c r="O37" s="1607">
        <v>15</v>
      </c>
      <c r="P37" s="1607">
        <v>97</v>
      </c>
      <c r="Q37" s="1607">
        <v>62</v>
      </c>
      <c r="R37" s="1607">
        <v>12</v>
      </c>
      <c r="S37" s="1607">
        <v>0</v>
      </c>
      <c r="T37" s="1607">
        <v>0</v>
      </c>
      <c r="U37" s="1607">
        <v>20</v>
      </c>
      <c r="V37" s="1607">
        <v>5</v>
      </c>
      <c r="W37" s="1607">
        <v>148210</v>
      </c>
    </row>
    <row r="38" spans="1:23" x14ac:dyDescent="0.2">
      <c r="A38" s="1607" t="s">
        <v>160</v>
      </c>
      <c r="B38" s="1607" t="s">
        <v>30</v>
      </c>
      <c r="C38" s="1607">
        <v>66</v>
      </c>
      <c r="D38" s="1607">
        <v>4</v>
      </c>
      <c r="E38" s="1607">
        <v>24</v>
      </c>
      <c r="F38" s="1607">
        <v>1</v>
      </c>
      <c r="G38" s="1607">
        <v>12</v>
      </c>
      <c r="H38" s="1607">
        <v>0</v>
      </c>
      <c r="I38" s="1607">
        <v>3</v>
      </c>
      <c r="J38" s="1607">
        <v>3</v>
      </c>
      <c r="K38" s="1607">
        <v>0</v>
      </c>
      <c r="L38" s="1607">
        <v>3</v>
      </c>
      <c r="M38" s="1607">
        <v>2</v>
      </c>
      <c r="N38" s="1607">
        <v>1</v>
      </c>
      <c r="O38" s="1607">
        <v>8</v>
      </c>
      <c r="P38" s="1607">
        <v>24</v>
      </c>
      <c r="Q38" s="1607">
        <v>4</v>
      </c>
      <c r="R38" s="1607">
        <v>41</v>
      </c>
      <c r="S38" s="1607">
        <v>0</v>
      </c>
      <c r="T38" s="1607">
        <v>1</v>
      </c>
      <c r="U38" s="1607">
        <v>15</v>
      </c>
      <c r="V38" s="1607">
        <v>3</v>
      </c>
      <c r="W38" s="1607">
        <v>122060</v>
      </c>
    </row>
    <row r="39" spans="1:23" x14ac:dyDescent="0.2">
      <c r="A39" s="1607" t="s">
        <v>160</v>
      </c>
      <c r="B39" s="1607" t="s">
        <v>31</v>
      </c>
      <c r="C39" s="1607">
        <v>24</v>
      </c>
      <c r="D39" s="1607">
        <v>1</v>
      </c>
      <c r="E39" s="1607">
        <v>20</v>
      </c>
      <c r="F39" s="1607">
        <v>3</v>
      </c>
      <c r="G39" s="1607">
        <v>4</v>
      </c>
      <c r="H39" s="1607">
        <v>0</v>
      </c>
      <c r="I39" s="1607">
        <v>3</v>
      </c>
      <c r="J39" s="1607">
        <v>8</v>
      </c>
      <c r="K39" s="1607">
        <v>0</v>
      </c>
      <c r="L39" s="1607">
        <v>0</v>
      </c>
      <c r="M39" s="1607">
        <v>1</v>
      </c>
      <c r="N39" s="1607">
        <v>16</v>
      </c>
      <c r="O39" s="1607">
        <v>7</v>
      </c>
      <c r="P39" s="1607">
        <v>38</v>
      </c>
      <c r="Q39" s="1607">
        <v>1</v>
      </c>
      <c r="R39" s="1607">
        <v>30</v>
      </c>
      <c r="S39" s="1607">
        <v>0</v>
      </c>
      <c r="T39" s="1607">
        <v>0</v>
      </c>
      <c r="U39" s="1607">
        <v>11</v>
      </c>
      <c r="V39" s="1607">
        <v>1</v>
      </c>
      <c r="W39" s="1607">
        <v>106960</v>
      </c>
    </row>
    <row r="40" spans="1:23" x14ac:dyDescent="0.2">
      <c r="A40" s="1607" t="s">
        <v>160</v>
      </c>
      <c r="B40" s="1607" t="s">
        <v>32</v>
      </c>
      <c r="C40" s="1607">
        <v>57</v>
      </c>
      <c r="D40" s="1607">
        <v>2</v>
      </c>
      <c r="E40" s="1607">
        <v>12</v>
      </c>
      <c r="F40" s="1607">
        <v>2</v>
      </c>
      <c r="G40" s="1607">
        <v>15</v>
      </c>
      <c r="H40" s="1607">
        <v>1</v>
      </c>
      <c r="I40" s="1607">
        <v>4</v>
      </c>
      <c r="J40" s="1607">
        <v>24</v>
      </c>
      <c r="K40" s="1607">
        <v>3</v>
      </c>
      <c r="L40" s="1607">
        <v>10</v>
      </c>
      <c r="M40" s="1607">
        <v>2</v>
      </c>
      <c r="N40" s="1607">
        <v>4</v>
      </c>
      <c r="O40" s="1607">
        <v>7</v>
      </c>
      <c r="P40" s="1607">
        <v>34</v>
      </c>
      <c r="Q40" s="1607">
        <v>8</v>
      </c>
      <c r="R40" s="1607">
        <v>12</v>
      </c>
      <c r="S40" s="1607">
        <v>0</v>
      </c>
      <c r="T40" s="1607">
        <v>0</v>
      </c>
      <c r="U40" s="1607">
        <v>14</v>
      </c>
      <c r="V40" s="1607">
        <v>3</v>
      </c>
      <c r="W40" s="1607">
        <v>103050</v>
      </c>
    </row>
    <row r="41" spans="1:23" x14ac:dyDescent="0.2">
      <c r="A41" s="1607" t="s">
        <v>160</v>
      </c>
      <c r="B41" s="1607" t="s">
        <v>33</v>
      </c>
      <c r="C41" s="1607">
        <v>22</v>
      </c>
      <c r="D41" s="1607">
        <v>0</v>
      </c>
      <c r="E41" s="1607">
        <v>14</v>
      </c>
      <c r="F41" s="1607">
        <v>1</v>
      </c>
      <c r="G41" s="1607">
        <v>9</v>
      </c>
      <c r="H41" s="1607">
        <v>0</v>
      </c>
      <c r="I41" s="1607">
        <v>3</v>
      </c>
      <c r="J41" s="1607">
        <v>3</v>
      </c>
      <c r="K41" s="1607">
        <v>0</v>
      </c>
      <c r="L41" s="1607">
        <v>1</v>
      </c>
      <c r="M41" s="1607">
        <v>1</v>
      </c>
      <c r="N41" s="1607">
        <v>4</v>
      </c>
      <c r="O41" s="1607">
        <v>5</v>
      </c>
      <c r="P41" s="1607">
        <v>30</v>
      </c>
      <c r="Q41" s="1607">
        <v>2</v>
      </c>
      <c r="R41" s="1607">
        <v>18</v>
      </c>
      <c r="S41" s="1607">
        <v>1</v>
      </c>
      <c r="T41" s="1607">
        <v>0</v>
      </c>
      <c r="U41" s="1607">
        <v>12</v>
      </c>
      <c r="V41" s="1607">
        <v>1</v>
      </c>
      <c r="W41" s="1607">
        <v>92940</v>
      </c>
    </row>
    <row r="42" spans="1:23" x14ac:dyDescent="0.2">
      <c r="A42" s="1607" t="s">
        <v>160</v>
      </c>
      <c r="B42" s="1607" t="s">
        <v>665</v>
      </c>
      <c r="C42" s="1607">
        <v>143</v>
      </c>
      <c r="D42" s="1607">
        <v>10</v>
      </c>
      <c r="E42" s="1607">
        <v>138</v>
      </c>
      <c r="F42" s="1607">
        <v>7</v>
      </c>
      <c r="G42" s="1607">
        <v>68</v>
      </c>
      <c r="H42" s="1607">
        <v>4</v>
      </c>
      <c r="I42" s="1607">
        <v>109</v>
      </c>
      <c r="J42" s="1607">
        <v>49</v>
      </c>
      <c r="K42" s="1607">
        <v>7</v>
      </c>
      <c r="L42" s="1607">
        <v>40</v>
      </c>
      <c r="M42" s="1607">
        <v>30</v>
      </c>
      <c r="N42" s="1607">
        <v>33</v>
      </c>
      <c r="O42" s="1607">
        <v>21</v>
      </c>
      <c r="P42" s="1607">
        <v>487</v>
      </c>
      <c r="Q42" s="1607">
        <v>57</v>
      </c>
      <c r="R42" s="1607">
        <v>143</v>
      </c>
      <c r="S42" s="1607">
        <v>1</v>
      </c>
      <c r="T42" s="1607">
        <v>2</v>
      </c>
      <c r="U42" s="1607">
        <v>79</v>
      </c>
      <c r="V42" s="1607">
        <v>20</v>
      </c>
      <c r="W42" s="1607">
        <v>498810</v>
      </c>
    </row>
    <row r="43" spans="1:23" x14ac:dyDescent="0.2">
      <c r="A43" s="1607" t="s">
        <v>160</v>
      </c>
      <c r="B43" s="1607" t="s">
        <v>34</v>
      </c>
      <c r="C43" s="1607">
        <v>72</v>
      </c>
      <c r="D43" s="1607">
        <v>1</v>
      </c>
      <c r="E43" s="1607">
        <v>27</v>
      </c>
      <c r="F43" s="1607">
        <v>5</v>
      </c>
      <c r="G43" s="1607">
        <v>17</v>
      </c>
      <c r="H43" s="1607">
        <v>2</v>
      </c>
      <c r="I43" s="1607">
        <v>8</v>
      </c>
      <c r="J43" s="1607">
        <v>17</v>
      </c>
      <c r="K43" s="1607">
        <v>3</v>
      </c>
      <c r="L43" s="1607">
        <v>3</v>
      </c>
      <c r="M43" s="1607">
        <v>6</v>
      </c>
      <c r="N43" s="1607">
        <v>5</v>
      </c>
      <c r="O43" s="1607">
        <v>10</v>
      </c>
      <c r="P43" s="1607">
        <v>50</v>
      </c>
      <c r="Q43" s="1607">
        <v>6</v>
      </c>
      <c r="R43" s="1607">
        <v>25</v>
      </c>
      <c r="S43" s="1607">
        <v>0</v>
      </c>
      <c r="T43" s="1607">
        <v>2</v>
      </c>
      <c r="U43" s="1607">
        <v>67</v>
      </c>
      <c r="V43" s="1607">
        <v>3</v>
      </c>
      <c r="W43" s="1607">
        <v>158460</v>
      </c>
    </row>
    <row r="44" spans="1:23" x14ac:dyDescent="0.2">
      <c r="A44" s="1607" t="s">
        <v>160</v>
      </c>
      <c r="B44" s="1607" t="s">
        <v>35</v>
      </c>
      <c r="C44" s="1607">
        <v>149</v>
      </c>
      <c r="D44" s="1607">
        <v>3</v>
      </c>
      <c r="E44" s="1607">
        <v>63</v>
      </c>
      <c r="F44" s="1607">
        <v>7</v>
      </c>
      <c r="G44" s="1607">
        <v>53</v>
      </c>
      <c r="H44" s="1607">
        <v>3</v>
      </c>
      <c r="I44" s="1607">
        <v>26</v>
      </c>
      <c r="J44" s="1607">
        <v>34</v>
      </c>
      <c r="K44" s="1607">
        <v>14</v>
      </c>
      <c r="L44" s="1607">
        <v>16</v>
      </c>
      <c r="M44" s="1607">
        <v>11</v>
      </c>
      <c r="N44" s="1607">
        <v>16</v>
      </c>
      <c r="O44" s="1607">
        <v>28</v>
      </c>
      <c r="P44" s="1607">
        <v>109</v>
      </c>
      <c r="Q44" s="1607">
        <v>19</v>
      </c>
      <c r="R44" s="1607">
        <v>32</v>
      </c>
      <c r="S44" s="1607">
        <v>0</v>
      </c>
      <c r="T44" s="1607">
        <v>1</v>
      </c>
      <c r="U44" s="1607">
        <v>75</v>
      </c>
      <c r="V44" s="1607">
        <v>8</v>
      </c>
      <c r="W44" s="1607">
        <v>368080</v>
      </c>
    </row>
    <row r="45" spans="1:23" x14ac:dyDescent="0.2">
      <c r="A45" s="1607" t="s">
        <v>160</v>
      </c>
      <c r="B45" s="1607" t="s">
        <v>36</v>
      </c>
      <c r="C45" s="1607">
        <v>188</v>
      </c>
      <c r="D45" s="1607">
        <v>3</v>
      </c>
      <c r="E45" s="1607">
        <v>210</v>
      </c>
      <c r="F45" s="1607">
        <v>25</v>
      </c>
      <c r="G45" s="1607">
        <v>71</v>
      </c>
      <c r="H45" s="1607">
        <v>9</v>
      </c>
      <c r="I45" s="1607">
        <v>132</v>
      </c>
      <c r="J45" s="1607">
        <v>44</v>
      </c>
      <c r="K45" s="1607">
        <v>16</v>
      </c>
      <c r="L45" s="1607">
        <v>19</v>
      </c>
      <c r="M45" s="1607">
        <v>19</v>
      </c>
      <c r="N45" s="1607">
        <v>50</v>
      </c>
      <c r="O45" s="1607">
        <v>35</v>
      </c>
      <c r="P45" s="1607">
        <v>426</v>
      </c>
      <c r="Q45" s="1607">
        <v>37</v>
      </c>
      <c r="R45" s="1607">
        <v>319</v>
      </c>
      <c r="S45" s="1607">
        <v>1</v>
      </c>
      <c r="T45" s="1607">
        <v>0</v>
      </c>
      <c r="U45" s="1607">
        <v>247</v>
      </c>
      <c r="V45" s="1607">
        <v>28</v>
      </c>
      <c r="W45" s="1607">
        <v>606340</v>
      </c>
    </row>
    <row r="46" spans="1:23" x14ac:dyDescent="0.2">
      <c r="A46" s="1607" t="s">
        <v>160</v>
      </c>
      <c r="B46" s="1607" t="s">
        <v>37</v>
      </c>
      <c r="C46" s="1607">
        <v>202</v>
      </c>
      <c r="D46" s="1607">
        <v>7</v>
      </c>
      <c r="E46" s="1607">
        <v>88</v>
      </c>
      <c r="F46" s="1607">
        <v>3</v>
      </c>
      <c r="G46" s="1607">
        <v>12</v>
      </c>
      <c r="H46" s="1607">
        <v>3</v>
      </c>
      <c r="I46" s="1607">
        <v>30</v>
      </c>
      <c r="J46" s="1607">
        <v>13</v>
      </c>
      <c r="K46" s="1607">
        <v>8</v>
      </c>
      <c r="L46" s="1607">
        <v>13</v>
      </c>
      <c r="M46" s="1607">
        <v>13</v>
      </c>
      <c r="N46" s="1607">
        <v>6</v>
      </c>
      <c r="O46" s="1607">
        <v>40</v>
      </c>
      <c r="P46" s="1607">
        <v>66</v>
      </c>
      <c r="Q46" s="1607">
        <v>16</v>
      </c>
      <c r="R46" s="1607">
        <v>21</v>
      </c>
      <c r="S46" s="1607">
        <v>0</v>
      </c>
      <c r="T46" s="1607">
        <v>0</v>
      </c>
      <c r="U46" s="1607">
        <v>53</v>
      </c>
      <c r="V46" s="1607">
        <v>9</v>
      </c>
      <c r="W46" s="1607">
        <v>234110</v>
      </c>
    </row>
    <row r="47" spans="1:23" x14ac:dyDescent="0.2">
      <c r="A47" s="1607" t="s">
        <v>160</v>
      </c>
      <c r="B47" s="1607" t="s">
        <v>38</v>
      </c>
      <c r="C47" s="1607">
        <v>36</v>
      </c>
      <c r="D47" s="1607">
        <v>0</v>
      </c>
      <c r="E47" s="1607">
        <v>25</v>
      </c>
      <c r="F47" s="1607">
        <v>1</v>
      </c>
      <c r="G47" s="1607">
        <v>14</v>
      </c>
      <c r="H47" s="1607">
        <v>1</v>
      </c>
      <c r="I47" s="1607">
        <v>11</v>
      </c>
      <c r="J47" s="1607">
        <v>5</v>
      </c>
      <c r="K47" s="1607">
        <v>1</v>
      </c>
      <c r="L47" s="1607">
        <v>0</v>
      </c>
      <c r="M47" s="1607">
        <v>5</v>
      </c>
      <c r="N47" s="1607">
        <v>5</v>
      </c>
      <c r="O47" s="1607">
        <v>3</v>
      </c>
      <c r="P47" s="1607">
        <v>59</v>
      </c>
      <c r="Q47" s="1607">
        <v>13</v>
      </c>
      <c r="R47" s="1607">
        <v>26</v>
      </c>
      <c r="S47" s="1607">
        <v>0</v>
      </c>
      <c r="T47" s="1607">
        <v>1</v>
      </c>
      <c r="U47" s="1607">
        <v>20</v>
      </c>
      <c r="V47" s="1607">
        <v>3</v>
      </c>
      <c r="W47" s="1607">
        <v>79500</v>
      </c>
    </row>
    <row r="48" spans="1:23" x14ac:dyDescent="0.2">
      <c r="A48" s="1607" t="s">
        <v>160</v>
      </c>
      <c r="B48" s="1607" t="s">
        <v>39</v>
      </c>
      <c r="C48" s="1607">
        <v>47</v>
      </c>
      <c r="D48" s="1607">
        <v>2</v>
      </c>
      <c r="E48" s="1607">
        <v>13</v>
      </c>
      <c r="F48" s="1607">
        <v>4</v>
      </c>
      <c r="G48" s="1607">
        <v>8</v>
      </c>
      <c r="H48" s="1607">
        <v>2</v>
      </c>
      <c r="I48" s="1607">
        <v>2</v>
      </c>
      <c r="J48" s="1607">
        <v>12</v>
      </c>
      <c r="K48" s="1607">
        <v>1</v>
      </c>
      <c r="L48" s="1607">
        <v>7</v>
      </c>
      <c r="M48" s="1607">
        <v>4</v>
      </c>
      <c r="N48" s="1607">
        <v>5</v>
      </c>
      <c r="O48" s="1607">
        <v>10</v>
      </c>
      <c r="P48" s="1607">
        <v>41</v>
      </c>
      <c r="Q48" s="1607">
        <v>5</v>
      </c>
      <c r="R48" s="1607">
        <v>13</v>
      </c>
      <c r="S48" s="1607">
        <v>0</v>
      </c>
      <c r="T48" s="1607">
        <v>0</v>
      </c>
      <c r="U48" s="1607">
        <v>7</v>
      </c>
      <c r="V48" s="1607">
        <v>0</v>
      </c>
      <c r="W48" s="1607">
        <v>87390</v>
      </c>
    </row>
    <row r="49" spans="1:23" x14ac:dyDescent="0.2">
      <c r="A49" s="1607" t="s">
        <v>160</v>
      </c>
      <c r="B49" s="1607" t="s">
        <v>40</v>
      </c>
      <c r="C49" s="1607">
        <v>37</v>
      </c>
      <c r="D49" s="1607">
        <v>0</v>
      </c>
      <c r="E49" s="1607">
        <v>0</v>
      </c>
      <c r="F49" s="1607">
        <v>3</v>
      </c>
      <c r="G49" s="1607">
        <v>6</v>
      </c>
      <c r="H49" s="1607">
        <v>0</v>
      </c>
      <c r="I49" s="1607">
        <v>3</v>
      </c>
      <c r="J49" s="1607">
        <v>4</v>
      </c>
      <c r="K49" s="1607">
        <v>1</v>
      </c>
      <c r="L49" s="1607">
        <v>4</v>
      </c>
      <c r="M49" s="1607">
        <v>3</v>
      </c>
      <c r="N49" s="1607">
        <v>5</v>
      </c>
      <c r="O49" s="1607">
        <v>8</v>
      </c>
      <c r="P49" s="1607">
        <v>23</v>
      </c>
      <c r="Q49" s="1607">
        <v>1</v>
      </c>
      <c r="R49" s="1607">
        <v>16</v>
      </c>
      <c r="S49" s="1607">
        <v>0</v>
      </c>
      <c r="T49" s="1607">
        <v>1</v>
      </c>
      <c r="U49" s="1607">
        <v>14</v>
      </c>
      <c r="V49" s="1607">
        <v>0</v>
      </c>
      <c r="W49" s="1607">
        <v>95510</v>
      </c>
    </row>
    <row r="50" spans="1:23" x14ac:dyDescent="0.2">
      <c r="A50" s="1607" t="s">
        <v>160</v>
      </c>
      <c r="B50" s="1607" t="s">
        <v>393</v>
      </c>
      <c r="C50" s="1607">
        <v>16</v>
      </c>
      <c r="D50" s="1607">
        <v>0</v>
      </c>
      <c r="E50" s="1607">
        <v>7</v>
      </c>
      <c r="F50" s="1607">
        <v>0</v>
      </c>
      <c r="G50" s="1607">
        <v>1</v>
      </c>
      <c r="H50" s="1607">
        <v>1</v>
      </c>
      <c r="I50" s="1607">
        <v>0</v>
      </c>
      <c r="J50" s="1607">
        <v>1</v>
      </c>
      <c r="K50" s="1607">
        <v>0</v>
      </c>
      <c r="L50" s="1607">
        <v>1</v>
      </c>
      <c r="M50" s="1607">
        <v>0</v>
      </c>
      <c r="N50" s="1607">
        <v>1</v>
      </c>
      <c r="O50" s="1607">
        <v>6</v>
      </c>
      <c r="P50" s="1607">
        <v>5</v>
      </c>
      <c r="Q50" s="1607">
        <v>3</v>
      </c>
      <c r="R50" s="1607">
        <v>1</v>
      </c>
      <c r="S50" s="1607">
        <v>0</v>
      </c>
      <c r="T50" s="1607">
        <v>1</v>
      </c>
      <c r="U50" s="1607">
        <v>4</v>
      </c>
      <c r="V50" s="1607">
        <v>4</v>
      </c>
      <c r="W50" s="1607">
        <v>27070</v>
      </c>
    </row>
    <row r="51" spans="1:23" x14ac:dyDescent="0.2">
      <c r="A51" s="1607" t="s">
        <v>160</v>
      </c>
      <c r="B51" s="1607" t="s">
        <v>41</v>
      </c>
      <c r="C51" s="1607">
        <v>53</v>
      </c>
      <c r="D51" s="1607">
        <v>0</v>
      </c>
      <c r="E51" s="1607">
        <v>26</v>
      </c>
      <c r="F51" s="1607">
        <v>2</v>
      </c>
      <c r="G51" s="1607">
        <v>16</v>
      </c>
      <c r="H51" s="1607">
        <v>2</v>
      </c>
      <c r="I51" s="1607">
        <v>10</v>
      </c>
      <c r="J51" s="1607">
        <v>5</v>
      </c>
      <c r="K51" s="1607">
        <v>3</v>
      </c>
      <c r="L51" s="1607">
        <v>2</v>
      </c>
      <c r="M51" s="1607">
        <v>2</v>
      </c>
      <c r="N51" s="1607">
        <v>5</v>
      </c>
      <c r="O51" s="1607">
        <v>16</v>
      </c>
      <c r="P51" s="1607">
        <v>75</v>
      </c>
      <c r="Q51" s="1607">
        <v>9</v>
      </c>
      <c r="R51" s="1607">
        <v>47</v>
      </c>
      <c r="S51" s="1607">
        <v>0</v>
      </c>
      <c r="T51" s="1607">
        <v>0</v>
      </c>
      <c r="U51" s="1607">
        <v>51</v>
      </c>
      <c r="V51" s="1607">
        <v>1</v>
      </c>
      <c r="W51" s="1607">
        <v>136130</v>
      </c>
    </row>
    <row r="52" spans="1:23" x14ac:dyDescent="0.2">
      <c r="A52" s="1607" t="s">
        <v>160</v>
      </c>
      <c r="B52" s="1607" t="s">
        <v>42</v>
      </c>
      <c r="C52" s="1607">
        <v>124</v>
      </c>
      <c r="D52" s="1607">
        <v>3</v>
      </c>
      <c r="E52" s="1607">
        <v>83</v>
      </c>
      <c r="F52" s="1607">
        <v>3</v>
      </c>
      <c r="G52" s="1607">
        <v>25</v>
      </c>
      <c r="H52" s="1607">
        <v>7</v>
      </c>
      <c r="I52" s="1607">
        <v>29</v>
      </c>
      <c r="J52" s="1607">
        <v>11</v>
      </c>
      <c r="K52" s="1607">
        <v>7</v>
      </c>
      <c r="L52" s="1607">
        <v>6</v>
      </c>
      <c r="M52" s="1607">
        <v>15</v>
      </c>
      <c r="N52" s="1607">
        <v>30</v>
      </c>
      <c r="O52" s="1607">
        <v>17</v>
      </c>
      <c r="P52" s="1607">
        <v>128</v>
      </c>
      <c r="Q52" s="1607">
        <v>17</v>
      </c>
      <c r="R52" s="1607">
        <v>80</v>
      </c>
      <c r="S52" s="1607">
        <v>1</v>
      </c>
      <c r="T52" s="1607">
        <v>2</v>
      </c>
      <c r="U52" s="1607">
        <v>75</v>
      </c>
      <c r="V52" s="1607">
        <v>7</v>
      </c>
      <c r="W52" s="1607">
        <v>338260</v>
      </c>
    </row>
    <row r="53" spans="1:23" x14ac:dyDescent="0.2">
      <c r="A53" s="1607" t="s">
        <v>160</v>
      </c>
      <c r="B53" s="1607" t="s">
        <v>43</v>
      </c>
      <c r="C53" s="1607">
        <v>8</v>
      </c>
      <c r="D53" s="1607">
        <v>1</v>
      </c>
      <c r="E53" s="1607">
        <v>4</v>
      </c>
      <c r="F53" s="1607">
        <v>0</v>
      </c>
      <c r="G53" s="1607">
        <v>3</v>
      </c>
      <c r="H53" s="1607">
        <v>0</v>
      </c>
      <c r="I53" s="1607">
        <v>1</v>
      </c>
      <c r="J53" s="1607">
        <v>0</v>
      </c>
      <c r="K53" s="1607">
        <v>1</v>
      </c>
      <c r="L53" s="1607">
        <v>0</v>
      </c>
      <c r="M53" s="1607">
        <v>0</v>
      </c>
      <c r="N53" s="1607">
        <v>1</v>
      </c>
      <c r="O53" s="1607">
        <v>0</v>
      </c>
      <c r="P53" s="1607">
        <v>2</v>
      </c>
      <c r="Q53" s="1607">
        <v>0</v>
      </c>
      <c r="R53" s="1607">
        <v>0</v>
      </c>
      <c r="S53" s="1607">
        <v>0</v>
      </c>
      <c r="T53" s="1607">
        <v>3</v>
      </c>
      <c r="U53" s="1607">
        <v>3</v>
      </c>
      <c r="V53" s="1607">
        <v>0</v>
      </c>
      <c r="W53" s="1607">
        <v>21670</v>
      </c>
    </row>
    <row r="54" spans="1:23" x14ac:dyDescent="0.2">
      <c r="A54" s="1607" t="s">
        <v>160</v>
      </c>
      <c r="B54" s="1607" t="s">
        <v>44</v>
      </c>
      <c r="C54" s="1607">
        <v>91</v>
      </c>
      <c r="D54" s="1607">
        <v>4</v>
      </c>
      <c r="E54" s="1607">
        <v>104</v>
      </c>
      <c r="F54" s="1607">
        <v>18</v>
      </c>
      <c r="G54" s="1607">
        <v>7</v>
      </c>
      <c r="H54" s="1607">
        <v>1</v>
      </c>
      <c r="I54" s="1607">
        <v>8</v>
      </c>
      <c r="J54" s="1607">
        <v>13</v>
      </c>
      <c r="K54" s="1607">
        <v>2</v>
      </c>
      <c r="L54" s="1607">
        <v>4</v>
      </c>
      <c r="M54" s="1607">
        <v>17</v>
      </c>
      <c r="N54" s="1607">
        <v>7</v>
      </c>
      <c r="O54" s="1607">
        <v>14</v>
      </c>
      <c r="P54" s="1607">
        <v>39</v>
      </c>
      <c r="Q54" s="1607">
        <v>28</v>
      </c>
      <c r="R54" s="1607">
        <v>6</v>
      </c>
      <c r="S54" s="1607">
        <v>0</v>
      </c>
      <c r="T54" s="1607">
        <v>0</v>
      </c>
      <c r="U54" s="1607">
        <v>14</v>
      </c>
      <c r="V54" s="1607">
        <v>5</v>
      </c>
      <c r="W54" s="1607">
        <v>149930</v>
      </c>
    </row>
    <row r="55" spans="1:23" x14ac:dyDescent="0.2">
      <c r="A55" s="1607" t="s">
        <v>160</v>
      </c>
      <c r="B55" s="1607" t="s">
        <v>45</v>
      </c>
      <c r="C55" s="1607">
        <v>54</v>
      </c>
      <c r="D55" s="1607">
        <v>4</v>
      </c>
      <c r="E55" s="1607">
        <v>47</v>
      </c>
      <c r="F55" s="1607">
        <v>5</v>
      </c>
      <c r="G55" s="1607">
        <v>11</v>
      </c>
      <c r="H55" s="1607">
        <v>2</v>
      </c>
      <c r="I55" s="1607">
        <v>15</v>
      </c>
      <c r="J55" s="1607">
        <v>20</v>
      </c>
      <c r="K55" s="1607">
        <v>7</v>
      </c>
      <c r="L55" s="1607">
        <v>3</v>
      </c>
      <c r="M55" s="1607">
        <v>4</v>
      </c>
      <c r="N55" s="1607">
        <v>7</v>
      </c>
      <c r="O55" s="1607">
        <v>8</v>
      </c>
      <c r="P55" s="1607">
        <v>94</v>
      </c>
      <c r="Q55" s="1607">
        <v>9</v>
      </c>
      <c r="R55" s="1607">
        <v>128</v>
      </c>
      <c r="S55" s="1607">
        <v>0</v>
      </c>
      <c r="T55" s="1607">
        <v>6</v>
      </c>
      <c r="U55" s="1607">
        <v>60</v>
      </c>
      <c r="V55" s="1607">
        <v>8</v>
      </c>
      <c r="W55" s="1607">
        <v>174560</v>
      </c>
    </row>
    <row r="56" spans="1:23" x14ac:dyDescent="0.2">
      <c r="A56" s="1607" t="s">
        <v>160</v>
      </c>
      <c r="B56" s="1607" t="s">
        <v>46</v>
      </c>
      <c r="C56" s="1607">
        <v>108</v>
      </c>
      <c r="D56" s="1607">
        <v>5</v>
      </c>
      <c r="E56" s="1607">
        <v>80</v>
      </c>
      <c r="F56" s="1607">
        <v>13</v>
      </c>
      <c r="G56" s="1607">
        <v>19</v>
      </c>
      <c r="H56" s="1607">
        <v>0</v>
      </c>
      <c r="I56" s="1607">
        <v>2</v>
      </c>
      <c r="J56" s="1607">
        <v>41</v>
      </c>
      <c r="K56" s="1607">
        <v>6</v>
      </c>
      <c r="L56" s="1607">
        <v>8</v>
      </c>
      <c r="M56" s="1607">
        <v>6</v>
      </c>
      <c r="N56" s="1607">
        <v>2</v>
      </c>
      <c r="O56" s="1607">
        <v>19</v>
      </c>
      <c r="P56" s="1607">
        <v>43</v>
      </c>
      <c r="Q56" s="1607">
        <v>3</v>
      </c>
      <c r="R56" s="1607">
        <v>11</v>
      </c>
      <c r="S56" s="1607">
        <v>0</v>
      </c>
      <c r="T56" s="1607">
        <v>3</v>
      </c>
      <c r="U56" s="1607">
        <v>17</v>
      </c>
      <c r="V56" s="1607">
        <v>3</v>
      </c>
      <c r="W56" s="1607">
        <v>114030</v>
      </c>
    </row>
    <row r="57" spans="1:23" x14ac:dyDescent="0.2">
      <c r="A57" s="1607" t="s">
        <v>160</v>
      </c>
      <c r="B57" s="1607" t="s">
        <v>47</v>
      </c>
      <c r="C57" s="1607">
        <v>9</v>
      </c>
      <c r="D57" s="1607">
        <v>1</v>
      </c>
      <c r="E57" s="1607">
        <v>2</v>
      </c>
      <c r="F57" s="1607">
        <v>0</v>
      </c>
      <c r="G57" s="1607">
        <v>0</v>
      </c>
      <c r="H57" s="1607">
        <v>0</v>
      </c>
      <c r="I57" s="1607">
        <v>0</v>
      </c>
      <c r="J57" s="1607">
        <v>0</v>
      </c>
      <c r="K57" s="1607">
        <v>0</v>
      </c>
      <c r="L57" s="1607">
        <v>0</v>
      </c>
      <c r="M57" s="1607">
        <v>0</v>
      </c>
      <c r="N57" s="1607">
        <v>1</v>
      </c>
      <c r="O57" s="1607">
        <v>2</v>
      </c>
      <c r="P57" s="1607">
        <v>3</v>
      </c>
      <c r="Q57" s="1607">
        <v>3</v>
      </c>
      <c r="R57" s="1607">
        <v>3</v>
      </c>
      <c r="S57" s="1607">
        <v>0</v>
      </c>
      <c r="T57" s="1607">
        <v>4</v>
      </c>
      <c r="U57" s="1607">
        <v>4</v>
      </c>
      <c r="V57" s="1607">
        <v>0</v>
      </c>
      <c r="W57" s="1607">
        <v>23200</v>
      </c>
    </row>
    <row r="58" spans="1:23" x14ac:dyDescent="0.2">
      <c r="A58" s="1607" t="s">
        <v>160</v>
      </c>
      <c r="B58" s="1607" t="s">
        <v>48</v>
      </c>
      <c r="C58" s="1607">
        <v>60</v>
      </c>
      <c r="D58" s="1607">
        <v>4</v>
      </c>
      <c r="E58" s="1607">
        <v>22</v>
      </c>
      <c r="F58" s="1607">
        <v>9</v>
      </c>
      <c r="G58" s="1607">
        <v>10</v>
      </c>
      <c r="H58" s="1607">
        <v>1</v>
      </c>
      <c r="I58" s="1607">
        <v>12</v>
      </c>
      <c r="J58" s="1607">
        <v>7</v>
      </c>
      <c r="K58" s="1607">
        <v>4</v>
      </c>
      <c r="L58" s="1607">
        <v>2</v>
      </c>
      <c r="M58" s="1607">
        <v>3</v>
      </c>
      <c r="N58" s="1607">
        <v>6</v>
      </c>
      <c r="O58" s="1607">
        <v>4</v>
      </c>
      <c r="P58" s="1607">
        <v>47</v>
      </c>
      <c r="Q58" s="1607">
        <v>11</v>
      </c>
      <c r="R58" s="1607">
        <v>52</v>
      </c>
      <c r="S58" s="1607">
        <v>1</v>
      </c>
      <c r="T58" s="1607">
        <v>2</v>
      </c>
      <c r="U58" s="1607">
        <v>40</v>
      </c>
      <c r="V58" s="1607">
        <v>4</v>
      </c>
      <c r="W58" s="1607">
        <v>112400</v>
      </c>
    </row>
    <row r="59" spans="1:23" x14ac:dyDescent="0.2">
      <c r="A59" s="1607" t="s">
        <v>160</v>
      </c>
      <c r="B59" s="1607" t="s">
        <v>49</v>
      </c>
      <c r="C59" s="1607">
        <v>137</v>
      </c>
      <c r="D59" s="1607">
        <v>3</v>
      </c>
      <c r="E59" s="1607">
        <v>71</v>
      </c>
      <c r="F59" s="1607">
        <v>5</v>
      </c>
      <c r="G59" s="1607">
        <v>21</v>
      </c>
      <c r="H59" s="1607">
        <v>3</v>
      </c>
      <c r="I59" s="1607">
        <v>21</v>
      </c>
      <c r="J59" s="1607">
        <v>20</v>
      </c>
      <c r="K59" s="1607">
        <v>2</v>
      </c>
      <c r="L59" s="1607">
        <v>6</v>
      </c>
      <c r="M59" s="1607">
        <v>9</v>
      </c>
      <c r="N59" s="1607">
        <v>15</v>
      </c>
      <c r="O59" s="1607">
        <v>13</v>
      </c>
      <c r="P59" s="1607">
        <v>117</v>
      </c>
      <c r="Q59" s="1607">
        <v>17</v>
      </c>
      <c r="R59" s="1607">
        <v>96</v>
      </c>
      <c r="S59" s="1607">
        <v>0</v>
      </c>
      <c r="T59" s="1607">
        <v>0</v>
      </c>
      <c r="U59" s="1607">
        <v>65</v>
      </c>
      <c r="V59" s="1607">
        <v>15</v>
      </c>
      <c r="W59" s="1607">
        <v>316230</v>
      </c>
    </row>
    <row r="60" spans="1:23" x14ac:dyDescent="0.2">
      <c r="A60" s="1607" t="s">
        <v>160</v>
      </c>
      <c r="B60" s="1607" t="s">
        <v>50</v>
      </c>
      <c r="C60" s="1607">
        <v>71</v>
      </c>
      <c r="D60" s="1607">
        <v>2</v>
      </c>
      <c r="E60" s="1607">
        <v>35</v>
      </c>
      <c r="F60" s="1607">
        <v>14</v>
      </c>
      <c r="G60" s="1607">
        <v>7</v>
      </c>
      <c r="H60" s="1607">
        <v>0</v>
      </c>
      <c r="I60" s="1607">
        <v>7</v>
      </c>
      <c r="J60" s="1607">
        <v>18</v>
      </c>
      <c r="K60" s="1607">
        <v>1</v>
      </c>
      <c r="L60" s="1607">
        <v>0</v>
      </c>
      <c r="M60" s="1607">
        <v>4</v>
      </c>
      <c r="N60" s="1607">
        <v>5</v>
      </c>
      <c r="O60" s="1607">
        <v>10</v>
      </c>
      <c r="P60" s="1607">
        <v>37</v>
      </c>
      <c r="Q60" s="1607">
        <v>2</v>
      </c>
      <c r="R60" s="1607">
        <v>5</v>
      </c>
      <c r="S60" s="1607">
        <v>0</v>
      </c>
      <c r="T60" s="1607">
        <v>0</v>
      </c>
      <c r="U60" s="1607">
        <v>22</v>
      </c>
      <c r="V60" s="1607">
        <v>0</v>
      </c>
      <c r="W60" s="1607">
        <v>92830</v>
      </c>
    </row>
    <row r="61" spans="1:23" x14ac:dyDescent="0.2">
      <c r="A61" s="1607" t="s">
        <v>160</v>
      </c>
      <c r="B61" s="1607" t="s">
        <v>51</v>
      </c>
      <c r="C61" s="1607">
        <v>32</v>
      </c>
      <c r="D61" s="1607">
        <v>1</v>
      </c>
      <c r="E61" s="1607">
        <v>23</v>
      </c>
      <c r="F61" s="1607">
        <v>3</v>
      </c>
      <c r="G61" s="1607">
        <v>11</v>
      </c>
      <c r="H61" s="1607">
        <v>1</v>
      </c>
      <c r="I61" s="1607">
        <v>20</v>
      </c>
      <c r="J61" s="1607">
        <v>6</v>
      </c>
      <c r="K61" s="1607">
        <v>4</v>
      </c>
      <c r="L61" s="1607">
        <v>1</v>
      </c>
      <c r="M61" s="1607">
        <v>2</v>
      </c>
      <c r="N61" s="1607">
        <v>7</v>
      </c>
      <c r="O61" s="1607">
        <v>3</v>
      </c>
      <c r="P61" s="1607">
        <v>27</v>
      </c>
      <c r="Q61" s="1607">
        <v>4</v>
      </c>
      <c r="R61" s="1607">
        <v>37</v>
      </c>
      <c r="S61" s="1607">
        <v>1</v>
      </c>
      <c r="T61" s="1607">
        <v>0</v>
      </c>
      <c r="U61" s="1607">
        <v>25</v>
      </c>
      <c r="V61" s="1607">
        <v>6</v>
      </c>
      <c r="W61" s="1607">
        <v>89590</v>
      </c>
    </row>
    <row r="62" spans="1:23" x14ac:dyDescent="0.2">
      <c r="A62" s="1607" t="s">
        <v>160</v>
      </c>
      <c r="B62" s="1607" t="s">
        <v>52</v>
      </c>
      <c r="C62" s="1607">
        <v>93</v>
      </c>
      <c r="D62" s="1607">
        <v>2</v>
      </c>
      <c r="E62" s="1607">
        <v>23</v>
      </c>
      <c r="F62" s="1607">
        <v>2</v>
      </c>
      <c r="G62" s="1607">
        <v>12</v>
      </c>
      <c r="H62" s="1607">
        <v>0</v>
      </c>
      <c r="I62" s="1607">
        <v>6</v>
      </c>
      <c r="J62" s="1607">
        <v>35</v>
      </c>
      <c r="K62" s="1607">
        <v>6</v>
      </c>
      <c r="L62" s="1607">
        <v>10</v>
      </c>
      <c r="M62" s="1607">
        <v>6</v>
      </c>
      <c r="N62" s="1607">
        <v>5</v>
      </c>
      <c r="O62" s="1607">
        <v>8</v>
      </c>
      <c r="P62" s="1607">
        <v>106</v>
      </c>
      <c r="Q62" s="1607">
        <v>6</v>
      </c>
      <c r="R62" s="1607">
        <v>41</v>
      </c>
      <c r="S62" s="1607">
        <v>0</v>
      </c>
      <c r="T62" s="1607">
        <v>0</v>
      </c>
      <c r="U62" s="1607">
        <v>17</v>
      </c>
      <c r="V62" s="1607">
        <v>3</v>
      </c>
      <c r="W62" s="1607">
        <v>178550</v>
      </c>
    </row>
    <row r="63" spans="1:23" x14ac:dyDescent="0.2">
      <c r="A63" s="1607" t="s">
        <v>379</v>
      </c>
      <c r="B63" s="1607" t="s">
        <v>23</v>
      </c>
      <c r="C63" s="1607">
        <v>53</v>
      </c>
      <c r="D63" s="1607">
        <v>6</v>
      </c>
      <c r="E63" s="1607">
        <v>35</v>
      </c>
      <c r="F63" s="1607">
        <v>4</v>
      </c>
      <c r="G63" s="1607">
        <v>25</v>
      </c>
      <c r="H63" s="1607">
        <v>2</v>
      </c>
      <c r="I63" s="1607">
        <v>129</v>
      </c>
      <c r="J63" s="1607">
        <v>11</v>
      </c>
      <c r="K63" s="1607">
        <v>5</v>
      </c>
      <c r="L63" s="1607">
        <v>10</v>
      </c>
      <c r="M63" s="1607">
        <v>8</v>
      </c>
      <c r="N63" s="1607">
        <v>12</v>
      </c>
      <c r="O63" s="1607">
        <v>12</v>
      </c>
      <c r="P63" s="1607">
        <v>121</v>
      </c>
      <c r="Q63" s="1607">
        <v>3</v>
      </c>
      <c r="R63" s="1607">
        <v>42</v>
      </c>
      <c r="S63" s="1607">
        <v>0</v>
      </c>
      <c r="T63" s="1607">
        <v>2</v>
      </c>
      <c r="U63" s="1607">
        <v>25</v>
      </c>
      <c r="V63" s="1607">
        <v>11</v>
      </c>
      <c r="W63" s="1607">
        <v>229840</v>
      </c>
    </row>
    <row r="64" spans="1:23" x14ac:dyDescent="0.2">
      <c r="A64" s="1607" t="s">
        <v>379</v>
      </c>
      <c r="B64" s="1607" t="s">
        <v>24</v>
      </c>
      <c r="C64" s="1607">
        <v>159</v>
      </c>
      <c r="D64" s="1607">
        <v>3</v>
      </c>
      <c r="E64" s="1607">
        <v>17</v>
      </c>
      <c r="F64" s="1607">
        <v>3</v>
      </c>
      <c r="G64" s="1607">
        <v>13</v>
      </c>
      <c r="H64" s="1607">
        <v>1</v>
      </c>
      <c r="I64" s="1607">
        <v>13</v>
      </c>
      <c r="J64" s="1607">
        <v>65</v>
      </c>
      <c r="K64" s="1607">
        <v>5</v>
      </c>
      <c r="L64" s="1607">
        <v>9</v>
      </c>
      <c r="M64" s="1607">
        <v>10</v>
      </c>
      <c r="N64" s="1607">
        <v>5</v>
      </c>
      <c r="O64" s="1607">
        <v>18</v>
      </c>
      <c r="P64" s="1607">
        <v>58</v>
      </c>
      <c r="Q64" s="1607">
        <v>2</v>
      </c>
      <c r="R64" s="1607">
        <v>25</v>
      </c>
      <c r="S64" s="1607">
        <v>0</v>
      </c>
      <c r="T64" s="1607">
        <v>1</v>
      </c>
      <c r="U64" s="1607">
        <v>30</v>
      </c>
      <c r="V64" s="1607">
        <v>6</v>
      </c>
      <c r="W64" s="1607">
        <v>262190</v>
      </c>
    </row>
    <row r="65" spans="1:23" x14ac:dyDescent="0.2">
      <c r="A65" s="1607" t="s">
        <v>379</v>
      </c>
      <c r="B65" s="1607" t="s">
        <v>25</v>
      </c>
      <c r="C65" s="1607">
        <v>53</v>
      </c>
      <c r="D65" s="1607">
        <v>3</v>
      </c>
      <c r="E65" s="1607">
        <v>11</v>
      </c>
      <c r="F65" s="1607">
        <v>1</v>
      </c>
      <c r="G65" s="1607">
        <v>11</v>
      </c>
      <c r="H65" s="1607">
        <v>1</v>
      </c>
      <c r="I65" s="1607">
        <v>4</v>
      </c>
      <c r="J65" s="1607">
        <v>10</v>
      </c>
      <c r="K65" s="1607">
        <v>4</v>
      </c>
      <c r="L65" s="1607">
        <v>3</v>
      </c>
      <c r="M65" s="1607">
        <v>7</v>
      </c>
      <c r="N65" s="1607">
        <v>4</v>
      </c>
      <c r="O65" s="1607">
        <v>11</v>
      </c>
      <c r="P65" s="1607">
        <v>39</v>
      </c>
      <c r="Q65" s="1607">
        <v>5</v>
      </c>
      <c r="R65" s="1607">
        <v>7</v>
      </c>
      <c r="S65" s="1607">
        <v>1</v>
      </c>
      <c r="T65" s="1607">
        <v>1</v>
      </c>
      <c r="U65" s="1607">
        <v>18</v>
      </c>
      <c r="V65" s="1607">
        <v>3</v>
      </c>
      <c r="W65" s="1607">
        <v>116520</v>
      </c>
    </row>
    <row r="66" spans="1:23" x14ac:dyDescent="0.2">
      <c r="A66" s="1607" t="s">
        <v>379</v>
      </c>
      <c r="B66" s="1607" t="s">
        <v>26</v>
      </c>
      <c r="C66" s="1607">
        <v>79</v>
      </c>
      <c r="D66" s="1607">
        <v>4</v>
      </c>
      <c r="E66" s="1607">
        <v>18</v>
      </c>
      <c r="F66" s="1607">
        <v>3</v>
      </c>
      <c r="G66" s="1607">
        <v>7</v>
      </c>
      <c r="H66" s="1607">
        <v>0</v>
      </c>
      <c r="I66" s="1607">
        <v>4</v>
      </c>
      <c r="J66" s="1607">
        <v>20</v>
      </c>
      <c r="K66" s="1607">
        <v>1</v>
      </c>
      <c r="L66" s="1607">
        <v>2</v>
      </c>
      <c r="M66" s="1607">
        <v>2</v>
      </c>
      <c r="N66" s="1607">
        <v>2</v>
      </c>
      <c r="O66" s="1607">
        <v>6</v>
      </c>
      <c r="P66" s="1607">
        <v>22</v>
      </c>
      <c r="Q66" s="1607">
        <v>1</v>
      </c>
      <c r="R66" s="1607">
        <v>34</v>
      </c>
      <c r="S66" s="1607">
        <v>0</v>
      </c>
      <c r="T66" s="1607">
        <v>28</v>
      </c>
      <c r="U66" s="1607">
        <v>50</v>
      </c>
      <c r="V66" s="1607">
        <v>4</v>
      </c>
      <c r="W66" s="1607">
        <v>87130</v>
      </c>
    </row>
    <row r="67" spans="1:23" x14ac:dyDescent="0.2">
      <c r="A67" s="1607" t="s">
        <v>379</v>
      </c>
      <c r="B67" s="1607" t="s">
        <v>27</v>
      </c>
      <c r="C67" s="1607">
        <v>16</v>
      </c>
      <c r="D67" s="1607">
        <v>0</v>
      </c>
      <c r="E67" s="1607">
        <v>6</v>
      </c>
      <c r="F67" s="1607">
        <v>1</v>
      </c>
      <c r="G67" s="1607">
        <v>8</v>
      </c>
      <c r="H67" s="1607">
        <v>0</v>
      </c>
      <c r="I67" s="1607">
        <v>3</v>
      </c>
      <c r="J67" s="1607">
        <v>3</v>
      </c>
      <c r="K67" s="1607">
        <v>2</v>
      </c>
      <c r="L67" s="1607">
        <v>3</v>
      </c>
      <c r="M67" s="1607">
        <v>1</v>
      </c>
      <c r="N67" s="1607">
        <v>7</v>
      </c>
      <c r="O67" s="1607">
        <v>3</v>
      </c>
      <c r="P67" s="1607">
        <v>35</v>
      </c>
      <c r="Q67" s="1607">
        <v>2</v>
      </c>
      <c r="R67" s="1607">
        <v>1</v>
      </c>
      <c r="S67" s="1607">
        <v>0</v>
      </c>
      <c r="T67" s="1607">
        <v>1</v>
      </c>
      <c r="U67" s="1607">
        <v>11</v>
      </c>
      <c r="V67" s="1607">
        <v>2</v>
      </c>
      <c r="W67" s="1607">
        <v>51350</v>
      </c>
    </row>
    <row r="68" spans="1:23" x14ac:dyDescent="0.2">
      <c r="A68" s="1607" t="s">
        <v>379</v>
      </c>
      <c r="B68" s="1607" t="s">
        <v>28</v>
      </c>
      <c r="C68" s="1607">
        <v>99</v>
      </c>
      <c r="D68" s="1607">
        <v>5</v>
      </c>
      <c r="E68" s="1607">
        <v>9</v>
      </c>
      <c r="F68" s="1607">
        <v>10</v>
      </c>
      <c r="G68" s="1607">
        <v>21</v>
      </c>
      <c r="H68" s="1607">
        <v>0</v>
      </c>
      <c r="I68" s="1607">
        <v>9</v>
      </c>
      <c r="J68" s="1607">
        <v>23</v>
      </c>
      <c r="K68" s="1607">
        <v>2</v>
      </c>
      <c r="L68" s="1607">
        <v>4</v>
      </c>
      <c r="M68" s="1607">
        <v>10</v>
      </c>
      <c r="N68" s="1607">
        <v>3</v>
      </c>
      <c r="O68" s="1607">
        <v>14</v>
      </c>
      <c r="P68" s="1607">
        <v>57</v>
      </c>
      <c r="Q68" s="1607">
        <v>8</v>
      </c>
      <c r="R68" s="1607">
        <v>5</v>
      </c>
      <c r="S68" s="1607">
        <v>0</v>
      </c>
      <c r="T68" s="1607">
        <v>1</v>
      </c>
      <c r="U68" s="1607">
        <v>39</v>
      </c>
      <c r="V68" s="1607">
        <v>0</v>
      </c>
      <c r="W68" s="1607">
        <v>149520</v>
      </c>
    </row>
    <row r="69" spans="1:23" x14ac:dyDescent="0.2">
      <c r="A69" s="1607" t="s">
        <v>379</v>
      </c>
      <c r="B69" s="1607" t="s">
        <v>29</v>
      </c>
      <c r="C69" s="1607">
        <v>34</v>
      </c>
      <c r="D69" s="1607">
        <v>2</v>
      </c>
      <c r="E69" s="1607">
        <v>35</v>
      </c>
      <c r="F69" s="1607">
        <v>2</v>
      </c>
      <c r="G69" s="1607">
        <v>30</v>
      </c>
      <c r="H69" s="1607">
        <v>3</v>
      </c>
      <c r="I69" s="1607">
        <v>42</v>
      </c>
      <c r="J69" s="1607">
        <v>6</v>
      </c>
      <c r="K69" s="1607">
        <v>4</v>
      </c>
      <c r="L69" s="1607">
        <v>3</v>
      </c>
      <c r="M69" s="1607">
        <v>18</v>
      </c>
      <c r="N69" s="1607">
        <v>11</v>
      </c>
      <c r="O69" s="1607">
        <v>11</v>
      </c>
      <c r="P69" s="1607">
        <v>121</v>
      </c>
      <c r="Q69" s="1607">
        <v>30</v>
      </c>
      <c r="R69" s="1607">
        <v>18</v>
      </c>
      <c r="S69" s="1607">
        <v>0</v>
      </c>
      <c r="T69" s="1607">
        <v>0</v>
      </c>
      <c r="U69" s="1607">
        <v>32</v>
      </c>
      <c r="V69" s="1607">
        <v>2</v>
      </c>
      <c r="W69" s="1607">
        <v>148270</v>
      </c>
    </row>
    <row r="70" spans="1:23" x14ac:dyDescent="0.2">
      <c r="A70" s="1607" t="s">
        <v>379</v>
      </c>
      <c r="B70" s="1607" t="s">
        <v>30</v>
      </c>
      <c r="C70" s="1607">
        <v>57</v>
      </c>
      <c r="D70" s="1607">
        <v>2</v>
      </c>
      <c r="E70" s="1607">
        <v>8</v>
      </c>
      <c r="F70" s="1607">
        <v>1</v>
      </c>
      <c r="G70" s="1607">
        <v>8</v>
      </c>
      <c r="H70" s="1607">
        <v>1</v>
      </c>
      <c r="I70" s="1607">
        <v>6</v>
      </c>
      <c r="J70" s="1607">
        <v>8</v>
      </c>
      <c r="K70" s="1607">
        <v>3</v>
      </c>
      <c r="L70" s="1607">
        <v>4</v>
      </c>
      <c r="M70" s="1607">
        <v>4</v>
      </c>
      <c r="N70" s="1607">
        <v>4</v>
      </c>
      <c r="O70" s="1607">
        <v>8</v>
      </c>
      <c r="P70" s="1607">
        <v>26</v>
      </c>
      <c r="Q70" s="1607">
        <v>1</v>
      </c>
      <c r="R70" s="1607">
        <v>25</v>
      </c>
      <c r="S70" s="1607">
        <v>0</v>
      </c>
      <c r="T70" s="1607">
        <v>1</v>
      </c>
      <c r="U70" s="1607">
        <v>28</v>
      </c>
      <c r="V70" s="1607">
        <v>3</v>
      </c>
      <c r="W70" s="1607">
        <v>122200</v>
      </c>
    </row>
    <row r="71" spans="1:23" x14ac:dyDescent="0.2">
      <c r="A71" s="1607" t="s">
        <v>379</v>
      </c>
      <c r="B71" s="1607" t="s">
        <v>31</v>
      </c>
      <c r="C71" s="1607">
        <v>30</v>
      </c>
      <c r="D71" s="1607">
        <v>1</v>
      </c>
      <c r="E71" s="1607">
        <v>14</v>
      </c>
      <c r="F71" s="1607">
        <v>1</v>
      </c>
      <c r="G71" s="1607">
        <v>5</v>
      </c>
      <c r="H71" s="1607">
        <v>1</v>
      </c>
      <c r="I71" s="1607">
        <v>4</v>
      </c>
      <c r="J71" s="1607">
        <v>2</v>
      </c>
      <c r="K71" s="1607">
        <v>0</v>
      </c>
      <c r="L71" s="1607">
        <v>0</v>
      </c>
      <c r="M71" s="1607">
        <v>4</v>
      </c>
      <c r="N71" s="1607">
        <v>35</v>
      </c>
      <c r="O71" s="1607">
        <v>10</v>
      </c>
      <c r="P71" s="1607">
        <v>41</v>
      </c>
      <c r="Q71" s="1607">
        <v>4</v>
      </c>
      <c r="R71" s="1607">
        <v>14</v>
      </c>
      <c r="S71" s="1607">
        <v>0</v>
      </c>
      <c r="T71" s="1607">
        <v>0</v>
      </c>
      <c r="U71" s="1607">
        <v>17</v>
      </c>
      <c r="V71" s="1607">
        <v>2</v>
      </c>
      <c r="W71" s="1607">
        <v>107540</v>
      </c>
    </row>
    <row r="72" spans="1:23" x14ac:dyDescent="0.2">
      <c r="A72" s="1607" t="s">
        <v>379</v>
      </c>
      <c r="B72" s="1607" t="s">
        <v>32</v>
      </c>
      <c r="C72" s="1607">
        <v>50</v>
      </c>
      <c r="D72" s="1607">
        <v>1</v>
      </c>
      <c r="E72" s="1607">
        <v>15</v>
      </c>
      <c r="F72" s="1607">
        <v>3</v>
      </c>
      <c r="G72" s="1607">
        <v>20</v>
      </c>
      <c r="H72" s="1607">
        <v>2</v>
      </c>
      <c r="I72" s="1607">
        <v>4</v>
      </c>
      <c r="J72" s="1607">
        <v>27</v>
      </c>
      <c r="K72" s="1607">
        <v>1</v>
      </c>
      <c r="L72" s="1607">
        <v>3</v>
      </c>
      <c r="M72" s="1607">
        <v>7</v>
      </c>
      <c r="N72" s="1607">
        <v>8</v>
      </c>
      <c r="O72" s="1607">
        <v>9</v>
      </c>
      <c r="P72" s="1607">
        <v>46</v>
      </c>
      <c r="Q72" s="1607">
        <v>0</v>
      </c>
      <c r="R72" s="1607">
        <v>13</v>
      </c>
      <c r="S72" s="1607">
        <v>0</v>
      </c>
      <c r="T72" s="1607">
        <v>0</v>
      </c>
      <c r="U72" s="1607">
        <v>19</v>
      </c>
      <c r="V72" s="1607">
        <v>1</v>
      </c>
      <c r="W72" s="1607">
        <v>104090</v>
      </c>
    </row>
    <row r="73" spans="1:23" x14ac:dyDescent="0.2">
      <c r="A73" s="1607" t="s">
        <v>379</v>
      </c>
      <c r="B73" s="1607" t="s">
        <v>33</v>
      </c>
      <c r="C73" s="1607">
        <v>28</v>
      </c>
      <c r="D73" s="1607">
        <v>3</v>
      </c>
      <c r="E73" s="1607">
        <v>10</v>
      </c>
      <c r="F73" s="1607">
        <v>0</v>
      </c>
      <c r="G73" s="1607">
        <v>3</v>
      </c>
      <c r="H73" s="1607">
        <v>1</v>
      </c>
      <c r="I73" s="1607">
        <v>2</v>
      </c>
      <c r="J73" s="1607">
        <v>8</v>
      </c>
      <c r="K73" s="1607">
        <v>0</v>
      </c>
      <c r="L73" s="1607">
        <v>1</v>
      </c>
      <c r="M73" s="1607">
        <v>1</v>
      </c>
      <c r="N73" s="1607">
        <v>3</v>
      </c>
      <c r="O73" s="1607">
        <v>5</v>
      </c>
      <c r="P73" s="1607">
        <v>33</v>
      </c>
      <c r="Q73" s="1607">
        <v>2</v>
      </c>
      <c r="R73" s="1607">
        <v>10</v>
      </c>
      <c r="S73" s="1607">
        <v>0</v>
      </c>
      <c r="T73" s="1607">
        <v>1</v>
      </c>
      <c r="U73" s="1607">
        <v>12</v>
      </c>
      <c r="V73" s="1607">
        <v>4</v>
      </c>
      <c r="W73" s="1607">
        <v>93810</v>
      </c>
    </row>
    <row r="74" spans="1:23" x14ac:dyDescent="0.2">
      <c r="A74" s="1607" t="s">
        <v>379</v>
      </c>
      <c r="B74" s="1607" t="s">
        <v>665</v>
      </c>
      <c r="C74" s="1607">
        <v>145</v>
      </c>
      <c r="D74" s="1607">
        <v>10</v>
      </c>
      <c r="E74" s="1607">
        <v>163</v>
      </c>
      <c r="F74" s="1607">
        <v>8</v>
      </c>
      <c r="G74" s="1607">
        <v>74</v>
      </c>
      <c r="H74" s="1607">
        <v>5</v>
      </c>
      <c r="I74" s="1607">
        <v>113</v>
      </c>
      <c r="J74" s="1607">
        <v>35</v>
      </c>
      <c r="K74" s="1607">
        <v>11</v>
      </c>
      <c r="L74" s="1607">
        <v>37</v>
      </c>
      <c r="M74" s="1607">
        <v>32</v>
      </c>
      <c r="N74" s="1607">
        <v>37</v>
      </c>
      <c r="O74" s="1607">
        <v>25</v>
      </c>
      <c r="P74" s="1607">
        <v>523</v>
      </c>
      <c r="Q74" s="1607">
        <v>20</v>
      </c>
      <c r="R74" s="1607">
        <v>122</v>
      </c>
      <c r="S74" s="1607">
        <v>1</v>
      </c>
      <c r="T74" s="1607">
        <v>5</v>
      </c>
      <c r="U74" s="1607">
        <v>80</v>
      </c>
      <c r="V74" s="1607">
        <v>24</v>
      </c>
      <c r="W74" s="1607">
        <v>507170</v>
      </c>
    </row>
    <row r="75" spans="1:23" x14ac:dyDescent="0.2">
      <c r="A75" s="1607" t="s">
        <v>379</v>
      </c>
      <c r="B75" s="1607" t="s">
        <v>34</v>
      </c>
      <c r="C75" s="1607">
        <v>78</v>
      </c>
      <c r="D75" s="1607">
        <v>4</v>
      </c>
      <c r="E75" s="1607">
        <v>15</v>
      </c>
      <c r="F75" s="1607">
        <v>6</v>
      </c>
      <c r="G75" s="1607">
        <v>14</v>
      </c>
      <c r="H75" s="1607">
        <v>6</v>
      </c>
      <c r="I75" s="1607">
        <v>9</v>
      </c>
      <c r="J75" s="1607">
        <v>39</v>
      </c>
      <c r="K75" s="1607">
        <v>10</v>
      </c>
      <c r="L75" s="1607">
        <v>8</v>
      </c>
      <c r="M75" s="1607">
        <v>5</v>
      </c>
      <c r="N75" s="1607">
        <v>4</v>
      </c>
      <c r="O75" s="1607">
        <v>16</v>
      </c>
      <c r="P75" s="1607">
        <v>120</v>
      </c>
      <c r="Q75" s="1607">
        <v>4</v>
      </c>
      <c r="R75" s="1607">
        <v>15</v>
      </c>
      <c r="S75" s="1607">
        <v>0</v>
      </c>
      <c r="T75" s="1607">
        <v>1</v>
      </c>
      <c r="U75" s="1607">
        <v>38</v>
      </c>
      <c r="V75" s="1607">
        <v>2</v>
      </c>
      <c r="W75" s="1607">
        <v>159380</v>
      </c>
    </row>
    <row r="76" spans="1:23" x14ac:dyDescent="0.2">
      <c r="A76" s="1607" t="s">
        <v>379</v>
      </c>
      <c r="B76" s="1607" t="s">
        <v>35</v>
      </c>
      <c r="C76" s="1607">
        <v>168</v>
      </c>
      <c r="D76" s="1607">
        <v>4</v>
      </c>
      <c r="E76" s="1607">
        <v>54</v>
      </c>
      <c r="F76" s="1607">
        <v>1</v>
      </c>
      <c r="G76" s="1607">
        <v>50</v>
      </c>
      <c r="H76" s="1607">
        <v>5</v>
      </c>
      <c r="I76" s="1607">
        <v>27</v>
      </c>
      <c r="J76" s="1607">
        <v>18</v>
      </c>
      <c r="K76" s="1607">
        <v>12</v>
      </c>
      <c r="L76" s="1607">
        <v>12</v>
      </c>
      <c r="M76" s="1607">
        <v>19</v>
      </c>
      <c r="N76" s="1607">
        <v>11</v>
      </c>
      <c r="O76" s="1607">
        <v>35</v>
      </c>
      <c r="P76" s="1607">
        <v>202</v>
      </c>
      <c r="Q76" s="1607">
        <v>8</v>
      </c>
      <c r="R76" s="1607">
        <v>21</v>
      </c>
      <c r="S76" s="1607">
        <v>0</v>
      </c>
      <c r="T76" s="1607">
        <v>4</v>
      </c>
      <c r="U76" s="1607">
        <v>51</v>
      </c>
      <c r="V76" s="1607">
        <v>5</v>
      </c>
      <c r="W76" s="1607">
        <v>370330</v>
      </c>
    </row>
    <row r="77" spans="1:23" x14ac:dyDescent="0.2">
      <c r="A77" s="1607" t="s">
        <v>379</v>
      </c>
      <c r="B77" s="1607" t="s">
        <v>36</v>
      </c>
      <c r="C77" s="1607">
        <v>206</v>
      </c>
      <c r="D77" s="1607">
        <v>5</v>
      </c>
      <c r="E77" s="1607">
        <v>203</v>
      </c>
      <c r="F77" s="1607">
        <v>26</v>
      </c>
      <c r="G77" s="1607">
        <v>48</v>
      </c>
      <c r="H77" s="1607">
        <v>11</v>
      </c>
      <c r="I77" s="1607">
        <v>161</v>
      </c>
      <c r="J77" s="1607">
        <v>37</v>
      </c>
      <c r="K77" s="1607">
        <v>20</v>
      </c>
      <c r="L77" s="1607">
        <v>25</v>
      </c>
      <c r="M77" s="1607">
        <v>26</v>
      </c>
      <c r="N77" s="1607">
        <v>41</v>
      </c>
      <c r="O77" s="1607">
        <v>37</v>
      </c>
      <c r="P77" s="1607">
        <v>369</v>
      </c>
      <c r="Q77" s="1607">
        <v>39</v>
      </c>
      <c r="R77" s="1607">
        <v>293</v>
      </c>
      <c r="S77" s="1607">
        <v>2</v>
      </c>
      <c r="T77" s="1607">
        <v>1</v>
      </c>
      <c r="U77" s="1607">
        <v>226</v>
      </c>
      <c r="V77" s="1607">
        <v>27</v>
      </c>
      <c r="W77" s="1607">
        <v>615070</v>
      </c>
    </row>
    <row r="78" spans="1:23" x14ac:dyDescent="0.2">
      <c r="A78" s="1607" t="s">
        <v>379</v>
      </c>
      <c r="B78" s="1607" t="s">
        <v>37</v>
      </c>
      <c r="C78" s="1607">
        <v>215</v>
      </c>
      <c r="D78" s="1607">
        <v>3</v>
      </c>
      <c r="E78" s="1607">
        <v>36</v>
      </c>
      <c r="F78" s="1607">
        <v>6</v>
      </c>
      <c r="G78" s="1607">
        <v>15</v>
      </c>
      <c r="H78" s="1607">
        <v>0</v>
      </c>
      <c r="I78" s="1607">
        <v>26</v>
      </c>
      <c r="J78" s="1607">
        <v>8</v>
      </c>
      <c r="K78" s="1607">
        <v>9</v>
      </c>
      <c r="L78" s="1607">
        <v>16</v>
      </c>
      <c r="M78" s="1607">
        <v>16</v>
      </c>
      <c r="N78" s="1607">
        <v>5</v>
      </c>
      <c r="O78" s="1607">
        <v>33</v>
      </c>
      <c r="P78" s="1607">
        <v>77</v>
      </c>
      <c r="Q78" s="1607">
        <v>16</v>
      </c>
      <c r="R78" s="1607">
        <v>18</v>
      </c>
      <c r="S78" s="1607">
        <v>1</v>
      </c>
      <c r="T78" s="1607">
        <v>3</v>
      </c>
      <c r="U78" s="1607">
        <v>55</v>
      </c>
      <c r="V78" s="1607">
        <v>14</v>
      </c>
      <c r="W78" s="1607">
        <v>234770</v>
      </c>
    </row>
    <row r="79" spans="1:23" x14ac:dyDescent="0.2">
      <c r="A79" s="1607" t="s">
        <v>379</v>
      </c>
      <c r="B79" s="1607" t="s">
        <v>38</v>
      </c>
      <c r="C79" s="1607">
        <v>28</v>
      </c>
      <c r="D79" s="1607">
        <v>2</v>
      </c>
      <c r="E79" s="1607">
        <v>33</v>
      </c>
      <c r="F79" s="1607">
        <v>1</v>
      </c>
      <c r="G79" s="1607">
        <v>8</v>
      </c>
      <c r="H79" s="1607">
        <v>3</v>
      </c>
      <c r="I79" s="1607">
        <v>15</v>
      </c>
      <c r="J79" s="1607">
        <v>7</v>
      </c>
      <c r="K79" s="1607">
        <v>3</v>
      </c>
      <c r="L79" s="1607">
        <v>2</v>
      </c>
      <c r="M79" s="1607">
        <v>4</v>
      </c>
      <c r="N79" s="1607">
        <v>4</v>
      </c>
      <c r="O79" s="1607">
        <v>8</v>
      </c>
      <c r="P79" s="1607">
        <v>54</v>
      </c>
      <c r="Q79" s="1607">
        <v>8</v>
      </c>
      <c r="R79" s="1607">
        <v>23</v>
      </c>
      <c r="S79" s="1607">
        <v>1</v>
      </c>
      <c r="T79" s="1607">
        <v>2</v>
      </c>
      <c r="U79" s="1607">
        <v>16</v>
      </c>
      <c r="V79" s="1607">
        <v>0</v>
      </c>
      <c r="W79" s="1607">
        <v>79160</v>
      </c>
    </row>
    <row r="80" spans="1:23" x14ac:dyDescent="0.2">
      <c r="A80" s="1607" t="s">
        <v>379</v>
      </c>
      <c r="B80" s="1607" t="s">
        <v>39</v>
      </c>
      <c r="C80" s="1607">
        <v>39</v>
      </c>
      <c r="D80" s="1607">
        <v>0</v>
      </c>
      <c r="E80" s="1607">
        <v>20</v>
      </c>
      <c r="F80" s="1607">
        <v>2</v>
      </c>
      <c r="G80" s="1607">
        <v>11</v>
      </c>
      <c r="H80" s="1607">
        <v>3</v>
      </c>
      <c r="I80" s="1607">
        <v>0</v>
      </c>
      <c r="J80" s="1607">
        <v>6</v>
      </c>
      <c r="K80" s="1607">
        <v>2</v>
      </c>
      <c r="L80" s="1607">
        <v>3</v>
      </c>
      <c r="M80" s="1607">
        <v>1</v>
      </c>
      <c r="N80" s="1607">
        <v>3</v>
      </c>
      <c r="O80" s="1607">
        <v>8</v>
      </c>
      <c r="P80" s="1607">
        <v>33</v>
      </c>
      <c r="Q80" s="1607">
        <v>0</v>
      </c>
      <c r="R80" s="1607">
        <v>18</v>
      </c>
      <c r="S80" s="1607">
        <v>0</v>
      </c>
      <c r="T80" s="1607">
        <v>0</v>
      </c>
      <c r="U80" s="1607">
        <v>12</v>
      </c>
      <c r="V80" s="1607">
        <v>1</v>
      </c>
      <c r="W80" s="1607">
        <v>88610</v>
      </c>
    </row>
    <row r="81" spans="1:23" x14ac:dyDescent="0.2">
      <c r="A81" s="1607" t="s">
        <v>379</v>
      </c>
      <c r="B81" s="1607" t="s">
        <v>40</v>
      </c>
      <c r="C81" s="1607">
        <v>38</v>
      </c>
      <c r="D81" s="1607">
        <v>2</v>
      </c>
      <c r="E81" s="1607">
        <v>10</v>
      </c>
      <c r="F81" s="1607">
        <v>1</v>
      </c>
      <c r="G81" s="1607">
        <v>21</v>
      </c>
      <c r="H81" s="1607">
        <v>2</v>
      </c>
      <c r="I81" s="1607">
        <v>2</v>
      </c>
      <c r="J81" s="1607">
        <v>4</v>
      </c>
      <c r="K81" s="1607">
        <v>3</v>
      </c>
      <c r="L81" s="1607">
        <v>4</v>
      </c>
      <c r="M81" s="1607">
        <v>3</v>
      </c>
      <c r="N81" s="1607">
        <v>2</v>
      </c>
      <c r="O81" s="1607">
        <v>10</v>
      </c>
      <c r="P81" s="1607">
        <v>35</v>
      </c>
      <c r="Q81" s="1607">
        <v>1</v>
      </c>
      <c r="R81" s="1607">
        <v>8</v>
      </c>
      <c r="S81" s="1607">
        <v>0</v>
      </c>
      <c r="T81" s="1607">
        <v>1</v>
      </c>
      <c r="U81" s="1607">
        <v>16</v>
      </c>
      <c r="V81" s="1607">
        <v>2</v>
      </c>
      <c r="W81" s="1607">
        <v>96070</v>
      </c>
    </row>
    <row r="82" spans="1:23" x14ac:dyDescent="0.2">
      <c r="A82" s="1607" t="s">
        <v>379</v>
      </c>
      <c r="B82" s="1607" t="s">
        <v>393</v>
      </c>
      <c r="C82" s="1607">
        <v>14</v>
      </c>
      <c r="D82" s="1607">
        <v>1</v>
      </c>
      <c r="E82" s="1607">
        <v>2</v>
      </c>
      <c r="F82" s="1607">
        <v>0</v>
      </c>
      <c r="G82" s="1607">
        <v>1</v>
      </c>
      <c r="H82" s="1607">
        <v>0</v>
      </c>
      <c r="I82" s="1607">
        <v>4</v>
      </c>
      <c r="J82" s="1607">
        <v>1</v>
      </c>
      <c r="K82" s="1607">
        <v>0</v>
      </c>
      <c r="L82" s="1607">
        <v>0</v>
      </c>
      <c r="M82" s="1607">
        <v>0</v>
      </c>
      <c r="N82" s="1607">
        <v>1</v>
      </c>
      <c r="O82" s="1607">
        <v>4</v>
      </c>
      <c r="P82" s="1607">
        <v>5</v>
      </c>
      <c r="Q82" s="1607">
        <v>1</v>
      </c>
      <c r="R82" s="1607">
        <v>3</v>
      </c>
      <c r="S82" s="1607">
        <v>0</v>
      </c>
      <c r="T82" s="1607">
        <v>6</v>
      </c>
      <c r="U82" s="1607">
        <v>10</v>
      </c>
      <c r="V82" s="1607">
        <v>0</v>
      </c>
      <c r="W82" s="1607">
        <v>26900</v>
      </c>
    </row>
    <row r="83" spans="1:23" x14ac:dyDescent="0.2">
      <c r="A83" s="1607" t="s">
        <v>379</v>
      </c>
      <c r="B83" s="1607" t="s">
        <v>41</v>
      </c>
      <c r="C83" s="1607">
        <v>39</v>
      </c>
      <c r="D83" s="1607">
        <v>3</v>
      </c>
      <c r="E83" s="1607">
        <v>47</v>
      </c>
      <c r="F83" s="1607">
        <v>1</v>
      </c>
      <c r="G83" s="1607">
        <v>8</v>
      </c>
      <c r="H83" s="1607">
        <v>2</v>
      </c>
      <c r="I83" s="1607">
        <v>12</v>
      </c>
      <c r="J83" s="1607">
        <v>10</v>
      </c>
      <c r="K83" s="1607">
        <v>0</v>
      </c>
      <c r="L83" s="1607">
        <v>4</v>
      </c>
      <c r="M83" s="1607">
        <v>3</v>
      </c>
      <c r="N83" s="1607">
        <v>1</v>
      </c>
      <c r="O83" s="1607">
        <v>9</v>
      </c>
      <c r="P83" s="1607">
        <v>65</v>
      </c>
      <c r="Q83" s="1607">
        <v>4</v>
      </c>
      <c r="R83" s="1607">
        <v>31</v>
      </c>
      <c r="S83" s="1607">
        <v>0</v>
      </c>
      <c r="T83" s="1607">
        <v>0</v>
      </c>
      <c r="U83" s="1607">
        <v>45</v>
      </c>
      <c r="V83" s="1607">
        <v>1</v>
      </c>
      <c r="W83" s="1607">
        <v>135890</v>
      </c>
    </row>
    <row r="84" spans="1:23" x14ac:dyDescent="0.2">
      <c r="A84" s="1607" t="s">
        <v>379</v>
      </c>
      <c r="B84" s="1607" t="s">
        <v>42</v>
      </c>
      <c r="C84" s="1607">
        <v>153</v>
      </c>
      <c r="D84" s="1607">
        <v>2</v>
      </c>
      <c r="E84" s="1607">
        <v>52</v>
      </c>
      <c r="F84" s="1607">
        <v>1</v>
      </c>
      <c r="G84" s="1607">
        <v>30</v>
      </c>
      <c r="H84" s="1607">
        <v>6</v>
      </c>
      <c r="I84" s="1607">
        <v>25</v>
      </c>
      <c r="J84" s="1607">
        <v>15</v>
      </c>
      <c r="K84" s="1607">
        <v>7</v>
      </c>
      <c r="L84" s="1607">
        <v>4</v>
      </c>
      <c r="M84" s="1607">
        <v>15</v>
      </c>
      <c r="N84" s="1607">
        <v>22</v>
      </c>
      <c r="O84" s="1607">
        <v>15</v>
      </c>
      <c r="P84" s="1607">
        <v>126</v>
      </c>
      <c r="Q84" s="1607">
        <v>8</v>
      </c>
      <c r="R84" s="1607">
        <v>71</v>
      </c>
      <c r="S84" s="1607">
        <v>0</v>
      </c>
      <c r="T84" s="1607">
        <v>0</v>
      </c>
      <c r="U84" s="1607">
        <v>61</v>
      </c>
      <c r="V84" s="1607">
        <v>8</v>
      </c>
      <c r="W84" s="1607">
        <v>339390</v>
      </c>
    </row>
    <row r="85" spans="1:23" x14ac:dyDescent="0.2">
      <c r="A85" s="1607" t="s">
        <v>379</v>
      </c>
      <c r="B85" s="1607" t="s">
        <v>43</v>
      </c>
      <c r="C85" s="1607">
        <v>5</v>
      </c>
      <c r="D85" s="1607">
        <v>1</v>
      </c>
      <c r="E85" s="1607">
        <v>0</v>
      </c>
      <c r="F85" s="1607">
        <v>1</v>
      </c>
      <c r="G85" s="1607">
        <v>0</v>
      </c>
      <c r="H85" s="1607">
        <v>0</v>
      </c>
      <c r="I85" s="1607">
        <v>0</v>
      </c>
      <c r="J85" s="1607">
        <v>1</v>
      </c>
      <c r="K85" s="1607">
        <v>1</v>
      </c>
      <c r="L85" s="1607">
        <v>1</v>
      </c>
      <c r="M85" s="1607">
        <v>0</v>
      </c>
      <c r="N85" s="1607">
        <v>0</v>
      </c>
      <c r="O85" s="1607">
        <v>1</v>
      </c>
      <c r="P85" s="1607">
        <v>1</v>
      </c>
      <c r="Q85" s="1607">
        <v>1</v>
      </c>
      <c r="R85" s="1607">
        <v>3</v>
      </c>
      <c r="S85" s="1607">
        <v>0</v>
      </c>
      <c r="T85" s="1607">
        <v>0</v>
      </c>
      <c r="U85" s="1607">
        <v>7</v>
      </c>
      <c r="V85" s="1607">
        <v>1</v>
      </c>
      <c r="W85" s="1607">
        <v>21850</v>
      </c>
    </row>
    <row r="86" spans="1:23" x14ac:dyDescent="0.2">
      <c r="A86" s="1607" t="s">
        <v>379</v>
      </c>
      <c r="B86" s="1607" t="s">
        <v>44</v>
      </c>
      <c r="C86" s="1607">
        <v>86</v>
      </c>
      <c r="D86" s="1607">
        <v>2</v>
      </c>
      <c r="E86" s="1607">
        <v>19</v>
      </c>
      <c r="F86" s="1607">
        <v>18</v>
      </c>
      <c r="G86" s="1607">
        <v>13</v>
      </c>
      <c r="H86" s="1607">
        <v>1</v>
      </c>
      <c r="I86" s="1607">
        <v>10</v>
      </c>
      <c r="J86" s="1607">
        <v>11</v>
      </c>
      <c r="K86" s="1607">
        <v>1</v>
      </c>
      <c r="L86" s="1607">
        <v>5</v>
      </c>
      <c r="M86" s="1607">
        <v>6</v>
      </c>
      <c r="N86" s="1607">
        <v>2</v>
      </c>
      <c r="O86" s="1607">
        <v>8</v>
      </c>
      <c r="P86" s="1607">
        <v>59</v>
      </c>
      <c r="Q86" s="1607">
        <v>9</v>
      </c>
      <c r="R86" s="1607">
        <v>8</v>
      </c>
      <c r="S86" s="1607">
        <v>0</v>
      </c>
      <c r="T86" s="1607">
        <v>0</v>
      </c>
      <c r="U86" s="1607">
        <v>16</v>
      </c>
      <c r="V86" s="1607">
        <v>2</v>
      </c>
      <c r="W86" s="1607">
        <v>150680</v>
      </c>
    </row>
    <row r="87" spans="1:23" x14ac:dyDescent="0.2">
      <c r="A87" s="1607" t="s">
        <v>379</v>
      </c>
      <c r="B87" s="1607" t="s">
        <v>45</v>
      </c>
      <c r="C87" s="1607">
        <v>86</v>
      </c>
      <c r="D87" s="1607">
        <v>4</v>
      </c>
      <c r="E87" s="1607">
        <v>33</v>
      </c>
      <c r="F87" s="1607">
        <v>5</v>
      </c>
      <c r="G87" s="1607">
        <v>16</v>
      </c>
      <c r="H87" s="1607">
        <v>2</v>
      </c>
      <c r="I87" s="1607">
        <v>19</v>
      </c>
      <c r="J87" s="1607">
        <v>13</v>
      </c>
      <c r="K87" s="1607">
        <v>4</v>
      </c>
      <c r="L87" s="1607">
        <v>3</v>
      </c>
      <c r="M87" s="1607">
        <v>9</v>
      </c>
      <c r="N87" s="1607">
        <v>4</v>
      </c>
      <c r="O87" s="1607">
        <v>13</v>
      </c>
      <c r="P87" s="1607">
        <v>116</v>
      </c>
      <c r="Q87" s="1607">
        <v>2</v>
      </c>
      <c r="R87" s="1607">
        <v>78</v>
      </c>
      <c r="S87" s="1607">
        <v>0</v>
      </c>
      <c r="T87" s="1607">
        <v>4</v>
      </c>
      <c r="U87" s="1607">
        <v>39</v>
      </c>
      <c r="V87" s="1607">
        <v>7</v>
      </c>
      <c r="W87" s="1607">
        <v>175930</v>
      </c>
    </row>
    <row r="88" spans="1:23" x14ac:dyDescent="0.2">
      <c r="A88" s="1607" t="s">
        <v>379</v>
      </c>
      <c r="B88" s="1607" t="s">
        <v>46</v>
      </c>
      <c r="C88" s="1607">
        <v>99</v>
      </c>
      <c r="D88" s="1607">
        <v>3</v>
      </c>
      <c r="E88" s="1607">
        <v>19</v>
      </c>
      <c r="F88" s="1607">
        <v>3</v>
      </c>
      <c r="G88" s="1607">
        <v>14</v>
      </c>
      <c r="H88" s="1607">
        <v>0</v>
      </c>
      <c r="I88" s="1607">
        <v>6</v>
      </c>
      <c r="J88" s="1607">
        <v>38</v>
      </c>
      <c r="K88" s="1607">
        <v>4</v>
      </c>
      <c r="L88" s="1607">
        <v>8</v>
      </c>
      <c r="M88" s="1607">
        <v>4</v>
      </c>
      <c r="N88" s="1607">
        <v>5</v>
      </c>
      <c r="O88" s="1607">
        <v>11</v>
      </c>
      <c r="P88" s="1607">
        <v>62</v>
      </c>
      <c r="Q88" s="1607">
        <v>2</v>
      </c>
      <c r="R88" s="1607">
        <v>12</v>
      </c>
      <c r="S88" s="1607">
        <v>0</v>
      </c>
      <c r="T88" s="1607">
        <v>0</v>
      </c>
      <c r="U88" s="1607">
        <v>27</v>
      </c>
      <c r="V88" s="1607">
        <v>4</v>
      </c>
      <c r="W88" s="1607">
        <v>114530</v>
      </c>
    </row>
    <row r="89" spans="1:23" x14ac:dyDescent="0.2">
      <c r="A89" s="1607" t="s">
        <v>379</v>
      </c>
      <c r="B89" s="1607" t="s">
        <v>47</v>
      </c>
      <c r="C89" s="1607">
        <v>10</v>
      </c>
      <c r="D89" s="1607">
        <v>0</v>
      </c>
      <c r="E89" s="1607">
        <v>3</v>
      </c>
      <c r="F89" s="1607">
        <v>0</v>
      </c>
      <c r="G89" s="1607">
        <v>1</v>
      </c>
      <c r="H89" s="1607">
        <v>0</v>
      </c>
      <c r="I89" s="1607">
        <v>0</v>
      </c>
      <c r="J89" s="1607">
        <v>1</v>
      </c>
      <c r="K89" s="1607">
        <v>2</v>
      </c>
      <c r="L89" s="1607">
        <v>2</v>
      </c>
      <c r="M89" s="1607">
        <v>0</v>
      </c>
      <c r="N89" s="1607">
        <v>1</v>
      </c>
      <c r="O89" s="1607">
        <v>0</v>
      </c>
      <c r="P89" s="1607">
        <v>2</v>
      </c>
      <c r="Q89" s="1607">
        <v>3</v>
      </c>
      <c r="R89" s="1607">
        <v>2</v>
      </c>
      <c r="S89" s="1607">
        <v>0</v>
      </c>
      <c r="T89" s="1607">
        <v>6</v>
      </c>
      <c r="U89" s="1607">
        <v>5</v>
      </c>
      <c r="V89" s="1607">
        <v>0</v>
      </c>
      <c r="W89" s="1607">
        <v>23200</v>
      </c>
    </row>
    <row r="90" spans="1:23" x14ac:dyDescent="0.2">
      <c r="A90" s="1607" t="s">
        <v>379</v>
      </c>
      <c r="B90" s="1607" t="s">
        <v>48</v>
      </c>
      <c r="C90" s="1607">
        <v>62</v>
      </c>
      <c r="D90" s="1607">
        <v>1</v>
      </c>
      <c r="E90" s="1607">
        <v>14</v>
      </c>
      <c r="F90" s="1607">
        <v>2</v>
      </c>
      <c r="G90" s="1607">
        <v>12</v>
      </c>
      <c r="H90" s="1607">
        <v>1</v>
      </c>
      <c r="I90" s="1607">
        <v>12</v>
      </c>
      <c r="J90" s="1607">
        <v>9</v>
      </c>
      <c r="K90" s="1607">
        <v>2</v>
      </c>
      <c r="L90" s="1607">
        <v>3</v>
      </c>
      <c r="M90" s="1607">
        <v>7</v>
      </c>
      <c r="N90" s="1607">
        <v>5</v>
      </c>
      <c r="O90" s="1607">
        <v>12</v>
      </c>
      <c r="P90" s="1607">
        <v>49</v>
      </c>
      <c r="Q90" s="1607">
        <v>6</v>
      </c>
      <c r="R90" s="1607">
        <v>30</v>
      </c>
      <c r="S90" s="1607">
        <v>0</v>
      </c>
      <c r="T90" s="1607">
        <v>3</v>
      </c>
      <c r="U90" s="1607">
        <v>22</v>
      </c>
      <c r="V90" s="1607">
        <v>1</v>
      </c>
      <c r="W90" s="1607">
        <v>112470</v>
      </c>
    </row>
    <row r="91" spans="1:23" x14ac:dyDescent="0.2">
      <c r="A91" s="1607" t="s">
        <v>379</v>
      </c>
      <c r="B91" s="1607" t="s">
        <v>49</v>
      </c>
      <c r="C91" s="1607">
        <v>150</v>
      </c>
      <c r="D91" s="1607">
        <v>3</v>
      </c>
      <c r="E91" s="1607">
        <v>37</v>
      </c>
      <c r="F91" s="1607">
        <v>1</v>
      </c>
      <c r="G91" s="1607">
        <v>16</v>
      </c>
      <c r="H91" s="1607">
        <v>5</v>
      </c>
      <c r="I91" s="1607">
        <v>14</v>
      </c>
      <c r="J91" s="1607">
        <v>19</v>
      </c>
      <c r="K91" s="1607">
        <v>10</v>
      </c>
      <c r="L91" s="1607">
        <v>3</v>
      </c>
      <c r="M91" s="1607">
        <v>13</v>
      </c>
      <c r="N91" s="1607">
        <v>18</v>
      </c>
      <c r="O91" s="1607">
        <v>19</v>
      </c>
      <c r="P91" s="1607">
        <v>124</v>
      </c>
      <c r="Q91" s="1607">
        <v>9</v>
      </c>
      <c r="R91" s="1607">
        <v>105</v>
      </c>
      <c r="S91" s="1607">
        <v>1</v>
      </c>
      <c r="T91" s="1607">
        <v>0</v>
      </c>
      <c r="U91" s="1607">
        <v>80</v>
      </c>
      <c r="V91" s="1607">
        <v>8</v>
      </c>
      <c r="W91" s="1607">
        <v>317100</v>
      </c>
    </row>
    <row r="92" spans="1:23" x14ac:dyDescent="0.2">
      <c r="A92" s="1607" t="s">
        <v>379</v>
      </c>
      <c r="B92" s="1607" t="s">
        <v>50</v>
      </c>
      <c r="C92" s="1607">
        <v>67</v>
      </c>
      <c r="D92" s="1607">
        <v>1</v>
      </c>
      <c r="E92" s="1607">
        <v>23</v>
      </c>
      <c r="F92" s="1607">
        <v>4</v>
      </c>
      <c r="G92" s="1607">
        <v>11</v>
      </c>
      <c r="H92" s="1607">
        <v>1</v>
      </c>
      <c r="I92" s="1607">
        <v>6</v>
      </c>
      <c r="J92" s="1607">
        <v>18</v>
      </c>
      <c r="K92" s="1607">
        <v>3</v>
      </c>
      <c r="L92" s="1607">
        <v>3</v>
      </c>
      <c r="M92" s="1607">
        <v>7</v>
      </c>
      <c r="N92" s="1607">
        <v>2</v>
      </c>
      <c r="O92" s="1607">
        <v>12</v>
      </c>
      <c r="P92" s="1607">
        <v>48</v>
      </c>
      <c r="Q92" s="1607">
        <v>3</v>
      </c>
      <c r="R92" s="1607">
        <v>6</v>
      </c>
      <c r="S92" s="1607">
        <v>0</v>
      </c>
      <c r="T92" s="1607">
        <v>1</v>
      </c>
      <c r="U92" s="1607">
        <v>16</v>
      </c>
      <c r="V92" s="1607">
        <v>1</v>
      </c>
      <c r="W92" s="1607">
        <v>93750</v>
      </c>
    </row>
    <row r="93" spans="1:23" x14ac:dyDescent="0.2">
      <c r="A93" s="1607" t="s">
        <v>379</v>
      </c>
      <c r="B93" s="1607" t="s">
        <v>51</v>
      </c>
      <c r="C93" s="1607">
        <v>27</v>
      </c>
      <c r="D93" s="1607">
        <v>0</v>
      </c>
      <c r="E93" s="1607">
        <v>21</v>
      </c>
      <c r="F93" s="1607">
        <v>1</v>
      </c>
      <c r="G93" s="1607">
        <v>10</v>
      </c>
      <c r="H93" s="1607">
        <v>3</v>
      </c>
      <c r="I93" s="1607">
        <v>9</v>
      </c>
      <c r="J93" s="1607">
        <v>10</v>
      </c>
      <c r="K93" s="1607">
        <v>3</v>
      </c>
      <c r="L93" s="1607">
        <v>0</v>
      </c>
      <c r="M93" s="1607">
        <v>7</v>
      </c>
      <c r="N93" s="1607">
        <v>3</v>
      </c>
      <c r="O93" s="1607">
        <v>7</v>
      </c>
      <c r="P93" s="1607">
        <v>46</v>
      </c>
      <c r="Q93" s="1607">
        <v>5</v>
      </c>
      <c r="R93" s="1607">
        <v>20</v>
      </c>
      <c r="S93" s="1607">
        <v>0</v>
      </c>
      <c r="T93" s="1607">
        <v>0</v>
      </c>
      <c r="U93" s="1607">
        <v>28</v>
      </c>
      <c r="V93" s="1607">
        <v>4</v>
      </c>
      <c r="W93" s="1607">
        <v>89860</v>
      </c>
    </row>
    <row r="94" spans="1:23" x14ac:dyDescent="0.2">
      <c r="A94" s="1607" t="s">
        <v>379</v>
      </c>
      <c r="B94" s="1607" t="s">
        <v>52</v>
      </c>
      <c r="C94" s="1607">
        <v>88</v>
      </c>
      <c r="D94" s="1607">
        <v>4</v>
      </c>
      <c r="E94" s="1607">
        <v>23</v>
      </c>
      <c r="F94" s="1607">
        <v>2</v>
      </c>
      <c r="G94" s="1607">
        <v>22</v>
      </c>
      <c r="H94" s="1607">
        <v>3</v>
      </c>
      <c r="I94" s="1607">
        <v>5</v>
      </c>
      <c r="J94" s="1607">
        <v>56</v>
      </c>
      <c r="K94" s="1607">
        <v>4</v>
      </c>
      <c r="L94" s="1607">
        <v>8</v>
      </c>
      <c r="M94" s="1607">
        <v>6</v>
      </c>
      <c r="N94" s="1607">
        <v>8</v>
      </c>
      <c r="O94" s="1607">
        <v>11</v>
      </c>
      <c r="P94" s="1607">
        <v>137</v>
      </c>
      <c r="Q94" s="1607">
        <v>9</v>
      </c>
      <c r="R94" s="1607">
        <v>41</v>
      </c>
      <c r="S94" s="1607">
        <v>0</v>
      </c>
      <c r="T94" s="1607">
        <v>0</v>
      </c>
      <c r="U94" s="1607">
        <v>36</v>
      </c>
      <c r="V94" s="1607">
        <v>1</v>
      </c>
      <c r="W94" s="1607">
        <v>180130</v>
      </c>
    </row>
    <row r="95" spans="1:23" x14ac:dyDescent="0.2">
      <c r="A95" s="1607" t="s">
        <v>603</v>
      </c>
      <c r="B95" s="1607" t="s">
        <v>23</v>
      </c>
      <c r="C95" s="1607">
        <v>52</v>
      </c>
      <c r="D95" s="1607">
        <v>13</v>
      </c>
      <c r="E95" s="1607">
        <v>58</v>
      </c>
      <c r="F95" s="1607">
        <v>1</v>
      </c>
      <c r="G95" s="1607">
        <v>26</v>
      </c>
      <c r="H95" s="1607">
        <v>5</v>
      </c>
      <c r="I95" s="1607">
        <v>151</v>
      </c>
      <c r="J95" s="1607">
        <v>18</v>
      </c>
      <c r="K95" s="1607">
        <v>3</v>
      </c>
      <c r="L95" s="1607">
        <v>16</v>
      </c>
      <c r="M95" s="1607">
        <v>3</v>
      </c>
      <c r="N95" s="1607">
        <v>5</v>
      </c>
      <c r="O95" s="1607">
        <v>20</v>
      </c>
      <c r="P95" s="1607">
        <v>146</v>
      </c>
      <c r="Q95" s="1607">
        <v>11</v>
      </c>
      <c r="R95" s="1607">
        <v>29</v>
      </c>
      <c r="S95" s="1607">
        <v>0</v>
      </c>
      <c r="T95" s="1607">
        <v>1</v>
      </c>
      <c r="U95" s="1607">
        <v>28</v>
      </c>
      <c r="V95" s="1607">
        <v>8</v>
      </c>
      <c r="W95" s="1607">
        <v>228800</v>
      </c>
    </row>
    <row r="96" spans="1:23" x14ac:dyDescent="0.2">
      <c r="A96" s="1607" t="s">
        <v>603</v>
      </c>
      <c r="B96" s="1607" t="s">
        <v>24</v>
      </c>
      <c r="C96" s="1607">
        <v>182</v>
      </c>
      <c r="D96" s="1607">
        <v>0</v>
      </c>
      <c r="E96" s="1607">
        <v>26</v>
      </c>
      <c r="F96" s="1607">
        <v>5</v>
      </c>
      <c r="G96" s="1607">
        <v>17</v>
      </c>
      <c r="H96" s="1607">
        <v>1</v>
      </c>
      <c r="I96" s="1607">
        <v>14</v>
      </c>
      <c r="J96" s="1607">
        <v>26</v>
      </c>
      <c r="K96" s="1607">
        <v>0</v>
      </c>
      <c r="L96" s="1607">
        <v>7</v>
      </c>
      <c r="M96" s="1607">
        <v>4</v>
      </c>
      <c r="N96" s="1607">
        <v>6</v>
      </c>
      <c r="O96" s="1607">
        <v>24</v>
      </c>
      <c r="P96" s="1607">
        <v>57</v>
      </c>
      <c r="Q96" s="1607">
        <v>8</v>
      </c>
      <c r="R96" s="1607">
        <v>12</v>
      </c>
      <c r="S96" s="1607">
        <v>0</v>
      </c>
      <c r="T96" s="1607">
        <v>0</v>
      </c>
      <c r="U96" s="1607">
        <v>34</v>
      </c>
      <c r="V96" s="1607">
        <v>2</v>
      </c>
      <c r="W96" s="1607">
        <v>261800</v>
      </c>
    </row>
    <row r="97" spans="1:23" x14ac:dyDescent="0.2">
      <c r="A97" s="1607" t="s">
        <v>603</v>
      </c>
      <c r="B97" s="1607" t="s">
        <v>25</v>
      </c>
      <c r="C97" s="1607">
        <v>65</v>
      </c>
      <c r="D97" s="1607">
        <v>1</v>
      </c>
      <c r="E97" s="1607">
        <v>20</v>
      </c>
      <c r="F97" s="1607">
        <v>2</v>
      </c>
      <c r="G97" s="1607">
        <v>16</v>
      </c>
      <c r="H97" s="1607">
        <v>1</v>
      </c>
      <c r="I97" s="1607">
        <v>3</v>
      </c>
      <c r="J97" s="1607">
        <v>11</v>
      </c>
      <c r="K97" s="1607">
        <v>3</v>
      </c>
      <c r="L97" s="1607">
        <v>4</v>
      </c>
      <c r="M97" s="1607">
        <v>2</v>
      </c>
      <c r="N97" s="1607">
        <v>3</v>
      </c>
      <c r="O97" s="1607">
        <v>9</v>
      </c>
      <c r="P97" s="1607">
        <v>77</v>
      </c>
      <c r="Q97" s="1607">
        <v>7</v>
      </c>
      <c r="R97" s="1607">
        <v>20</v>
      </c>
      <c r="S97" s="1607">
        <v>0</v>
      </c>
      <c r="T97" s="1607">
        <v>0</v>
      </c>
      <c r="U97" s="1607">
        <v>28</v>
      </c>
      <c r="V97" s="1607">
        <v>4</v>
      </c>
      <c r="W97" s="1607">
        <v>116280</v>
      </c>
    </row>
    <row r="98" spans="1:23" x14ac:dyDescent="0.2">
      <c r="A98" s="1607" t="s">
        <v>603</v>
      </c>
      <c r="B98" s="1607" t="s">
        <v>26</v>
      </c>
      <c r="C98" s="1607">
        <v>77</v>
      </c>
      <c r="D98" s="1607">
        <v>2</v>
      </c>
      <c r="E98" s="1607">
        <v>22</v>
      </c>
      <c r="F98" s="1607">
        <v>3</v>
      </c>
      <c r="G98" s="1607">
        <v>6</v>
      </c>
      <c r="H98" s="1607">
        <v>2</v>
      </c>
      <c r="I98" s="1607">
        <v>8</v>
      </c>
      <c r="J98" s="1607">
        <v>15</v>
      </c>
      <c r="K98" s="1607">
        <v>4</v>
      </c>
      <c r="L98" s="1607">
        <v>2</v>
      </c>
      <c r="M98" s="1607">
        <v>6</v>
      </c>
      <c r="N98" s="1607">
        <v>3</v>
      </c>
      <c r="O98" s="1607">
        <v>10</v>
      </c>
      <c r="P98" s="1607">
        <v>28</v>
      </c>
      <c r="Q98" s="1607">
        <v>6</v>
      </c>
      <c r="R98" s="1607">
        <v>29</v>
      </c>
      <c r="S98" s="1607">
        <v>0</v>
      </c>
      <c r="T98" s="1607">
        <v>25</v>
      </c>
      <c r="U98" s="1607">
        <v>53</v>
      </c>
      <c r="V98" s="1607">
        <v>3</v>
      </c>
      <c r="W98" s="1607">
        <v>86810</v>
      </c>
    </row>
    <row r="99" spans="1:23" x14ac:dyDescent="0.2">
      <c r="A99" s="1607" t="s">
        <v>603</v>
      </c>
      <c r="B99" s="1607" t="s">
        <v>27</v>
      </c>
      <c r="C99" s="1607">
        <v>12</v>
      </c>
      <c r="D99" s="1607">
        <v>0</v>
      </c>
      <c r="E99" s="1607">
        <v>9</v>
      </c>
      <c r="F99" s="1607">
        <v>0</v>
      </c>
      <c r="G99" s="1607">
        <v>8</v>
      </c>
      <c r="H99" s="1607">
        <v>1</v>
      </c>
      <c r="I99" s="1607">
        <v>1</v>
      </c>
      <c r="J99" s="1607">
        <v>4</v>
      </c>
      <c r="K99" s="1607">
        <v>2</v>
      </c>
      <c r="L99" s="1607">
        <v>1</v>
      </c>
      <c r="M99" s="1607">
        <v>2</v>
      </c>
      <c r="N99" s="1607">
        <v>6</v>
      </c>
      <c r="O99" s="1607">
        <v>4</v>
      </c>
      <c r="P99" s="1607">
        <v>41</v>
      </c>
      <c r="Q99" s="1607">
        <v>0</v>
      </c>
      <c r="R99" s="1607">
        <v>3</v>
      </c>
      <c r="S99" s="1607">
        <v>0</v>
      </c>
      <c r="T99" s="1607">
        <v>0</v>
      </c>
      <c r="U99" s="1607">
        <v>12</v>
      </c>
      <c r="V99" s="1607">
        <v>1</v>
      </c>
      <c r="W99" s="1607">
        <v>51450</v>
      </c>
    </row>
    <row r="100" spans="1:23" x14ac:dyDescent="0.2">
      <c r="A100" s="1607" t="s">
        <v>603</v>
      </c>
      <c r="B100" s="1607" t="s">
        <v>28</v>
      </c>
      <c r="C100" s="1607">
        <v>91</v>
      </c>
      <c r="D100" s="1607">
        <v>4</v>
      </c>
      <c r="E100" s="1607">
        <v>30</v>
      </c>
      <c r="F100" s="1607">
        <v>13</v>
      </c>
      <c r="G100" s="1607">
        <v>11</v>
      </c>
      <c r="H100" s="1607">
        <v>1</v>
      </c>
      <c r="I100" s="1607">
        <v>12</v>
      </c>
      <c r="J100" s="1607">
        <v>23</v>
      </c>
      <c r="K100" s="1607">
        <v>8</v>
      </c>
      <c r="L100" s="1607">
        <v>6</v>
      </c>
      <c r="M100" s="1607">
        <v>7</v>
      </c>
      <c r="N100" s="1607">
        <v>5</v>
      </c>
      <c r="O100" s="1607">
        <v>19</v>
      </c>
      <c r="P100" s="1607">
        <v>45</v>
      </c>
      <c r="Q100" s="1607">
        <v>7</v>
      </c>
      <c r="R100" s="1607">
        <v>7</v>
      </c>
      <c r="S100" s="1607">
        <v>0</v>
      </c>
      <c r="T100" s="1607">
        <v>1</v>
      </c>
      <c r="U100" s="1607">
        <v>35</v>
      </c>
      <c r="V100" s="1607">
        <v>5</v>
      </c>
      <c r="W100" s="1607">
        <v>149200</v>
      </c>
    </row>
    <row r="101" spans="1:23" x14ac:dyDescent="0.2">
      <c r="A101" s="1607" t="s">
        <v>603</v>
      </c>
      <c r="B101" s="1607" t="s">
        <v>29</v>
      </c>
      <c r="C101" s="1607">
        <v>34</v>
      </c>
      <c r="D101" s="1607">
        <v>3</v>
      </c>
      <c r="E101" s="1607">
        <v>45</v>
      </c>
      <c r="F101" s="1607">
        <v>2</v>
      </c>
      <c r="G101" s="1607">
        <v>12</v>
      </c>
      <c r="H101" s="1607">
        <v>6</v>
      </c>
      <c r="I101" s="1607">
        <v>54</v>
      </c>
      <c r="J101" s="1607">
        <v>8</v>
      </c>
      <c r="K101" s="1607">
        <v>5</v>
      </c>
      <c r="L101" s="1607">
        <v>4</v>
      </c>
      <c r="M101" s="1607">
        <v>6</v>
      </c>
      <c r="N101" s="1607">
        <v>3</v>
      </c>
      <c r="O101" s="1607">
        <v>12</v>
      </c>
      <c r="P101" s="1607">
        <v>141</v>
      </c>
      <c r="Q101" s="1607">
        <v>32</v>
      </c>
      <c r="R101" s="1607">
        <v>21</v>
      </c>
      <c r="S101" s="1607">
        <v>0</v>
      </c>
      <c r="T101" s="1607">
        <v>1</v>
      </c>
      <c r="U101" s="1607">
        <v>20</v>
      </c>
      <c r="V101" s="1607">
        <v>7</v>
      </c>
      <c r="W101" s="1607">
        <v>148710</v>
      </c>
    </row>
    <row r="102" spans="1:23" x14ac:dyDescent="0.2">
      <c r="A102" s="1607" t="s">
        <v>603</v>
      </c>
      <c r="B102" s="1607" t="s">
        <v>30</v>
      </c>
      <c r="C102" s="1607">
        <v>61</v>
      </c>
      <c r="D102" s="1607">
        <v>3</v>
      </c>
      <c r="E102" s="1607">
        <v>15</v>
      </c>
      <c r="F102" s="1607">
        <v>5</v>
      </c>
      <c r="G102" s="1607">
        <v>7</v>
      </c>
      <c r="H102" s="1607">
        <v>0</v>
      </c>
      <c r="I102" s="1607">
        <v>2</v>
      </c>
      <c r="J102" s="1607">
        <v>4</v>
      </c>
      <c r="K102" s="1607">
        <v>2</v>
      </c>
      <c r="L102" s="1607">
        <v>3</v>
      </c>
      <c r="M102" s="1607">
        <v>0</v>
      </c>
      <c r="N102" s="1607">
        <v>3</v>
      </c>
      <c r="O102" s="1607">
        <v>8</v>
      </c>
      <c r="P102" s="1607">
        <v>45</v>
      </c>
      <c r="Q102" s="1607">
        <v>5</v>
      </c>
      <c r="R102" s="1607">
        <v>26</v>
      </c>
      <c r="S102" s="1607">
        <v>0</v>
      </c>
      <c r="T102" s="1607">
        <v>0</v>
      </c>
      <c r="U102" s="1607">
        <v>23</v>
      </c>
      <c r="V102" s="1607">
        <v>3</v>
      </c>
      <c r="W102" s="1607">
        <v>121940</v>
      </c>
    </row>
    <row r="103" spans="1:23" x14ac:dyDescent="0.2">
      <c r="A103" s="1607" t="s">
        <v>603</v>
      </c>
      <c r="B103" s="1607" t="s">
        <v>31</v>
      </c>
      <c r="C103" s="1607">
        <v>38</v>
      </c>
      <c r="D103" s="1607">
        <v>0</v>
      </c>
      <c r="E103" s="1607">
        <v>26</v>
      </c>
      <c r="F103" s="1607">
        <v>2</v>
      </c>
      <c r="G103" s="1607">
        <v>3</v>
      </c>
      <c r="H103" s="1607">
        <v>1</v>
      </c>
      <c r="I103" s="1607">
        <v>8</v>
      </c>
      <c r="J103" s="1607">
        <v>5</v>
      </c>
      <c r="K103" s="1607">
        <v>0</v>
      </c>
      <c r="L103" s="1607">
        <v>5</v>
      </c>
      <c r="M103" s="1607">
        <v>3</v>
      </c>
      <c r="N103" s="1607">
        <v>19</v>
      </c>
      <c r="O103" s="1607">
        <v>6</v>
      </c>
      <c r="P103" s="1607">
        <v>43</v>
      </c>
      <c r="Q103" s="1607">
        <v>2</v>
      </c>
      <c r="R103" s="1607">
        <v>28</v>
      </c>
      <c r="S103" s="1607">
        <v>0</v>
      </c>
      <c r="T103" s="1607">
        <v>2</v>
      </c>
      <c r="U103" s="1607">
        <v>16</v>
      </c>
      <c r="V103" s="1607">
        <v>3</v>
      </c>
      <c r="W103" s="1607">
        <v>108130</v>
      </c>
    </row>
    <row r="104" spans="1:23" x14ac:dyDescent="0.2">
      <c r="A104" s="1607" t="s">
        <v>603</v>
      </c>
      <c r="B104" s="1607" t="s">
        <v>32</v>
      </c>
      <c r="C104" s="1607">
        <v>55</v>
      </c>
      <c r="D104" s="1607">
        <v>1</v>
      </c>
      <c r="E104" s="1607">
        <v>12</v>
      </c>
      <c r="F104" s="1607">
        <v>2</v>
      </c>
      <c r="G104" s="1607">
        <v>10</v>
      </c>
      <c r="H104" s="1607">
        <v>1</v>
      </c>
      <c r="I104" s="1607">
        <v>4</v>
      </c>
      <c r="J104" s="1607">
        <v>18</v>
      </c>
      <c r="K104" s="1607">
        <v>0</v>
      </c>
      <c r="L104" s="1607">
        <v>3</v>
      </c>
      <c r="M104" s="1607">
        <v>4</v>
      </c>
      <c r="N104" s="1607">
        <v>6</v>
      </c>
      <c r="O104" s="1607">
        <v>3</v>
      </c>
      <c r="P104" s="1607">
        <v>69</v>
      </c>
      <c r="Q104" s="1607">
        <v>3</v>
      </c>
      <c r="R104" s="1607">
        <v>13</v>
      </c>
      <c r="S104" s="1607">
        <v>0</v>
      </c>
      <c r="T104" s="1607">
        <v>1</v>
      </c>
      <c r="U104" s="1607">
        <v>9</v>
      </c>
      <c r="V104" s="1607">
        <v>3</v>
      </c>
      <c r="W104" s="1607">
        <v>104840</v>
      </c>
    </row>
    <row r="105" spans="1:23" x14ac:dyDescent="0.2">
      <c r="A105" s="1607" t="s">
        <v>603</v>
      </c>
      <c r="B105" s="1607" t="s">
        <v>33</v>
      </c>
      <c r="C105" s="1607">
        <v>29</v>
      </c>
      <c r="D105" s="1607">
        <v>1</v>
      </c>
      <c r="E105" s="1607">
        <v>14</v>
      </c>
      <c r="F105" s="1607">
        <v>0</v>
      </c>
      <c r="G105" s="1607">
        <v>8</v>
      </c>
      <c r="H105" s="1607">
        <v>0</v>
      </c>
      <c r="I105" s="1607">
        <v>4</v>
      </c>
      <c r="J105" s="1607">
        <v>5</v>
      </c>
      <c r="K105" s="1607">
        <v>1</v>
      </c>
      <c r="L105" s="1607">
        <v>2</v>
      </c>
      <c r="M105" s="1607">
        <v>1</v>
      </c>
      <c r="N105" s="1607">
        <v>3</v>
      </c>
      <c r="O105" s="1607">
        <v>5</v>
      </c>
      <c r="P105" s="1607">
        <v>28</v>
      </c>
      <c r="Q105" s="1607">
        <v>2</v>
      </c>
      <c r="R105" s="1607">
        <v>19</v>
      </c>
      <c r="S105" s="1607">
        <v>0</v>
      </c>
      <c r="T105" s="1607">
        <v>0</v>
      </c>
      <c r="U105" s="1607">
        <v>14</v>
      </c>
      <c r="V105" s="1607">
        <v>2</v>
      </c>
      <c r="W105" s="1607">
        <v>94760</v>
      </c>
    </row>
    <row r="106" spans="1:23" x14ac:dyDescent="0.2">
      <c r="A106" s="1607" t="s">
        <v>603</v>
      </c>
      <c r="B106" s="1607" t="s">
        <v>665</v>
      </c>
      <c r="C106" s="1607">
        <v>136</v>
      </c>
      <c r="D106" s="1607">
        <v>6</v>
      </c>
      <c r="E106" s="1607">
        <v>168</v>
      </c>
      <c r="F106" s="1607">
        <v>11</v>
      </c>
      <c r="G106" s="1607">
        <v>40</v>
      </c>
      <c r="H106" s="1607">
        <v>2</v>
      </c>
      <c r="I106" s="1607">
        <v>125</v>
      </c>
      <c r="J106" s="1607">
        <v>47</v>
      </c>
      <c r="K106" s="1607">
        <v>11</v>
      </c>
      <c r="L106" s="1607">
        <v>30</v>
      </c>
      <c r="M106" s="1607">
        <v>34</v>
      </c>
      <c r="N106" s="1607">
        <v>33</v>
      </c>
      <c r="O106" s="1607">
        <v>22</v>
      </c>
      <c r="P106" s="1607">
        <v>511</v>
      </c>
      <c r="Q106" s="1607">
        <v>30</v>
      </c>
      <c r="R106" s="1607">
        <v>128</v>
      </c>
      <c r="S106" s="1607">
        <v>0</v>
      </c>
      <c r="T106" s="1607">
        <v>6</v>
      </c>
      <c r="U106" s="1607">
        <v>92</v>
      </c>
      <c r="V106" s="1607">
        <v>19</v>
      </c>
      <c r="W106" s="1607">
        <v>513210</v>
      </c>
    </row>
    <row r="107" spans="1:23" x14ac:dyDescent="0.2">
      <c r="A107" s="1607" t="s">
        <v>603</v>
      </c>
      <c r="B107" s="1607" t="s">
        <v>34</v>
      </c>
      <c r="C107" s="1607">
        <v>93</v>
      </c>
      <c r="D107" s="1607">
        <v>3</v>
      </c>
      <c r="E107" s="1607">
        <v>32</v>
      </c>
      <c r="F107" s="1607">
        <v>3</v>
      </c>
      <c r="G107" s="1607">
        <v>22</v>
      </c>
      <c r="H107" s="1607">
        <v>3</v>
      </c>
      <c r="I107" s="1607">
        <v>8</v>
      </c>
      <c r="J107" s="1607">
        <v>12</v>
      </c>
      <c r="K107" s="1607">
        <v>3</v>
      </c>
      <c r="L107" s="1607">
        <v>3</v>
      </c>
      <c r="M107" s="1607">
        <v>3</v>
      </c>
      <c r="N107" s="1607">
        <v>8</v>
      </c>
      <c r="O107" s="1607">
        <v>11</v>
      </c>
      <c r="P107" s="1607">
        <v>123</v>
      </c>
      <c r="Q107" s="1607">
        <v>4</v>
      </c>
      <c r="R107" s="1607">
        <v>22</v>
      </c>
      <c r="S107" s="1607">
        <v>0</v>
      </c>
      <c r="T107" s="1607">
        <v>1</v>
      </c>
      <c r="U107" s="1607">
        <v>40</v>
      </c>
      <c r="V107" s="1607">
        <v>4</v>
      </c>
      <c r="W107" s="1607">
        <v>160130</v>
      </c>
    </row>
    <row r="108" spans="1:23" x14ac:dyDescent="0.2">
      <c r="A108" s="1607" t="s">
        <v>603</v>
      </c>
      <c r="B108" s="1607" t="s">
        <v>35</v>
      </c>
      <c r="C108" s="1607">
        <v>170</v>
      </c>
      <c r="D108" s="1607">
        <v>8</v>
      </c>
      <c r="E108" s="1607">
        <v>84</v>
      </c>
      <c r="F108" s="1607">
        <v>9</v>
      </c>
      <c r="G108" s="1607">
        <v>49</v>
      </c>
      <c r="H108" s="1607">
        <v>10</v>
      </c>
      <c r="I108" s="1607">
        <v>22</v>
      </c>
      <c r="J108" s="1607">
        <v>31</v>
      </c>
      <c r="K108" s="1607">
        <v>14</v>
      </c>
      <c r="L108" s="1607">
        <v>14</v>
      </c>
      <c r="M108" s="1607">
        <v>23</v>
      </c>
      <c r="N108" s="1607">
        <v>19</v>
      </c>
      <c r="O108" s="1607">
        <v>29</v>
      </c>
      <c r="P108" s="1607">
        <v>236</v>
      </c>
      <c r="Q108" s="1607">
        <v>10</v>
      </c>
      <c r="R108" s="1607">
        <v>21</v>
      </c>
      <c r="S108" s="1607">
        <v>0</v>
      </c>
      <c r="T108" s="1607">
        <v>2</v>
      </c>
      <c r="U108" s="1607">
        <v>64</v>
      </c>
      <c r="V108" s="1607">
        <v>11</v>
      </c>
      <c r="W108" s="1607">
        <v>371410</v>
      </c>
    </row>
    <row r="109" spans="1:23" x14ac:dyDescent="0.2">
      <c r="A109" s="1607" t="s">
        <v>603</v>
      </c>
      <c r="B109" s="1607" t="s">
        <v>36</v>
      </c>
      <c r="C109" s="1607">
        <v>199</v>
      </c>
      <c r="D109" s="1607">
        <v>10</v>
      </c>
      <c r="E109" s="1607">
        <v>247</v>
      </c>
      <c r="F109" s="1607">
        <v>24</v>
      </c>
      <c r="G109" s="1607">
        <v>77</v>
      </c>
      <c r="H109" s="1607">
        <v>14</v>
      </c>
      <c r="I109" s="1607">
        <v>140</v>
      </c>
      <c r="J109" s="1607">
        <v>55</v>
      </c>
      <c r="K109" s="1607">
        <v>25</v>
      </c>
      <c r="L109" s="1607">
        <v>30</v>
      </c>
      <c r="M109" s="1607">
        <v>14</v>
      </c>
      <c r="N109" s="1607">
        <v>36</v>
      </c>
      <c r="O109" s="1607">
        <v>35</v>
      </c>
      <c r="P109" s="1607">
        <v>409</v>
      </c>
      <c r="Q109" s="1607">
        <v>39</v>
      </c>
      <c r="R109" s="1607">
        <v>316</v>
      </c>
      <c r="S109" s="1607">
        <v>1</v>
      </c>
      <c r="T109" s="1607">
        <v>4</v>
      </c>
      <c r="U109" s="1607">
        <v>219</v>
      </c>
      <c r="V109" s="1607">
        <v>43</v>
      </c>
      <c r="W109" s="1607">
        <v>621020</v>
      </c>
    </row>
    <row r="110" spans="1:23" x14ac:dyDescent="0.2">
      <c r="A110" s="1607" t="s">
        <v>603</v>
      </c>
      <c r="B110" s="1607" t="s">
        <v>37</v>
      </c>
      <c r="C110" s="1607">
        <v>236</v>
      </c>
      <c r="D110" s="1607">
        <v>5</v>
      </c>
      <c r="E110" s="1607">
        <v>51</v>
      </c>
      <c r="F110" s="1607">
        <v>8</v>
      </c>
      <c r="G110" s="1607">
        <v>30</v>
      </c>
      <c r="H110" s="1607">
        <v>2</v>
      </c>
      <c r="I110" s="1607">
        <v>20</v>
      </c>
      <c r="J110" s="1607">
        <v>18</v>
      </c>
      <c r="K110" s="1607">
        <v>4</v>
      </c>
      <c r="L110" s="1607">
        <v>9</v>
      </c>
      <c r="M110" s="1607">
        <v>8</v>
      </c>
      <c r="N110" s="1607">
        <v>6</v>
      </c>
      <c r="O110" s="1607">
        <v>29</v>
      </c>
      <c r="P110" s="1607">
        <v>92</v>
      </c>
      <c r="Q110" s="1607">
        <v>16</v>
      </c>
      <c r="R110" s="1607">
        <v>24</v>
      </c>
      <c r="S110" s="1607">
        <v>0</v>
      </c>
      <c r="T110" s="1607">
        <v>7</v>
      </c>
      <c r="U110" s="1607">
        <v>64</v>
      </c>
      <c r="V110" s="1607">
        <v>1</v>
      </c>
      <c r="W110" s="1607">
        <v>235180</v>
      </c>
    </row>
    <row r="111" spans="1:23" x14ac:dyDescent="0.2">
      <c r="A111" s="1607" t="s">
        <v>603</v>
      </c>
      <c r="B111" s="1607" t="s">
        <v>38</v>
      </c>
      <c r="C111" s="1607">
        <v>30</v>
      </c>
      <c r="D111" s="1607">
        <v>0</v>
      </c>
      <c r="E111" s="1607">
        <v>29</v>
      </c>
      <c r="F111" s="1607">
        <v>1</v>
      </c>
      <c r="G111" s="1607">
        <v>18</v>
      </c>
      <c r="H111" s="1607">
        <v>4</v>
      </c>
      <c r="I111" s="1607">
        <v>12</v>
      </c>
      <c r="J111" s="1607">
        <v>13</v>
      </c>
      <c r="K111" s="1607">
        <v>2</v>
      </c>
      <c r="L111" s="1607">
        <v>1</v>
      </c>
      <c r="M111" s="1607">
        <v>4</v>
      </c>
      <c r="N111" s="1607">
        <v>4</v>
      </c>
      <c r="O111" s="1607">
        <v>12</v>
      </c>
      <c r="P111" s="1607">
        <v>52</v>
      </c>
      <c r="Q111" s="1607">
        <v>9</v>
      </c>
      <c r="R111" s="1607">
        <v>29</v>
      </c>
      <c r="S111" s="1607">
        <v>0</v>
      </c>
      <c r="T111" s="1607">
        <v>1</v>
      </c>
      <c r="U111" s="1607">
        <v>22</v>
      </c>
      <c r="V111" s="1607">
        <v>4</v>
      </c>
      <c r="W111" s="1607">
        <v>78760</v>
      </c>
    </row>
    <row r="112" spans="1:23" x14ac:dyDescent="0.2">
      <c r="A112" s="1607" t="s">
        <v>603</v>
      </c>
      <c r="B112" s="1607" t="s">
        <v>39</v>
      </c>
      <c r="C112" s="1607">
        <v>42</v>
      </c>
      <c r="D112" s="1607">
        <v>1</v>
      </c>
      <c r="E112" s="1607">
        <v>18</v>
      </c>
      <c r="F112" s="1607">
        <v>1</v>
      </c>
      <c r="G112" s="1607">
        <v>11</v>
      </c>
      <c r="H112" s="1607">
        <v>2</v>
      </c>
      <c r="I112" s="1607">
        <v>2</v>
      </c>
      <c r="J112" s="1607">
        <v>10</v>
      </c>
      <c r="K112" s="1607">
        <v>4</v>
      </c>
      <c r="L112" s="1607">
        <v>3</v>
      </c>
      <c r="M112" s="1607">
        <v>4</v>
      </c>
      <c r="N112" s="1607">
        <v>5</v>
      </c>
      <c r="O112" s="1607">
        <v>10</v>
      </c>
      <c r="P112" s="1607">
        <v>45</v>
      </c>
      <c r="Q112" s="1607">
        <v>1</v>
      </c>
      <c r="R112" s="1607">
        <v>12</v>
      </c>
      <c r="S112" s="1607">
        <v>0</v>
      </c>
      <c r="T112" s="1607">
        <v>0</v>
      </c>
      <c r="U112" s="1607">
        <v>15</v>
      </c>
      <c r="V112" s="1607">
        <v>2</v>
      </c>
      <c r="W112" s="1607">
        <v>90090</v>
      </c>
    </row>
    <row r="113" spans="1:23" x14ac:dyDescent="0.2">
      <c r="A113" s="1607" t="s">
        <v>603</v>
      </c>
      <c r="B113" s="1607" t="s">
        <v>40</v>
      </c>
      <c r="C113" s="1607">
        <v>53</v>
      </c>
      <c r="D113" s="1607">
        <v>2</v>
      </c>
      <c r="E113" s="1607">
        <v>6</v>
      </c>
      <c r="F113" s="1607">
        <v>6</v>
      </c>
      <c r="G113" s="1607">
        <v>11</v>
      </c>
      <c r="H113" s="1607">
        <v>0</v>
      </c>
      <c r="I113" s="1607">
        <v>3</v>
      </c>
      <c r="J113" s="1607">
        <v>4</v>
      </c>
      <c r="K113" s="1607">
        <v>3</v>
      </c>
      <c r="L113" s="1607">
        <v>5</v>
      </c>
      <c r="M113" s="1607">
        <v>1</v>
      </c>
      <c r="N113" s="1607">
        <v>1</v>
      </c>
      <c r="O113" s="1607">
        <v>10</v>
      </c>
      <c r="P113" s="1607">
        <v>31</v>
      </c>
      <c r="Q113" s="1607">
        <v>3</v>
      </c>
      <c r="R113" s="1607">
        <v>5</v>
      </c>
      <c r="S113" s="1607">
        <v>0</v>
      </c>
      <c r="T113" s="1607">
        <v>0</v>
      </c>
      <c r="U113" s="1607">
        <v>6</v>
      </c>
      <c r="V113" s="1607">
        <v>0</v>
      </c>
      <c r="W113" s="1607">
        <v>95780</v>
      </c>
    </row>
    <row r="114" spans="1:23" x14ac:dyDescent="0.2">
      <c r="A114" s="1607" t="s">
        <v>603</v>
      </c>
      <c r="B114" s="1607" t="s">
        <v>393</v>
      </c>
      <c r="C114" s="1607">
        <v>16</v>
      </c>
      <c r="D114" s="1607">
        <v>0</v>
      </c>
      <c r="E114" s="1607">
        <v>5</v>
      </c>
      <c r="F114" s="1607">
        <v>0</v>
      </c>
      <c r="G114" s="1607">
        <v>0</v>
      </c>
      <c r="H114" s="1607">
        <v>0</v>
      </c>
      <c r="I114" s="1607">
        <v>5</v>
      </c>
      <c r="J114" s="1607">
        <v>1</v>
      </c>
      <c r="K114" s="1607">
        <v>0</v>
      </c>
      <c r="L114" s="1607">
        <v>1</v>
      </c>
      <c r="M114" s="1607">
        <v>0</v>
      </c>
      <c r="N114" s="1607">
        <v>0</v>
      </c>
      <c r="O114" s="1607">
        <v>5</v>
      </c>
      <c r="P114" s="1607">
        <v>7</v>
      </c>
      <c r="Q114" s="1607">
        <v>0</v>
      </c>
      <c r="R114" s="1607">
        <v>1</v>
      </c>
      <c r="S114" s="1607">
        <v>0</v>
      </c>
      <c r="T114" s="1607">
        <v>0</v>
      </c>
      <c r="U114" s="1607">
        <v>8</v>
      </c>
      <c r="V114" s="1607">
        <v>0</v>
      </c>
      <c r="W114" s="1607">
        <v>26950</v>
      </c>
    </row>
    <row r="115" spans="1:23" x14ac:dyDescent="0.2">
      <c r="A115" s="1607" t="s">
        <v>603</v>
      </c>
      <c r="B115" s="1607" t="s">
        <v>41</v>
      </c>
      <c r="C115" s="1607">
        <v>45</v>
      </c>
      <c r="D115" s="1607">
        <v>0</v>
      </c>
      <c r="E115" s="1607">
        <v>36</v>
      </c>
      <c r="F115" s="1607">
        <v>3</v>
      </c>
      <c r="G115" s="1607">
        <v>16</v>
      </c>
      <c r="H115" s="1607">
        <v>3</v>
      </c>
      <c r="I115" s="1607">
        <v>17</v>
      </c>
      <c r="J115" s="1607">
        <v>13</v>
      </c>
      <c r="K115" s="1607">
        <v>1</v>
      </c>
      <c r="L115" s="1607">
        <v>2</v>
      </c>
      <c r="M115" s="1607">
        <v>5</v>
      </c>
      <c r="N115" s="1607">
        <v>9</v>
      </c>
      <c r="O115" s="1607">
        <v>6</v>
      </c>
      <c r="P115" s="1607">
        <v>68</v>
      </c>
      <c r="Q115" s="1607">
        <v>5</v>
      </c>
      <c r="R115" s="1607">
        <v>37</v>
      </c>
      <c r="S115" s="1607">
        <v>0</v>
      </c>
      <c r="T115" s="1607">
        <v>0</v>
      </c>
      <c r="U115" s="1607">
        <v>40</v>
      </c>
      <c r="V115" s="1607">
        <v>4</v>
      </c>
      <c r="W115" s="1607">
        <v>135790</v>
      </c>
    </row>
    <row r="116" spans="1:23" x14ac:dyDescent="0.2">
      <c r="A116" s="1607" t="s">
        <v>603</v>
      </c>
      <c r="B116" s="1607" t="s">
        <v>42</v>
      </c>
      <c r="C116" s="1607">
        <v>128</v>
      </c>
      <c r="D116" s="1607">
        <v>5</v>
      </c>
      <c r="E116" s="1607">
        <v>88</v>
      </c>
      <c r="F116" s="1607">
        <v>1</v>
      </c>
      <c r="G116" s="1607">
        <v>37</v>
      </c>
      <c r="H116" s="1607">
        <v>5</v>
      </c>
      <c r="I116" s="1607">
        <v>21</v>
      </c>
      <c r="J116" s="1607">
        <v>13</v>
      </c>
      <c r="K116" s="1607">
        <v>7</v>
      </c>
      <c r="L116" s="1607">
        <v>10</v>
      </c>
      <c r="M116" s="1607">
        <v>10</v>
      </c>
      <c r="N116" s="1607">
        <v>26</v>
      </c>
      <c r="O116" s="1607">
        <v>25</v>
      </c>
      <c r="P116" s="1607">
        <v>127</v>
      </c>
      <c r="Q116" s="1607">
        <v>13</v>
      </c>
      <c r="R116" s="1607">
        <v>85</v>
      </c>
      <c r="S116" s="1607">
        <v>0</v>
      </c>
      <c r="T116" s="1607">
        <v>0</v>
      </c>
      <c r="U116" s="1607">
        <v>69</v>
      </c>
      <c r="V116" s="1607">
        <v>6</v>
      </c>
      <c r="W116" s="1607">
        <v>339960</v>
      </c>
    </row>
    <row r="117" spans="1:23" x14ac:dyDescent="0.2">
      <c r="A117" s="1607" t="s">
        <v>603</v>
      </c>
      <c r="B117" s="1607" t="s">
        <v>43</v>
      </c>
      <c r="C117" s="1607">
        <v>2</v>
      </c>
      <c r="D117" s="1607">
        <v>0</v>
      </c>
      <c r="E117" s="1607">
        <v>6</v>
      </c>
      <c r="F117" s="1607">
        <v>0</v>
      </c>
      <c r="G117" s="1607">
        <v>1</v>
      </c>
      <c r="H117" s="1607">
        <v>0</v>
      </c>
      <c r="I117" s="1607">
        <v>2</v>
      </c>
      <c r="J117" s="1607">
        <v>1</v>
      </c>
      <c r="K117" s="1607">
        <v>0</v>
      </c>
      <c r="L117" s="1607">
        <v>0</v>
      </c>
      <c r="M117" s="1607">
        <v>1</v>
      </c>
      <c r="N117" s="1607">
        <v>0</v>
      </c>
      <c r="O117" s="1607">
        <v>1</v>
      </c>
      <c r="P117" s="1607">
        <v>1</v>
      </c>
      <c r="Q117" s="1607">
        <v>0</v>
      </c>
      <c r="R117" s="1607">
        <v>0</v>
      </c>
      <c r="S117" s="1607">
        <v>0</v>
      </c>
      <c r="T117" s="1607">
        <v>3</v>
      </c>
      <c r="U117" s="1607">
        <v>4</v>
      </c>
      <c r="V117" s="1607">
        <v>0</v>
      </c>
      <c r="W117" s="1607">
        <v>22000</v>
      </c>
    </row>
    <row r="118" spans="1:23" x14ac:dyDescent="0.2">
      <c r="A118" s="1607" t="s">
        <v>603</v>
      </c>
      <c r="B118" s="1607" t="s">
        <v>44</v>
      </c>
      <c r="C118" s="1607">
        <v>118</v>
      </c>
      <c r="D118" s="1607">
        <v>1</v>
      </c>
      <c r="E118" s="1607">
        <v>29</v>
      </c>
      <c r="F118" s="1607">
        <v>8</v>
      </c>
      <c r="G118" s="1607">
        <v>11</v>
      </c>
      <c r="H118" s="1607">
        <v>0</v>
      </c>
      <c r="I118" s="1607">
        <v>10</v>
      </c>
      <c r="J118" s="1607">
        <v>9</v>
      </c>
      <c r="K118" s="1607">
        <v>4</v>
      </c>
      <c r="L118" s="1607">
        <v>0</v>
      </c>
      <c r="M118" s="1607">
        <v>5</v>
      </c>
      <c r="N118" s="1607">
        <v>3</v>
      </c>
      <c r="O118" s="1607">
        <v>15</v>
      </c>
      <c r="P118" s="1607">
        <v>79</v>
      </c>
      <c r="Q118" s="1607">
        <v>17</v>
      </c>
      <c r="R118" s="1607">
        <v>14</v>
      </c>
      <c r="S118" s="1607">
        <v>0</v>
      </c>
      <c r="T118" s="1607">
        <v>0</v>
      </c>
      <c r="U118" s="1607">
        <v>22</v>
      </c>
      <c r="V118" s="1607">
        <v>1</v>
      </c>
      <c r="W118" s="1607">
        <v>151100</v>
      </c>
    </row>
    <row r="119" spans="1:23" x14ac:dyDescent="0.2">
      <c r="A119" s="1607" t="s">
        <v>603</v>
      </c>
      <c r="B119" s="1607" t="s">
        <v>45</v>
      </c>
      <c r="C119" s="1607">
        <v>76</v>
      </c>
      <c r="D119" s="1607">
        <v>3</v>
      </c>
      <c r="E119" s="1607">
        <v>45</v>
      </c>
      <c r="F119" s="1607">
        <v>5</v>
      </c>
      <c r="G119" s="1607">
        <v>17</v>
      </c>
      <c r="H119" s="1607">
        <v>5</v>
      </c>
      <c r="I119" s="1607">
        <v>11</v>
      </c>
      <c r="J119" s="1607">
        <v>25</v>
      </c>
      <c r="K119" s="1607">
        <v>4</v>
      </c>
      <c r="L119" s="1607">
        <v>3</v>
      </c>
      <c r="M119" s="1607">
        <v>9</v>
      </c>
      <c r="N119" s="1607">
        <v>6</v>
      </c>
      <c r="O119" s="1607">
        <v>14</v>
      </c>
      <c r="P119" s="1607">
        <v>107</v>
      </c>
      <c r="Q119" s="1607">
        <v>14</v>
      </c>
      <c r="R119" s="1607">
        <v>91</v>
      </c>
      <c r="S119" s="1607">
        <v>1</v>
      </c>
      <c r="T119" s="1607">
        <v>10</v>
      </c>
      <c r="U119" s="1607">
        <v>64</v>
      </c>
      <c r="V119" s="1607">
        <v>12</v>
      </c>
      <c r="W119" s="1607">
        <v>176830</v>
      </c>
    </row>
    <row r="120" spans="1:23" x14ac:dyDescent="0.2">
      <c r="A120" s="1607" t="s">
        <v>603</v>
      </c>
      <c r="B120" s="1607" t="s">
        <v>46</v>
      </c>
      <c r="C120" s="1607">
        <v>92</v>
      </c>
      <c r="D120" s="1607">
        <v>1</v>
      </c>
      <c r="E120" s="1607">
        <v>23</v>
      </c>
      <c r="F120" s="1607">
        <v>7</v>
      </c>
      <c r="G120" s="1607">
        <v>9</v>
      </c>
      <c r="H120" s="1607">
        <v>2</v>
      </c>
      <c r="I120" s="1607">
        <v>5</v>
      </c>
      <c r="J120" s="1607">
        <v>22</v>
      </c>
      <c r="K120" s="1607">
        <v>2</v>
      </c>
      <c r="L120" s="1607">
        <v>4</v>
      </c>
      <c r="M120" s="1607">
        <v>8</v>
      </c>
      <c r="N120" s="1607">
        <v>5</v>
      </c>
      <c r="O120" s="1607">
        <v>14</v>
      </c>
      <c r="P120" s="1607">
        <v>84</v>
      </c>
      <c r="Q120" s="1607">
        <v>8</v>
      </c>
      <c r="R120" s="1607">
        <v>8</v>
      </c>
      <c r="S120" s="1607">
        <v>1</v>
      </c>
      <c r="T120" s="1607">
        <v>0</v>
      </c>
      <c r="U120" s="1607">
        <v>20</v>
      </c>
      <c r="V120" s="1607">
        <v>1</v>
      </c>
      <c r="W120" s="1607">
        <v>115020</v>
      </c>
    </row>
    <row r="121" spans="1:23" x14ac:dyDescent="0.2">
      <c r="A121" s="1607" t="s">
        <v>603</v>
      </c>
      <c r="B121" s="1607" t="s">
        <v>47</v>
      </c>
      <c r="C121" s="1607">
        <v>12</v>
      </c>
      <c r="D121" s="1607">
        <v>0</v>
      </c>
      <c r="E121" s="1607">
        <v>6</v>
      </c>
      <c r="F121" s="1607">
        <v>0</v>
      </c>
      <c r="G121" s="1607">
        <v>1</v>
      </c>
      <c r="H121" s="1607">
        <v>0</v>
      </c>
      <c r="I121" s="1607">
        <v>2</v>
      </c>
      <c r="J121" s="1607">
        <v>0</v>
      </c>
      <c r="K121" s="1607">
        <v>0</v>
      </c>
      <c r="L121" s="1607">
        <v>1</v>
      </c>
      <c r="M121" s="1607">
        <v>0</v>
      </c>
      <c r="N121" s="1607">
        <v>0</v>
      </c>
      <c r="O121" s="1607">
        <v>0</v>
      </c>
      <c r="P121" s="1607">
        <v>2</v>
      </c>
      <c r="Q121" s="1607">
        <v>2</v>
      </c>
      <c r="R121" s="1607">
        <v>1</v>
      </c>
      <c r="S121" s="1607">
        <v>0</v>
      </c>
      <c r="T121" s="1607">
        <v>5</v>
      </c>
      <c r="U121" s="1607">
        <v>5</v>
      </c>
      <c r="V121" s="1607">
        <v>1</v>
      </c>
      <c r="W121" s="1607">
        <v>23080</v>
      </c>
    </row>
    <row r="122" spans="1:23" x14ac:dyDescent="0.2">
      <c r="A122" s="1607" t="s">
        <v>603</v>
      </c>
      <c r="B122" s="1607" t="s">
        <v>48</v>
      </c>
      <c r="C122" s="1607">
        <v>69</v>
      </c>
      <c r="D122" s="1607">
        <v>6</v>
      </c>
      <c r="E122" s="1607">
        <v>14</v>
      </c>
      <c r="F122" s="1607">
        <v>6</v>
      </c>
      <c r="G122" s="1607">
        <v>18</v>
      </c>
      <c r="H122" s="1607">
        <v>5</v>
      </c>
      <c r="I122" s="1607">
        <v>7</v>
      </c>
      <c r="J122" s="1607">
        <v>10</v>
      </c>
      <c r="K122" s="1607">
        <v>4</v>
      </c>
      <c r="L122" s="1607">
        <v>0</v>
      </c>
      <c r="M122" s="1607">
        <v>4</v>
      </c>
      <c r="N122" s="1607">
        <v>3</v>
      </c>
      <c r="O122" s="1607">
        <v>6</v>
      </c>
      <c r="P122" s="1607">
        <v>53</v>
      </c>
      <c r="Q122" s="1607">
        <v>8</v>
      </c>
      <c r="R122" s="1607">
        <v>38</v>
      </c>
      <c r="S122" s="1607">
        <v>0</v>
      </c>
      <c r="T122" s="1607">
        <v>5</v>
      </c>
      <c r="U122" s="1607">
        <v>16</v>
      </c>
      <c r="V122" s="1607">
        <v>2</v>
      </c>
      <c r="W122" s="1607">
        <v>112680</v>
      </c>
    </row>
    <row r="123" spans="1:23" x14ac:dyDescent="0.2">
      <c r="A123" s="1607" t="s">
        <v>603</v>
      </c>
      <c r="B123" s="1607" t="s">
        <v>49</v>
      </c>
      <c r="C123" s="1607">
        <v>130</v>
      </c>
      <c r="D123" s="1607">
        <v>2</v>
      </c>
      <c r="E123" s="1607">
        <v>65</v>
      </c>
      <c r="F123" s="1607">
        <v>2</v>
      </c>
      <c r="G123" s="1607">
        <v>26</v>
      </c>
      <c r="H123" s="1607">
        <v>2</v>
      </c>
      <c r="I123" s="1607">
        <v>19</v>
      </c>
      <c r="J123" s="1607">
        <v>21</v>
      </c>
      <c r="K123" s="1607">
        <v>5</v>
      </c>
      <c r="L123" s="1607">
        <v>5</v>
      </c>
      <c r="M123" s="1607">
        <v>9</v>
      </c>
      <c r="N123" s="1607">
        <v>18</v>
      </c>
      <c r="O123" s="1607">
        <v>22</v>
      </c>
      <c r="P123" s="1607">
        <v>103</v>
      </c>
      <c r="Q123" s="1607">
        <v>17</v>
      </c>
      <c r="R123" s="1607">
        <v>79</v>
      </c>
      <c r="S123" s="1607">
        <v>0</v>
      </c>
      <c r="T123" s="1607">
        <v>0</v>
      </c>
      <c r="U123" s="1607">
        <v>50</v>
      </c>
      <c r="V123" s="1607">
        <v>12</v>
      </c>
      <c r="W123" s="1607">
        <v>318170</v>
      </c>
    </row>
    <row r="124" spans="1:23" x14ac:dyDescent="0.2">
      <c r="A124" s="1607" t="s">
        <v>603</v>
      </c>
      <c r="B124" s="1607" t="s">
        <v>50</v>
      </c>
      <c r="C124" s="1607">
        <v>58</v>
      </c>
      <c r="D124" s="1607">
        <v>1</v>
      </c>
      <c r="E124" s="1607">
        <v>21</v>
      </c>
      <c r="F124" s="1607">
        <v>11</v>
      </c>
      <c r="G124" s="1607">
        <v>8</v>
      </c>
      <c r="H124" s="1607">
        <v>0</v>
      </c>
      <c r="I124" s="1607">
        <v>8</v>
      </c>
      <c r="J124" s="1607">
        <v>12</v>
      </c>
      <c r="K124" s="1607">
        <v>2</v>
      </c>
      <c r="L124" s="1607">
        <v>3</v>
      </c>
      <c r="M124" s="1607">
        <v>3</v>
      </c>
      <c r="N124" s="1607">
        <v>4</v>
      </c>
      <c r="O124" s="1607">
        <v>12</v>
      </c>
      <c r="P124" s="1607">
        <v>49</v>
      </c>
      <c r="Q124" s="1607">
        <v>5</v>
      </c>
      <c r="R124" s="1607">
        <v>7</v>
      </c>
      <c r="S124" s="1607">
        <v>0</v>
      </c>
      <c r="T124" s="1607">
        <v>0</v>
      </c>
      <c r="U124" s="1607">
        <v>14</v>
      </c>
      <c r="V124" s="1607">
        <v>1</v>
      </c>
      <c r="W124" s="1607">
        <v>94000</v>
      </c>
    </row>
    <row r="125" spans="1:23" x14ac:dyDescent="0.2">
      <c r="A125" s="1607" t="s">
        <v>603</v>
      </c>
      <c r="B125" s="1607" t="s">
        <v>51</v>
      </c>
      <c r="C125" s="1607">
        <v>28</v>
      </c>
      <c r="D125" s="1607">
        <v>0</v>
      </c>
      <c r="E125" s="1607">
        <v>20</v>
      </c>
      <c r="F125" s="1607">
        <v>3</v>
      </c>
      <c r="G125" s="1607">
        <v>7</v>
      </c>
      <c r="H125" s="1607">
        <v>0</v>
      </c>
      <c r="I125" s="1607">
        <v>14</v>
      </c>
      <c r="J125" s="1607">
        <v>7</v>
      </c>
      <c r="K125" s="1607">
        <v>2</v>
      </c>
      <c r="L125" s="1607">
        <v>4</v>
      </c>
      <c r="M125" s="1607">
        <v>3</v>
      </c>
      <c r="N125" s="1607">
        <v>7</v>
      </c>
      <c r="O125" s="1607">
        <v>8</v>
      </c>
      <c r="P125" s="1607">
        <v>42</v>
      </c>
      <c r="Q125" s="1607">
        <v>3</v>
      </c>
      <c r="R125" s="1607">
        <v>42</v>
      </c>
      <c r="S125" s="1607">
        <v>0</v>
      </c>
      <c r="T125" s="1607">
        <v>1</v>
      </c>
      <c r="U125" s="1607">
        <v>25</v>
      </c>
      <c r="V125" s="1607">
        <v>5</v>
      </c>
      <c r="W125" s="1607">
        <v>89610</v>
      </c>
    </row>
    <row r="126" spans="1:23" x14ac:dyDescent="0.2">
      <c r="A126" s="1607" t="s">
        <v>603</v>
      </c>
      <c r="B126" s="1607" t="s">
        <v>52</v>
      </c>
      <c r="C126" s="1607">
        <v>96</v>
      </c>
      <c r="D126" s="1607">
        <v>2</v>
      </c>
      <c r="E126" s="1607">
        <v>27</v>
      </c>
      <c r="F126" s="1607">
        <v>2</v>
      </c>
      <c r="G126" s="1607">
        <v>26</v>
      </c>
      <c r="H126" s="1607">
        <v>6</v>
      </c>
      <c r="I126" s="1607">
        <v>3</v>
      </c>
      <c r="J126" s="1607">
        <v>25</v>
      </c>
      <c r="K126" s="1607">
        <v>7</v>
      </c>
      <c r="L126" s="1607">
        <v>11</v>
      </c>
      <c r="M126" s="1607">
        <v>10</v>
      </c>
      <c r="N126" s="1607">
        <v>6</v>
      </c>
      <c r="O126" s="1607">
        <v>9</v>
      </c>
      <c r="P126" s="1607">
        <v>175</v>
      </c>
      <c r="Q126" s="1607">
        <v>6</v>
      </c>
      <c r="R126" s="1607">
        <v>45</v>
      </c>
      <c r="S126" s="1607">
        <v>0</v>
      </c>
      <c r="T126" s="1607">
        <v>0</v>
      </c>
      <c r="U126" s="1607">
        <v>33</v>
      </c>
      <c r="V126" s="1607">
        <v>0</v>
      </c>
      <c r="W126" s="1607">
        <v>181310</v>
      </c>
    </row>
  </sheetData>
  <pageMargins left="0.7" right="0.7" top="0.75" bottom="0.75" header="0.3" footer="0.3"/>
  <pageSetup paperSize="9" scale="37" fitToHeight="50" orientation="landscape"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fitToPage="1"/>
  </sheetPr>
  <dimension ref="A1:K24"/>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41.140625" bestFit="1" customWidth="1"/>
    <col min="2" max="2" width="10.42578125" bestFit="1" customWidth="1"/>
    <col min="3" max="3" width="41.140625" bestFit="1" customWidth="1"/>
    <col min="4" max="6" width="9.42578125" bestFit="1" customWidth="1"/>
    <col min="7" max="7" width="10.42578125" bestFit="1" customWidth="1"/>
    <col min="8" max="8" width="41.140625" bestFit="1" customWidth="1"/>
    <col min="9" max="11" width="9.42578125" bestFit="1" customWidth="1"/>
  </cols>
  <sheetData>
    <row r="1" spans="1:11" x14ac:dyDescent="0.2"/>
    <row r="4" spans="1:11" x14ac:dyDescent="0.2">
      <c r="A4" s="1606" t="s">
        <v>1164</v>
      </c>
      <c r="B4" s="1606" t="s">
        <v>1165</v>
      </c>
      <c r="C4" s="1606" t="s">
        <v>1166</v>
      </c>
      <c r="D4" s="1606" t="s">
        <v>1167</v>
      </c>
      <c r="E4" s="1606" t="s">
        <v>1168</v>
      </c>
      <c r="F4" s="1606" t="s">
        <v>1169</v>
      </c>
      <c r="G4" s="1606" t="s">
        <v>1170</v>
      </c>
      <c r="H4" s="1606" t="s">
        <v>1171</v>
      </c>
      <c r="I4" s="1606" t="s">
        <v>1172</v>
      </c>
      <c r="J4" s="1606" t="s">
        <v>1173</v>
      </c>
      <c r="K4" s="1606" t="s">
        <v>1174</v>
      </c>
    </row>
    <row r="5" spans="1:11" x14ac:dyDescent="0.2">
      <c r="A5" s="1607" t="s">
        <v>73</v>
      </c>
      <c r="B5" s="1607" t="s">
        <v>1149</v>
      </c>
      <c r="C5" s="1607" t="s">
        <v>73</v>
      </c>
      <c r="D5" s="1607">
        <v>104</v>
      </c>
      <c r="E5" s="1607">
        <v>94</v>
      </c>
      <c r="F5" s="1607">
        <v>81</v>
      </c>
      <c r="G5" s="1607" t="s">
        <v>1150</v>
      </c>
      <c r="H5" s="1607" t="s">
        <v>73</v>
      </c>
      <c r="I5" s="1607">
        <v>2046</v>
      </c>
      <c r="J5" s="1607">
        <v>2059</v>
      </c>
      <c r="K5" s="1607">
        <v>2057</v>
      </c>
    </row>
    <row r="6" spans="1:11" x14ac:dyDescent="0.2">
      <c r="A6" s="1607" t="s">
        <v>1151</v>
      </c>
      <c r="B6" s="1607" t="s">
        <v>1149</v>
      </c>
      <c r="C6" s="1607" t="s">
        <v>1151</v>
      </c>
      <c r="D6" s="1607">
        <v>1</v>
      </c>
      <c r="E6" s="1607">
        <v>3</v>
      </c>
      <c r="F6" s="1607">
        <v>3</v>
      </c>
      <c r="G6" s="1607" t="s">
        <v>1150</v>
      </c>
      <c r="H6" s="1607" t="s">
        <v>1151</v>
      </c>
      <c r="I6" s="1607">
        <v>21</v>
      </c>
      <c r="J6" s="1607">
        <v>22</v>
      </c>
      <c r="K6" s="1607">
        <v>10</v>
      </c>
    </row>
    <row r="7" spans="1:11" x14ac:dyDescent="0.2">
      <c r="A7" s="1607" t="s">
        <v>66</v>
      </c>
      <c r="B7" s="1607"/>
      <c r="C7" s="1607"/>
      <c r="D7" s="1607"/>
      <c r="E7" s="1607"/>
      <c r="F7" s="1607"/>
      <c r="G7" s="1607" t="s">
        <v>1150</v>
      </c>
      <c r="H7" s="1607" t="s">
        <v>66</v>
      </c>
      <c r="I7" s="1607">
        <v>5</v>
      </c>
      <c r="J7" s="1607">
        <v>2</v>
      </c>
      <c r="K7" s="1607">
        <v>6</v>
      </c>
    </row>
    <row r="8" spans="1:11" x14ac:dyDescent="0.2">
      <c r="A8" s="1607" t="s">
        <v>1152</v>
      </c>
      <c r="B8" s="1607" t="s">
        <v>1149</v>
      </c>
      <c r="C8" s="1607" t="s">
        <v>1152</v>
      </c>
      <c r="D8" s="1607">
        <v>15</v>
      </c>
      <c r="E8" s="1607">
        <v>24</v>
      </c>
      <c r="F8" s="1607">
        <v>24</v>
      </c>
      <c r="G8" s="1607" t="s">
        <v>1150</v>
      </c>
      <c r="H8" s="1607" t="s">
        <v>1152</v>
      </c>
      <c r="I8" s="1607">
        <v>55</v>
      </c>
      <c r="J8" s="1607">
        <v>46</v>
      </c>
      <c r="K8" s="1607">
        <v>60</v>
      </c>
    </row>
    <row r="9" spans="1:11" x14ac:dyDescent="0.2">
      <c r="A9" s="1607" t="s">
        <v>1153</v>
      </c>
      <c r="B9" s="1607" t="s">
        <v>1149</v>
      </c>
      <c r="C9" s="1607" t="s">
        <v>1153</v>
      </c>
      <c r="D9" s="1607">
        <v>7</v>
      </c>
      <c r="E9" s="1607">
        <v>12</v>
      </c>
      <c r="F9" s="1607">
        <v>10</v>
      </c>
      <c r="G9" s="1607" t="s">
        <v>1150</v>
      </c>
      <c r="H9" s="1607" t="s">
        <v>1153</v>
      </c>
      <c r="I9" s="1607">
        <v>130</v>
      </c>
      <c r="J9" s="1607">
        <v>125</v>
      </c>
      <c r="K9" s="1607">
        <v>151</v>
      </c>
    </row>
    <row r="10" spans="1:11" x14ac:dyDescent="0.2">
      <c r="A10" s="1607" t="s">
        <v>67</v>
      </c>
      <c r="B10" s="1607"/>
      <c r="C10" s="1607"/>
      <c r="D10" s="1607"/>
      <c r="E10" s="1607"/>
      <c r="F10" s="1607"/>
      <c r="G10" s="1607" t="s">
        <v>1150</v>
      </c>
      <c r="H10" s="1607" t="s">
        <v>67</v>
      </c>
      <c r="I10" s="1607">
        <v>12</v>
      </c>
      <c r="J10" s="1607">
        <v>30</v>
      </c>
      <c r="K10" s="1607">
        <v>56</v>
      </c>
    </row>
    <row r="11" spans="1:11" x14ac:dyDescent="0.2">
      <c r="A11" s="1607" t="s">
        <v>68</v>
      </c>
      <c r="B11" s="1607"/>
      <c r="C11" s="1607"/>
      <c r="D11" s="1607"/>
      <c r="E11" s="1607"/>
      <c r="F11" s="1607"/>
      <c r="G11" s="1607" t="s">
        <v>1150</v>
      </c>
      <c r="H11" s="1607" t="s">
        <v>68</v>
      </c>
      <c r="I11" s="1607">
        <v>9</v>
      </c>
      <c r="J11" s="1607">
        <v>5</v>
      </c>
      <c r="K11" s="1607">
        <v>10</v>
      </c>
    </row>
    <row r="12" spans="1:11" x14ac:dyDescent="0.2">
      <c r="A12" s="1607" t="s">
        <v>1154</v>
      </c>
      <c r="B12" s="1607" t="s">
        <v>1149</v>
      </c>
      <c r="C12" s="1607" t="s">
        <v>1154</v>
      </c>
      <c r="D12" s="1607">
        <v>80</v>
      </c>
      <c r="E12" s="1607">
        <v>130</v>
      </c>
      <c r="F12" s="1607">
        <v>59</v>
      </c>
      <c r="G12" s="1607" t="s">
        <v>1150</v>
      </c>
      <c r="H12" s="1607" t="s">
        <v>1154</v>
      </c>
      <c r="I12" s="1607">
        <v>265</v>
      </c>
      <c r="J12" s="1607">
        <v>270</v>
      </c>
      <c r="K12" s="1607">
        <v>277</v>
      </c>
    </row>
    <row r="13" spans="1:11" x14ac:dyDescent="0.2">
      <c r="A13" s="1607" t="s">
        <v>1155</v>
      </c>
      <c r="B13" s="1607" t="s">
        <v>1149</v>
      </c>
      <c r="C13" s="1607" t="s">
        <v>1155</v>
      </c>
      <c r="D13" s="1607">
        <v>30</v>
      </c>
      <c r="E13" s="1607">
        <v>36</v>
      </c>
      <c r="F13" s="1607">
        <v>22</v>
      </c>
      <c r="G13" s="1607" t="s">
        <v>1150</v>
      </c>
      <c r="H13" s="1607" t="s">
        <v>1155</v>
      </c>
      <c r="I13" s="1607">
        <v>13</v>
      </c>
      <c r="J13" s="1607">
        <v>30</v>
      </c>
      <c r="K13" s="1607">
        <v>27</v>
      </c>
    </row>
    <row r="14" spans="1:11" x14ac:dyDescent="0.2">
      <c r="A14" s="1607" t="s">
        <v>1156</v>
      </c>
      <c r="B14" s="1607" t="s">
        <v>1149</v>
      </c>
      <c r="C14" s="1607" t="s">
        <v>1156</v>
      </c>
      <c r="D14" s="1607">
        <v>7</v>
      </c>
      <c r="E14" s="1607"/>
      <c r="F14" s="1607">
        <v>1</v>
      </c>
      <c r="G14" s="1607" t="s">
        <v>1150</v>
      </c>
      <c r="H14" s="1607" t="s">
        <v>1156</v>
      </c>
      <c r="I14" s="1607">
        <v>23</v>
      </c>
      <c r="J14" s="1607">
        <v>37</v>
      </c>
      <c r="K14" s="1607">
        <v>51</v>
      </c>
    </row>
    <row r="15" spans="1:11" x14ac:dyDescent="0.2">
      <c r="A15" s="1607" t="s">
        <v>69</v>
      </c>
      <c r="B15" s="1607"/>
      <c r="C15" s="1607"/>
      <c r="D15" s="1607"/>
      <c r="E15" s="1607"/>
      <c r="F15" s="1607"/>
      <c r="G15" s="1607" t="s">
        <v>1150</v>
      </c>
      <c r="H15" s="1607" t="s">
        <v>69</v>
      </c>
      <c r="I15" s="1607">
        <v>5</v>
      </c>
      <c r="J15" s="1607">
        <v>4</v>
      </c>
      <c r="K15" s="1607">
        <v>5</v>
      </c>
    </row>
    <row r="16" spans="1:11" x14ac:dyDescent="0.2">
      <c r="A16" s="1607" t="s">
        <v>1157</v>
      </c>
      <c r="B16" s="1607" t="s">
        <v>1149</v>
      </c>
      <c r="C16" s="1607" t="s">
        <v>1157</v>
      </c>
      <c r="D16" s="1607"/>
      <c r="E16" s="1607">
        <v>1</v>
      </c>
      <c r="F16" s="1607">
        <v>1</v>
      </c>
      <c r="G16" s="1607" t="s">
        <v>1150</v>
      </c>
      <c r="H16" s="1607" t="s">
        <v>1157</v>
      </c>
      <c r="I16" s="1607">
        <v>41</v>
      </c>
      <c r="J16" s="1607">
        <v>32</v>
      </c>
      <c r="K16" s="1607">
        <v>28</v>
      </c>
    </row>
    <row r="17" spans="1:11" x14ac:dyDescent="0.2">
      <c r="A17" s="1607" t="s">
        <v>1158</v>
      </c>
      <c r="B17" s="1607"/>
      <c r="C17" s="1607"/>
      <c r="D17" s="1607"/>
      <c r="E17" s="1607"/>
      <c r="F17" s="1607"/>
      <c r="G17" s="1607" t="s">
        <v>1150</v>
      </c>
      <c r="H17" s="1607" t="s">
        <v>1158</v>
      </c>
      <c r="I17" s="1607">
        <v>2</v>
      </c>
      <c r="J17" s="1607">
        <v>2</v>
      </c>
      <c r="K17" s="1607">
        <v>4</v>
      </c>
    </row>
    <row r="18" spans="1:11" x14ac:dyDescent="0.2">
      <c r="A18" s="1607" t="s">
        <v>1159</v>
      </c>
      <c r="B18" s="1607" t="s">
        <v>1149</v>
      </c>
      <c r="C18" s="1607" t="s">
        <v>1160</v>
      </c>
      <c r="D18" s="1607">
        <v>77</v>
      </c>
      <c r="E18" s="1607">
        <v>116</v>
      </c>
      <c r="F18" s="1607">
        <v>128</v>
      </c>
      <c r="G18" s="1607" t="s">
        <v>1150</v>
      </c>
      <c r="H18" s="1607" t="s">
        <v>1159</v>
      </c>
      <c r="I18" s="1607">
        <v>444</v>
      </c>
      <c r="J18" s="1607">
        <v>549</v>
      </c>
      <c r="K18" s="1607">
        <v>632</v>
      </c>
    </row>
    <row r="19" spans="1:11" x14ac:dyDescent="0.2">
      <c r="A19" s="1607" t="s">
        <v>70</v>
      </c>
      <c r="B19" s="1607" t="s">
        <v>1149</v>
      </c>
      <c r="C19" s="1607" t="s">
        <v>70</v>
      </c>
      <c r="D19" s="1607">
        <v>2</v>
      </c>
      <c r="E19" s="1607"/>
      <c r="F19" s="1607">
        <v>2</v>
      </c>
      <c r="G19" s="1607" t="s">
        <v>1150</v>
      </c>
      <c r="H19" s="1607" t="s">
        <v>70</v>
      </c>
      <c r="I19" s="1607">
        <v>11</v>
      </c>
      <c r="J19" s="1607">
        <v>10</v>
      </c>
      <c r="K19" s="1607">
        <v>16</v>
      </c>
    </row>
    <row r="20" spans="1:11" x14ac:dyDescent="0.2">
      <c r="A20" s="1607" t="s">
        <v>1161</v>
      </c>
      <c r="B20" s="1607" t="s">
        <v>1149</v>
      </c>
      <c r="C20" s="1607" t="s">
        <v>1161</v>
      </c>
      <c r="D20" s="1607">
        <v>11</v>
      </c>
      <c r="E20" s="1607">
        <v>8</v>
      </c>
      <c r="F20" s="1607">
        <v>6</v>
      </c>
      <c r="G20" s="1607" t="s">
        <v>1150</v>
      </c>
      <c r="H20" s="1607" t="s">
        <v>1161</v>
      </c>
      <c r="I20" s="1607">
        <v>24</v>
      </c>
      <c r="J20" s="1607">
        <v>29</v>
      </c>
      <c r="K20" s="1607">
        <v>37</v>
      </c>
    </row>
    <row r="21" spans="1:11" x14ac:dyDescent="0.2">
      <c r="A21" s="1607" t="s">
        <v>1162</v>
      </c>
      <c r="B21" s="1607"/>
      <c r="C21" s="1607"/>
      <c r="D21" s="1607"/>
      <c r="E21" s="1607"/>
      <c r="F21" s="1607"/>
      <c r="G21" s="1607"/>
      <c r="H21" s="1607"/>
      <c r="I21" s="1607"/>
      <c r="J21" s="1607"/>
      <c r="K21" s="1607"/>
    </row>
    <row r="22" spans="1:11" x14ac:dyDescent="0.2">
      <c r="A22" s="1607" t="s">
        <v>71</v>
      </c>
      <c r="B22" s="1607" t="s">
        <v>1149</v>
      </c>
      <c r="C22" s="1607" t="s">
        <v>71</v>
      </c>
      <c r="D22" s="1607">
        <v>1</v>
      </c>
      <c r="E22" s="1607">
        <v>1</v>
      </c>
      <c r="F22" s="1607"/>
      <c r="G22" s="1607" t="s">
        <v>1150</v>
      </c>
      <c r="H22" s="1607" t="s">
        <v>71</v>
      </c>
      <c r="I22" s="1607"/>
      <c r="J22" s="1607"/>
      <c r="K22" s="1607">
        <v>1</v>
      </c>
    </row>
    <row r="23" spans="1:11" x14ac:dyDescent="0.2">
      <c r="A23" s="1607" t="s">
        <v>1163</v>
      </c>
      <c r="B23" s="1607" t="s">
        <v>1149</v>
      </c>
      <c r="C23" s="1607" t="s">
        <v>1163</v>
      </c>
      <c r="D23" s="1607">
        <v>76</v>
      </c>
      <c r="E23" s="1607">
        <v>78</v>
      </c>
      <c r="F23" s="1607">
        <v>72</v>
      </c>
      <c r="G23" s="1607" t="s">
        <v>1150</v>
      </c>
      <c r="H23" s="1607" t="s">
        <v>1163</v>
      </c>
      <c r="I23" s="1607">
        <v>267</v>
      </c>
      <c r="J23" s="1607">
        <v>333</v>
      </c>
      <c r="K23" s="1607">
        <v>332</v>
      </c>
    </row>
    <row r="24" spans="1:11" x14ac:dyDescent="0.2">
      <c r="A24" s="1607" t="s">
        <v>72</v>
      </c>
      <c r="B24" s="1607" t="s">
        <v>1149</v>
      </c>
      <c r="C24" s="1607" t="s">
        <v>72</v>
      </c>
      <c r="D24" s="1607"/>
      <c r="E24" s="1607">
        <v>2</v>
      </c>
      <c r="F24" s="1607">
        <v>1</v>
      </c>
      <c r="G24" s="1607" t="s">
        <v>1150</v>
      </c>
      <c r="H24" s="1607" t="s">
        <v>72</v>
      </c>
      <c r="I24" s="1607"/>
      <c r="J24" s="1607">
        <v>7</v>
      </c>
      <c r="K24" s="1607">
        <v>6</v>
      </c>
    </row>
  </sheetData>
  <pageMargins left="0.7" right="0.7" top="0.75" bottom="0.75" header="0.3" footer="0.3"/>
  <pageSetup paperSize="9" fitToHeight="50" orientation="landscape" r:id="rId1"/>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fitToPage="1"/>
  </sheetPr>
  <dimension ref="A1:Q10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20.42578125" bestFit="1" customWidth="1"/>
    <col min="2" max="2" width="7.85546875" customWidth="1"/>
    <col min="3" max="3" width="13.7109375" customWidth="1"/>
    <col min="4" max="4" width="18.140625" customWidth="1"/>
    <col min="5" max="5" width="26.7109375" bestFit="1" customWidth="1"/>
    <col min="6" max="6" width="22.85546875" bestFit="1" customWidth="1"/>
    <col min="7" max="7" width="11" customWidth="1"/>
    <col min="8" max="8" width="28.85546875" bestFit="1" customWidth="1"/>
    <col min="9" max="9" width="23.7109375" customWidth="1"/>
    <col min="10" max="10" width="31.85546875" bestFit="1" customWidth="1"/>
    <col min="11" max="11" width="31.42578125" bestFit="1" customWidth="1"/>
    <col min="12" max="12" width="16.28515625" bestFit="1" customWidth="1"/>
    <col min="13" max="13" width="8.28515625" customWidth="1"/>
    <col min="14" max="14" width="11.85546875" customWidth="1"/>
    <col min="15" max="15" width="26.5703125" bestFit="1" customWidth="1"/>
    <col min="16" max="16" width="9.28515625" bestFit="1" customWidth="1"/>
    <col min="17" max="17" width="8" customWidth="1"/>
  </cols>
  <sheetData>
    <row r="1" spans="1:17" x14ac:dyDescent="0.2"/>
    <row r="4" spans="1:17" x14ac:dyDescent="0.2">
      <c r="A4" s="1606" t="s">
        <v>4</v>
      </c>
      <c r="B4" s="1606" t="s">
        <v>1175</v>
      </c>
      <c r="C4" s="1606" t="s">
        <v>1176</v>
      </c>
      <c r="D4" s="1606" t="s">
        <v>1177</v>
      </c>
      <c r="E4" s="1606" t="s">
        <v>1178</v>
      </c>
      <c r="F4" s="1606" t="s">
        <v>1179</v>
      </c>
      <c r="G4" s="1606" t="s">
        <v>1180</v>
      </c>
      <c r="H4" s="1606" t="s">
        <v>1181</v>
      </c>
      <c r="I4" s="1606" t="s">
        <v>1182</v>
      </c>
      <c r="J4" s="1606" t="s">
        <v>1183</v>
      </c>
      <c r="K4" s="1606" t="s">
        <v>1184</v>
      </c>
      <c r="L4" s="1606" t="s">
        <v>1185</v>
      </c>
      <c r="M4" s="1606" t="s">
        <v>1186</v>
      </c>
      <c r="N4" s="1606" t="s">
        <v>1187</v>
      </c>
      <c r="O4" s="1606" t="s">
        <v>1188</v>
      </c>
      <c r="P4" s="1606" t="s">
        <v>1189</v>
      </c>
    </row>
    <row r="5" spans="1:17" x14ac:dyDescent="0.2">
      <c r="A5" s="1607" t="s">
        <v>160</v>
      </c>
      <c r="B5" s="1607">
        <v>8174</v>
      </c>
      <c r="C5" s="1607">
        <v>490</v>
      </c>
      <c r="D5" s="1607">
        <v>312</v>
      </c>
      <c r="E5" s="1607">
        <v>86</v>
      </c>
      <c r="F5" s="1607">
        <v>248</v>
      </c>
      <c r="G5" s="1607">
        <v>45</v>
      </c>
      <c r="H5" s="1607">
        <v>130</v>
      </c>
      <c r="I5" s="1607">
        <v>118</v>
      </c>
      <c r="J5" s="1607">
        <v>110</v>
      </c>
      <c r="K5" s="1607">
        <v>167</v>
      </c>
      <c r="L5" s="1607">
        <v>257</v>
      </c>
      <c r="M5" s="1607">
        <v>175</v>
      </c>
      <c r="N5" s="1607">
        <v>167</v>
      </c>
      <c r="O5" s="1607">
        <v>192</v>
      </c>
      <c r="P5" s="1607">
        <v>5677</v>
      </c>
    </row>
    <row r="6" spans="1:17" x14ac:dyDescent="0.2">
      <c r="A6" s="1607" t="s">
        <v>379</v>
      </c>
      <c r="B6" s="1607">
        <v>7827</v>
      </c>
      <c r="C6" s="1607">
        <v>415</v>
      </c>
      <c r="D6" s="1607">
        <v>317</v>
      </c>
      <c r="E6" s="1607">
        <v>73</v>
      </c>
      <c r="F6" s="1607">
        <v>232</v>
      </c>
      <c r="G6" s="1607">
        <v>52</v>
      </c>
      <c r="H6" s="1607">
        <v>119</v>
      </c>
      <c r="I6" s="1607">
        <v>99</v>
      </c>
      <c r="J6" s="1607">
        <v>105</v>
      </c>
      <c r="K6" s="1607">
        <v>172</v>
      </c>
      <c r="L6" s="1607">
        <v>225</v>
      </c>
      <c r="M6" s="1607">
        <v>164</v>
      </c>
      <c r="N6" s="1607">
        <v>145</v>
      </c>
      <c r="O6" s="1607">
        <v>161</v>
      </c>
      <c r="P6" s="1607">
        <v>5548</v>
      </c>
    </row>
    <row r="7" spans="1:17" x14ac:dyDescent="0.2">
      <c r="A7" s="1607" t="s">
        <v>603</v>
      </c>
      <c r="B7" s="1607">
        <v>7591</v>
      </c>
      <c r="C7" s="1607">
        <v>383</v>
      </c>
      <c r="D7" s="1607">
        <v>356</v>
      </c>
      <c r="E7" s="1607">
        <v>68</v>
      </c>
      <c r="F7" s="1607">
        <v>225</v>
      </c>
      <c r="G7" s="1607">
        <v>35</v>
      </c>
      <c r="H7" s="1607">
        <v>106</v>
      </c>
      <c r="I7" s="1607">
        <v>153</v>
      </c>
      <c r="J7" s="1607">
        <v>115</v>
      </c>
      <c r="K7" s="1607">
        <v>156</v>
      </c>
      <c r="L7" s="1607">
        <v>201</v>
      </c>
      <c r="M7" s="1607">
        <v>177</v>
      </c>
      <c r="N7" s="1607">
        <v>127</v>
      </c>
      <c r="O7" s="1607">
        <v>179</v>
      </c>
      <c r="P7" s="1607">
        <v>5310</v>
      </c>
    </row>
    <row r="10" spans="1:17" x14ac:dyDescent="0.2">
      <c r="A10" s="1608" t="s">
        <v>1081</v>
      </c>
      <c r="B10" s="1608" t="s">
        <v>4</v>
      </c>
      <c r="C10" s="1608" t="s">
        <v>1175</v>
      </c>
      <c r="D10" s="1608" t="s">
        <v>1176</v>
      </c>
      <c r="E10" s="1608" t="s">
        <v>1177</v>
      </c>
      <c r="F10" s="1608" t="s">
        <v>1178</v>
      </c>
      <c r="G10" s="1608" t="s">
        <v>1179</v>
      </c>
      <c r="H10" s="1608" t="s">
        <v>1180</v>
      </c>
      <c r="I10" s="1608" t="s">
        <v>1181</v>
      </c>
      <c r="J10" s="1608" t="s">
        <v>1182</v>
      </c>
      <c r="K10" s="1608" t="s">
        <v>1183</v>
      </c>
      <c r="L10" s="1608" t="s">
        <v>1184</v>
      </c>
      <c r="M10" s="1608" t="s">
        <v>1185</v>
      </c>
      <c r="N10" s="1608" t="s">
        <v>1186</v>
      </c>
      <c r="O10" s="1608" t="s">
        <v>1187</v>
      </c>
      <c r="P10" s="1608" t="s">
        <v>1188</v>
      </c>
      <c r="Q10" s="1608" t="s">
        <v>1189</v>
      </c>
    </row>
    <row r="11" spans="1:17" x14ac:dyDescent="0.2">
      <c r="A11" s="1607" t="s">
        <v>23</v>
      </c>
      <c r="B11" s="1607" t="s">
        <v>160</v>
      </c>
      <c r="C11" s="1607">
        <v>455</v>
      </c>
      <c r="D11" s="1607">
        <v>22</v>
      </c>
      <c r="E11" s="1607">
        <v>7</v>
      </c>
      <c r="F11" s="1607"/>
      <c r="G11" s="1607">
        <v>13</v>
      </c>
      <c r="H11" s="1607"/>
      <c r="I11" s="1607">
        <v>12</v>
      </c>
      <c r="J11" s="1607">
        <v>2</v>
      </c>
      <c r="K11" s="1607">
        <v>6</v>
      </c>
      <c r="L11" s="1607">
        <v>10</v>
      </c>
      <c r="M11" s="1607">
        <v>13</v>
      </c>
      <c r="N11" s="1607">
        <v>10</v>
      </c>
      <c r="O11" s="1607">
        <v>16</v>
      </c>
      <c r="P11" s="1607">
        <v>10</v>
      </c>
      <c r="Q11" s="1607">
        <v>334</v>
      </c>
    </row>
    <row r="12" spans="1:17" x14ac:dyDescent="0.2">
      <c r="A12" s="1607" t="s">
        <v>24</v>
      </c>
      <c r="B12" s="1607" t="s">
        <v>160</v>
      </c>
      <c r="C12" s="1607">
        <v>275</v>
      </c>
      <c r="D12" s="1607">
        <v>13</v>
      </c>
      <c r="E12" s="1607">
        <v>7</v>
      </c>
      <c r="F12" s="1607">
        <v>5</v>
      </c>
      <c r="G12" s="1607">
        <v>18</v>
      </c>
      <c r="H12" s="1607"/>
      <c r="I12" s="1607">
        <v>3</v>
      </c>
      <c r="J12" s="1607">
        <v>8</v>
      </c>
      <c r="K12" s="1607">
        <v>3</v>
      </c>
      <c r="L12" s="1607">
        <v>4</v>
      </c>
      <c r="M12" s="1607">
        <v>6</v>
      </c>
      <c r="N12" s="1607">
        <v>8</v>
      </c>
      <c r="O12" s="1607">
        <v>3</v>
      </c>
      <c r="P12" s="1607">
        <v>5</v>
      </c>
      <c r="Q12" s="1607">
        <v>192</v>
      </c>
    </row>
    <row r="13" spans="1:17" x14ac:dyDescent="0.2">
      <c r="A13" s="1607" t="s">
        <v>25</v>
      </c>
      <c r="B13" s="1607" t="s">
        <v>160</v>
      </c>
      <c r="C13" s="1607">
        <v>137</v>
      </c>
      <c r="D13" s="1607">
        <v>3</v>
      </c>
      <c r="E13" s="1607">
        <v>11</v>
      </c>
      <c r="F13" s="1607">
        <v>5</v>
      </c>
      <c r="G13" s="1607">
        <v>5</v>
      </c>
      <c r="H13" s="1607"/>
      <c r="I13" s="1607"/>
      <c r="J13" s="1607">
        <v>1</v>
      </c>
      <c r="K13" s="1607"/>
      <c r="L13" s="1607">
        <v>2</v>
      </c>
      <c r="M13" s="1607">
        <v>6</v>
      </c>
      <c r="N13" s="1607">
        <v>5</v>
      </c>
      <c r="O13" s="1607">
        <v>2</v>
      </c>
      <c r="P13" s="1607">
        <v>2</v>
      </c>
      <c r="Q13" s="1607">
        <v>95</v>
      </c>
    </row>
    <row r="14" spans="1:17" x14ac:dyDescent="0.2">
      <c r="A14" s="1607" t="s">
        <v>26</v>
      </c>
      <c r="B14" s="1607" t="s">
        <v>160</v>
      </c>
      <c r="C14" s="1607">
        <v>102</v>
      </c>
      <c r="D14" s="1607">
        <v>10</v>
      </c>
      <c r="E14" s="1607">
        <v>2</v>
      </c>
      <c r="F14" s="1607">
        <v>4</v>
      </c>
      <c r="G14" s="1607">
        <v>4</v>
      </c>
      <c r="H14" s="1607"/>
      <c r="I14" s="1607">
        <v>1</v>
      </c>
      <c r="J14" s="1607"/>
      <c r="K14" s="1607">
        <v>1</v>
      </c>
      <c r="L14" s="1607">
        <v>2</v>
      </c>
      <c r="M14" s="1607">
        <v>3</v>
      </c>
      <c r="N14" s="1607">
        <v>2</v>
      </c>
      <c r="O14" s="1607"/>
      <c r="P14" s="1607">
        <v>9</v>
      </c>
      <c r="Q14" s="1607">
        <v>64</v>
      </c>
    </row>
    <row r="15" spans="1:17" x14ac:dyDescent="0.2">
      <c r="A15" s="1607" t="s">
        <v>27</v>
      </c>
      <c r="B15" s="1607" t="s">
        <v>160</v>
      </c>
      <c r="C15" s="1607">
        <v>98</v>
      </c>
      <c r="D15" s="1607"/>
      <c r="E15" s="1607">
        <v>1</v>
      </c>
      <c r="F15" s="1607"/>
      <c r="G15" s="1607">
        <v>4</v>
      </c>
      <c r="H15" s="1607">
        <v>1</v>
      </c>
      <c r="I15" s="1607"/>
      <c r="J15" s="1607">
        <v>5</v>
      </c>
      <c r="K15" s="1607"/>
      <c r="L15" s="1607">
        <v>3</v>
      </c>
      <c r="M15" s="1607">
        <v>1</v>
      </c>
      <c r="N15" s="1607">
        <v>3</v>
      </c>
      <c r="O15" s="1607">
        <v>3</v>
      </c>
      <c r="P15" s="1607">
        <v>2</v>
      </c>
      <c r="Q15" s="1607">
        <v>75</v>
      </c>
    </row>
    <row r="16" spans="1:17" x14ac:dyDescent="0.2">
      <c r="A16" s="1607" t="s">
        <v>28</v>
      </c>
      <c r="B16" s="1607" t="s">
        <v>160</v>
      </c>
      <c r="C16" s="1607">
        <v>139</v>
      </c>
      <c r="D16" s="1607">
        <v>5</v>
      </c>
      <c r="E16" s="1607">
        <v>8</v>
      </c>
      <c r="F16" s="1607">
        <v>8</v>
      </c>
      <c r="G16" s="1607"/>
      <c r="H16" s="1607"/>
      <c r="I16" s="1607">
        <v>1</v>
      </c>
      <c r="J16" s="1607">
        <v>1</v>
      </c>
      <c r="K16" s="1607">
        <v>5</v>
      </c>
      <c r="L16" s="1607">
        <v>6</v>
      </c>
      <c r="M16" s="1607">
        <v>1</v>
      </c>
      <c r="N16" s="1607">
        <v>5</v>
      </c>
      <c r="O16" s="1607">
        <v>1</v>
      </c>
      <c r="P16" s="1607">
        <v>4</v>
      </c>
      <c r="Q16" s="1607">
        <v>94</v>
      </c>
    </row>
    <row r="17" spans="1:17" x14ac:dyDescent="0.2">
      <c r="A17" s="1607" t="s">
        <v>29</v>
      </c>
      <c r="B17" s="1607" t="s">
        <v>160</v>
      </c>
      <c r="C17" s="1607">
        <v>334</v>
      </c>
      <c r="D17" s="1607">
        <v>14</v>
      </c>
      <c r="E17" s="1607">
        <v>9</v>
      </c>
      <c r="F17" s="1607">
        <v>1</v>
      </c>
      <c r="G17" s="1607">
        <v>9</v>
      </c>
      <c r="H17" s="1607">
        <v>4</v>
      </c>
      <c r="I17" s="1607">
        <v>3</v>
      </c>
      <c r="J17" s="1607">
        <v>1</v>
      </c>
      <c r="K17" s="1607">
        <v>3</v>
      </c>
      <c r="L17" s="1607">
        <v>5</v>
      </c>
      <c r="M17" s="1607">
        <v>12</v>
      </c>
      <c r="N17" s="1607">
        <v>4</v>
      </c>
      <c r="O17" s="1607">
        <v>8</v>
      </c>
      <c r="P17" s="1607">
        <v>5</v>
      </c>
      <c r="Q17" s="1607">
        <v>256</v>
      </c>
    </row>
    <row r="18" spans="1:17" x14ac:dyDescent="0.2">
      <c r="A18" s="1607" t="s">
        <v>30</v>
      </c>
      <c r="B18" s="1607" t="s">
        <v>160</v>
      </c>
      <c r="C18" s="1607">
        <v>158</v>
      </c>
      <c r="D18" s="1607">
        <v>5</v>
      </c>
      <c r="E18" s="1607">
        <v>14</v>
      </c>
      <c r="F18" s="1607">
        <v>1</v>
      </c>
      <c r="G18" s="1607">
        <v>2</v>
      </c>
      <c r="H18" s="1607">
        <v>1</v>
      </c>
      <c r="I18" s="1607">
        <v>3</v>
      </c>
      <c r="J18" s="1607">
        <v>9</v>
      </c>
      <c r="K18" s="1607">
        <v>2</v>
      </c>
      <c r="L18" s="1607">
        <v>2</v>
      </c>
      <c r="M18" s="1607">
        <v>7</v>
      </c>
      <c r="N18" s="1607">
        <v>3</v>
      </c>
      <c r="O18" s="1607">
        <v>2</v>
      </c>
      <c r="P18" s="1607">
        <v>3</v>
      </c>
      <c r="Q18" s="1607">
        <v>104</v>
      </c>
    </row>
    <row r="19" spans="1:17" x14ac:dyDescent="0.2">
      <c r="A19" s="1607" t="s">
        <v>31</v>
      </c>
      <c r="B19" s="1607" t="s">
        <v>160</v>
      </c>
      <c r="C19" s="1607">
        <v>106</v>
      </c>
      <c r="D19" s="1607">
        <v>5</v>
      </c>
      <c r="E19" s="1607">
        <v>4</v>
      </c>
      <c r="F19" s="1607"/>
      <c r="G19" s="1607">
        <v>2</v>
      </c>
      <c r="H19" s="1607"/>
      <c r="I19" s="1607">
        <v>2</v>
      </c>
      <c r="J19" s="1607">
        <v>8</v>
      </c>
      <c r="K19" s="1607"/>
      <c r="L19" s="1607"/>
      <c r="M19" s="1607">
        <v>1</v>
      </c>
      <c r="N19" s="1607">
        <v>4</v>
      </c>
      <c r="O19" s="1607"/>
      <c r="P19" s="1607">
        <v>3</v>
      </c>
      <c r="Q19" s="1607">
        <v>77</v>
      </c>
    </row>
    <row r="20" spans="1:17" x14ac:dyDescent="0.2">
      <c r="A20" s="1607" t="s">
        <v>32</v>
      </c>
      <c r="B20" s="1607" t="s">
        <v>160</v>
      </c>
      <c r="C20" s="1607">
        <v>120</v>
      </c>
      <c r="D20" s="1607">
        <v>6</v>
      </c>
      <c r="E20" s="1607">
        <v>2</v>
      </c>
      <c r="F20" s="1607">
        <v>3</v>
      </c>
      <c r="G20" s="1607">
        <v>4</v>
      </c>
      <c r="H20" s="1607">
        <v>1</v>
      </c>
      <c r="I20" s="1607">
        <v>2</v>
      </c>
      <c r="J20" s="1607"/>
      <c r="K20" s="1607">
        <v>3</v>
      </c>
      <c r="L20" s="1607">
        <v>3</v>
      </c>
      <c r="M20" s="1607">
        <v>2</v>
      </c>
      <c r="N20" s="1607">
        <v>4</v>
      </c>
      <c r="O20" s="1607">
        <v>1</v>
      </c>
      <c r="P20" s="1607">
        <v>4</v>
      </c>
      <c r="Q20" s="1607">
        <v>85</v>
      </c>
    </row>
    <row r="21" spans="1:17" x14ac:dyDescent="0.2">
      <c r="A21" s="1607" t="s">
        <v>33</v>
      </c>
      <c r="B21" s="1607" t="s">
        <v>160</v>
      </c>
      <c r="C21" s="1607">
        <v>104</v>
      </c>
      <c r="D21" s="1607">
        <v>5</v>
      </c>
      <c r="E21" s="1607">
        <v>9</v>
      </c>
      <c r="F21" s="1607">
        <v>1</v>
      </c>
      <c r="G21" s="1607">
        <v>2</v>
      </c>
      <c r="H21" s="1607">
        <v>1</v>
      </c>
      <c r="I21" s="1607">
        <v>2</v>
      </c>
      <c r="J21" s="1607">
        <v>2</v>
      </c>
      <c r="K21" s="1607"/>
      <c r="L21" s="1607">
        <v>1</v>
      </c>
      <c r="M21" s="1607"/>
      <c r="N21" s="1607">
        <v>5</v>
      </c>
      <c r="O21" s="1607">
        <v>1</v>
      </c>
      <c r="P21" s="1607">
        <v>4</v>
      </c>
      <c r="Q21" s="1607">
        <v>71</v>
      </c>
    </row>
    <row r="22" spans="1:17" x14ac:dyDescent="0.2">
      <c r="A22" s="1607" t="s">
        <v>665</v>
      </c>
      <c r="B22" s="1607" t="s">
        <v>160</v>
      </c>
      <c r="C22" s="1607">
        <v>922</v>
      </c>
      <c r="D22" s="1607">
        <v>67</v>
      </c>
      <c r="E22" s="1607">
        <v>23</v>
      </c>
      <c r="F22" s="1607">
        <v>3</v>
      </c>
      <c r="G22" s="1607">
        <v>9</v>
      </c>
      <c r="H22" s="1607">
        <v>4</v>
      </c>
      <c r="I22" s="1607">
        <v>30</v>
      </c>
      <c r="J22" s="1607">
        <v>13</v>
      </c>
      <c r="K22" s="1607">
        <v>14</v>
      </c>
      <c r="L22" s="1607">
        <v>36</v>
      </c>
      <c r="M22" s="1607">
        <v>25</v>
      </c>
      <c r="N22" s="1607">
        <v>18</v>
      </c>
      <c r="O22" s="1607">
        <v>22</v>
      </c>
      <c r="P22" s="1607">
        <v>25</v>
      </c>
      <c r="Q22" s="1607">
        <v>633</v>
      </c>
    </row>
    <row r="23" spans="1:17" x14ac:dyDescent="0.2">
      <c r="A23" s="1607" t="s">
        <v>34</v>
      </c>
      <c r="B23" s="1607" t="s">
        <v>160</v>
      </c>
      <c r="C23" s="1607">
        <v>205</v>
      </c>
      <c r="D23" s="1607">
        <v>9</v>
      </c>
      <c r="E23" s="1607">
        <v>4</v>
      </c>
      <c r="F23" s="1607">
        <v>6</v>
      </c>
      <c r="G23" s="1607">
        <v>6</v>
      </c>
      <c r="H23" s="1607">
        <v>2</v>
      </c>
      <c r="I23" s="1607">
        <v>1</v>
      </c>
      <c r="J23" s="1607">
        <v>4</v>
      </c>
      <c r="K23" s="1607">
        <v>3</v>
      </c>
      <c r="L23" s="1607">
        <v>5</v>
      </c>
      <c r="M23" s="1607">
        <v>14</v>
      </c>
      <c r="N23" s="1607">
        <v>4</v>
      </c>
      <c r="O23" s="1607">
        <v>11</v>
      </c>
      <c r="P23" s="1607">
        <v>2</v>
      </c>
      <c r="Q23" s="1607">
        <v>134</v>
      </c>
    </row>
    <row r="24" spans="1:17" x14ac:dyDescent="0.2">
      <c r="A24" s="1607" t="s">
        <v>35</v>
      </c>
      <c r="B24" s="1607" t="s">
        <v>160</v>
      </c>
      <c r="C24" s="1607">
        <v>413</v>
      </c>
      <c r="D24" s="1607">
        <v>19</v>
      </c>
      <c r="E24" s="1607">
        <v>21</v>
      </c>
      <c r="F24" s="1607">
        <v>3</v>
      </c>
      <c r="G24" s="1607">
        <v>21</v>
      </c>
      <c r="H24" s="1607">
        <v>3</v>
      </c>
      <c r="I24" s="1607">
        <v>6</v>
      </c>
      <c r="J24" s="1607">
        <v>4</v>
      </c>
      <c r="K24" s="1607">
        <v>7</v>
      </c>
      <c r="L24" s="1607">
        <v>9</v>
      </c>
      <c r="M24" s="1607">
        <v>18</v>
      </c>
      <c r="N24" s="1607">
        <v>7</v>
      </c>
      <c r="O24" s="1607">
        <v>8</v>
      </c>
      <c r="P24" s="1607">
        <v>8</v>
      </c>
      <c r="Q24" s="1607">
        <v>279</v>
      </c>
    </row>
    <row r="25" spans="1:17" x14ac:dyDescent="0.2">
      <c r="A25" s="1607" t="s">
        <v>36</v>
      </c>
      <c r="B25" s="1607" t="s">
        <v>160</v>
      </c>
      <c r="C25" s="1607">
        <v>1368</v>
      </c>
      <c r="D25" s="1607">
        <v>118</v>
      </c>
      <c r="E25" s="1607">
        <v>42</v>
      </c>
      <c r="F25" s="1607">
        <v>1</v>
      </c>
      <c r="G25" s="1607">
        <v>34</v>
      </c>
      <c r="H25" s="1607">
        <v>4</v>
      </c>
      <c r="I25" s="1607">
        <v>23</v>
      </c>
      <c r="J25" s="1607">
        <v>5</v>
      </c>
      <c r="K25" s="1607">
        <v>18</v>
      </c>
      <c r="L25" s="1607">
        <v>20</v>
      </c>
      <c r="M25" s="1607">
        <v>38</v>
      </c>
      <c r="N25" s="1607">
        <v>28</v>
      </c>
      <c r="O25" s="1607">
        <v>37</v>
      </c>
      <c r="P25" s="1607">
        <v>40</v>
      </c>
      <c r="Q25" s="1607">
        <v>960</v>
      </c>
    </row>
    <row r="26" spans="1:17" x14ac:dyDescent="0.2">
      <c r="A26" s="1607" t="s">
        <v>37</v>
      </c>
      <c r="B26" s="1607" t="s">
        <v>160</v>
      </c>
      <c r="C26" s="1607">
        <v>234</v>
      </c>
      <c r="D26" s="1607">
        <v>31</v>
      </c>
      <c r="E26" s="1607">
        <v>12</v>
      </c>
      <c r="F26" s="1607">
        <v>11</v>
      </c>
      <c r="G26" s="1607">
        <v>9</v>
      </c>
      <c r="H26" s="1607">
        <v>3</v>
      </c>
      <c r="I26" s="1607">
        <v>1</v>
      </c>
      <c r="J26" s="1607">
        <v>1</v>
      </c>
      <c r="K26" s="1607">
        <v>4</v>
      </c>
      <c r="L26" s="1607">
        <v>10</v>
      </c>
      <c r="M26" s="1607">
        <v>5</v>
      </c>
      <c r="N26" s="1607">
        <v>3</v>
      </c>
      <c r="O26" s="1607">
        <v>6</v>
      </c>
      <c r="P26" s="1607">
        <v>7</v>
      </c>
      <c r="Q26" s="1607">
        <v>131</v>
      </c>
    </row>
    <row r="27" spans="1:17" x14ac:dyDescent="0.2">
      <c r="A27" s="1607" t="s">
        <v>38</v>
      </c>
      <c r="B27" s="1607" t="s">
        <v>160</v>
      </c>
      <c r="C27" s="1607">
        <v>166</v>
      </c>
      <c r="D27" s="1607">
        <v>5</v>
      </c>
      <c r="E27" s="1607">
        <v>6</v>
      </c>
      <c r="F27" s="1607">
        <v>1</v>
      </c>
      <c r="G27" s="1607">
        <v>2</v>
      </c>
      <c r="H27" s="1607">
        <v>1</v>
      </c>
      <c r="I27" s="1607">
        <v>2</v>
      </c>
      <c r="J27" s="1607">
        <v>1</v>
      </c>
      <c r="K27" s="1607">
        <v>2</v>
      </c>
      <c r="L27" s="1607">
        <v>1</v>
      </c>
      <c r="M27" s="1607">
        <v>3</v>
      </c>
      <c r="N27" s="1607">
        <v>2</v>
      </c>
      <c r="O27" s="1607">
        <v>4</v>
      </c>
      <c r="P27" s="1607">
        <v>7</v>
      </c>
      <c r="Q27" s="1607">
        <v>129</v>
      </c>
    </row>
    <row r="28" spans="1:17" x14ac:dyDescent="0.2">
      <c r="A28" s="1607" t="s">
        <v>39</v>
      </c>
      <c r="B28" s="1607" t="s">
        <v>160</v>
      </c>
      <c r="C28" s="1607">
        <v>101</v>
      </c>
      <c r="D28" s="1607">
        <v>6</v>
      </c>
      <c r="E28" s="1607">
        <v>6</v>
      </c>
      <c r="F28" s="1607">
        <v>3</v>
      </c>
      <c r="G28" s="1607">
        <v>1</v>
      </c>
      <c r="H28" s="1607">
        <v>2</v>
      </c>
      <c r="I28" s="1607">
        <v>1</v>
      </c>
      <c r="J28" s="1607"/>
      <c r="K28" s="1607">
        <v>1</v>
      </c>
      <c r="L28" s="1607">
        <v>2</v>
      </c>
      <c r="M28" s="1607">
        <v>5</v>
      </c>
      <c r="N28" s="1607">
        <v>2</v>
      </c>
      <c r="O28" s="1607"/>
      <c r="P28" s="1607">
        <v>3</v>
      </c>
      <c r="Q28" s="1607">
        <v>69</v>
      </c>
    </row>
    <row r="29" spans="1:17" x14ac:dyDescent="0.2">
      <c r="A29" s="1607" t="s">
        <v>40</v>
      </c>
      <c r="B29" s="1607" t="s">
        <v>160</v>
      </c>
      <c r="C29" s="1607">
        <v>86</v>
      </c>
      <c r="D29" s="1607">
        <v>7</v>
      </c>
      <c r="E29" s="1607">
        <v>6</v>
      </c>
      <c r="F29" s="1607">
        <v>2</v>
      </c>
      <c r="G29" s="1607">
        <v>7</v>
      </c>
      <c r="H29" s="1607">
        <v>1</v>
      </c>
      <c r="I29" s="1607">
        <v>2</v>
      </c>
      <c r="J29" s="1607">
        <v>1</v>
      </c>
      <c r="K29" s="1607">
        <v>2</v>
      </c>
      <c r="L29" s="1607">
        <v>3</v>
      </c>
      <c r="M29" s="1607">
        <v>1</v>
      </c>
      <c r="N29" s="1607">
        <v>1</v>
      </c>
      <c r="O29" s="1607">
        <v>3</v>
      </c>
      <c r="P29" s="1607"/>
      <c r="Q29" s="1607">
        <v>50</v>
      </c>
    </row>
    <row r="30" spans="1:17" x14ac:dyDescent="0.2">
      <c r="A30" s="1607" t="s">
        <v>393</v>
      </c>
      <c r="B30" s="1607" t="s">
        <v>160</v>
      </c>
      <c r="C30" s="1607">
        <v>27</v>
      </c>
      <c r="D30" s="1607">
        <v>2</v>
      </c>
      <c r="E30" s="1607"/>
      <c r="F30" s="1607"/>
      <c r="G30" s="1607">
        <v>1</v>
      </c>
      <c r="H30" s="1607"/>
      <c r="I30" s="1607"/>
      <c r="J30" s="1607"/>
      <c r="K30" s="1607"/>
      <c r="L30" s="1607">
        <v>1</v>
      </c>
      <c r="M30" s="1607">
        <v>1</v>
      </c>
      <c r="N30" s="1607"/>
      <c r="O30" s="1607"/>
      <c r="P30" s="1607">
        <v>2</v>
      </c>
      <c r="Q30" s="1607">
        <v>20</v>
      </c>
    </row>
    <row r="31" spans="1:17" x14ac:dyDescent="0.2">
      <c r="A31" s="1607" t="s">
        <v>41</v>
      </c>
      <c r="B31" s="1607" t="s">
        <v>160</v>
      </c>
      <c r="C31" s="1607">
        <v>239</v>
      </c>
      <c r="D31" s="1607">
        <v>9</v>
      </c>
      <c r="E31" s="1607">
        <v>11</v>
      </c>
      <c r="F31" s="1607">
        <v>2</v>
      </c>
      <c r="G31" s="1607">
        <v>9</v>
      </c>
      <c r="H31" s="1607">
        <v>1</v>
      </c>
      <c r="I31" s="1607">
        <v>2</v>
      </c>
      <c r="J31" s="1607"/>
      <c r="K31" s="1607">
        <v>4</v>
      </c>
      <c r="L31" s="1607">
        <v>2</v>
      </c>
      <c r="M31" s="1607">
        <v>10</v>
      </c>
      <c r="N31" s="1607">
        <v>7</v>
      </c>
      <c r="O31" s="1607">
        <v>1</v>
      </c>
      <c r="P31" s="1607">
        <v>5</v>
      </c>
      <c r="Q31" s="1607">
        <v>176</v>
      </c>
    </row>
    <row r="32" spans="1:17" x14ac:dyDescent="0.2">
      <c r="A32" s="1607" t="s">
        <v>42</v>
      </c>
      <c r="B32" s="1607" t="s">
        <v>160</v>
      </c>
      <c r="C32" s="1607">
        <v>476</v>
      </c>
      <c r="D32" s="1607">
        <v>15</v>
      </c>
      <c r="E32" s="1607">
        <v>28</v>
      </c>
      <c r="F32" s="1607">
        <v>3</v>
      </c>
      <c r="G32" s="1607">
        <v>17</v>
      </c>
      <c r="H32" s="1607">
        <v>3</v>
      </c>
      <c r="I32" s="1607">
        <v>7</v>
      </c>
      <c r="J32" s="1607">
        <v>6</v>
      </c>
      <c r="K32" s="1607">
        <v>5</v>
      </c>
      <c r="L32" s="1607">
        <v>13</v>
      </c>
      <c r="M32" s="1607">
        <v>15</v>
      </c>
      <c r="N32" s="1607">
        <v>16</v>
      </c>
      <c r="O32" s="1607">
        <v>7</v>
      </c>
      <c r="P32" s="1607">
        <v>5</v>
      </c>
      <c r="Q32" s="1607">
        <v>336</v>
      </c>
    </row>
    <row r="33" spans="1:17" x14ac:dyDescent="0.2">
      <c r="A33" s="1607" t="s">
        <v>43</v>
      </c>
      <c r="B33" s="1607" t="s">
        <v>160</v>
      </c>
      <c r="C33" s="1607">
        <v>20</v>
      </c>
      <c r="D33" s="1607">
        <v>1</v>
      </c>
      <c r="E33" s="1607">
        <v>3</v>
      </c>
      <c r="F33" s="1607">
        <v>3</v>
      </c>
      <c r="G33" s="1607"/>
      <c r="H33" s="1607"/>
      <c r="I33" s="1607"/>
      <c r="J33" s="1607"/>
      <c r="K33" s="1607"/>
      <c r="L33" s="1607"/>
      <c r="M33" s="1607">
        <v>1</v>
      </c>
      <c r="N33" s="1607"/>
      <c r="O33" s="1607"/>
      <c r="P33" s="1607">
        <v>1</v>
      </c>
      <c r="Q33" s="1607">
        <v>11</v>
      </c>
    </row>
    <row r="34" spans="1:17" x14ac:dyDescent="0.2">
      <c r="A34" s="1607" t="s">
        <v>44</v>
      </c>
      <c r="B34" s="1607" t="s">
        <v>160</v>
      </c>
      <c r="C34" s="1607">
        <v>197</v>
      </c>
      <c r="D34" s="1607">
        <v>9</v>
      </c>
      <c r="E34" s="1607">
        <v>8</v>
      </c>
      <c r="F34" s="1607">
        <v>3</v>
      </c>
      <c r="G34" s="1607">
        <v>16</v>
      </c>
      <c r="H34" s="1607"/>
      <c r="I34" s="1607">
        <v>1</v>
      </c>
      <c r="J34" s="1607">
        <v>7</v>
      </c>
      <c r="K34" s="1607">
        <v>5</v>
      </c>
      <c r="L34" s="1607">
        <v>6</v>
      </c>
      <c r="M34" s="1607">
        <v>8</v>
      </c>
      <c r="N34" s="1607">
        <v>2</v>
      </c>
      <c r="O34" s="1607">
        <v>5</v>
      </c>
      <c r="P34" s="1607">
        <v>4</v>
      </c>
      <c r="Q34" s="1607">
        <v>123</v>
      </c>
    </row>
    <row r="35" spans="1:17" x14ac:dyDescent="0.2">
      <c r="A35" s="1607" t="s">
        <v>45</v>
      </c>
      <c r="B35" s="1607" t="s">
        <v>160</v>
      </c>
      <c r="C35" s="1607">
        <v>331</v>
      </c>
      <c r="D35" s="1607">
        <v>14</v>
      </c>
      <c r="E35" s="1607">
        <v>11</v>
      </c>
      <c r="F35" s="1607"/>
      <c r="G35" s="1607">
        <v>8</v>
      </c>
      <c r="H35" s="1607">
        <v>7</v>
      </c>
      <c r="I35" s="1607">
        <v>3</v>
      </c>
      <c r="J35" s="1607">
        <v>2</v>
      </c>
      <c r="K35" s="1607"/>
      <c r="L35" s="1607">
        <v>6</v>
      </c>
      <c r="M35" s="1607">
        <v>14</v>
      </c>
      <c r="N35" s="1607">
        <v>8</v>
      </c>
      <c r="O35" s="1607">
        <v>9</v>
      </c>
      <c r="P35" s="1607">
        <v>7</v>
      </c>
      <c r="Q35" s="1607">
        <v>242</v>
      </c>
    </row>
    <row r="36" spans="1:17" x14ac:dyDescent="0.2">
      <c r="A36" s="1607" t="s">
        <v>46</v>
      </c>
      <c r="B36" s="1607" t="s">
        <v>160</v>
      </c>
      <c r="C36" s="1607">
        <v>157</v>
      </c>
      <c r="D36" s="1607">
        <v>10</v>
      </c>
      <c r="E36" s="1607">
        <v>3</v>
      </c>
      <c r="F36" s="1607">
        <v>7</v>
      </c>
      <c r="G36" s="1607">
        <v>6</v>
      </c>
      <c r="H36" s="1607"/>
      <c r="I36" s="1607">
        <v>2</v>
      </c>
      <c r="J36" s="1607">
        <v>1</v>
      </c>
      <c r="K36" s="1607">
        <v>2</v>
      </c>
      <c r="L36" s="1607">
        <v>2</v>
      </c>
      <c r="M36" s="1607">
        <v>5</v>
      </c>
      <c r="N36" s="1607">
        <v>4</v>
      </c>
      <c r="O36" s="1607">
        <v>3</v>
      </c>
      <c r="P36" s="1607">
        <v>3</v>
      </c>
      <c r="Q36" s="1607">
        <v>109</v>
      </c>
    </row>
    <row r="37" spans="1:17" x14ac:dyDescent="0.2">
      <c r="A37" s="1607" t="s">
        <v>47</v>
      </c>
      <c r="B37" s="1607" t="s">
        <v>160</v>
      </c>
      <c r="C37" s="1607">
        <v>23</v>
      </c>
      <c r="D37" s="1607">
        <v>2</v>
      </c>
      <c r="E37" s="1607"/>
      <c r="F37" s="1607"/>
      <c r="G37" s="1607"/>
      <c r="H37" s="1607"/>
      <c r="I37" s="1607"/>
      <c r="J37" s="1607"/>
      <c r="K37" s="1607"/>
      <c r="L37" s="1607">
        <v>1</v>
      </c>
      <c r="M37" s="1607">
        <v>1</v>
      </c>
      <c r="N37" s="1607"/>
      <c r="O37" s="1607"/>
      <c r="P37" s="1607"/>
      <c r="Q37" s="1607">
        <v>19</v>
      </c>
    </row>
    <row r="38" spans="1:17" x14ac:dyDescent="0.2">
      <c r="A38" s="1607" t="s">
        <v>48</v>
      </c>
      <c r="B38" s="1607" t="s">
        <v>160</v>
      </c>
      <c r="C38" s="1607">
        <v>155</v>
      </c>
      <c r="D38" s="1607">
        <v>9</v>
      </c>
      <c r="E38" s="1607">
        <v>12</v>
      </c>
      <c r="F38" s="1607">
        <v>1</v>
      </c>
      <c r="G38" s="1607">
        <v>6</v>
      </c>
      <c r="H38" s="1607"/>
      <c r="I38" s="1607">
        <v>1</v>
      </c>
      <c r="J38" s="1607">
        <v>1</v>
      </c>
      <c r="K38" s="1607">
        <v>3</v>
      </c>
      <c r="L38" s="1607"/>
      <c r="M38" s="1607">
        <v>10</v>
      </c>
      <c r="N38" s="1607">
        <v>3</v>
      </c>
      <c r="O38" s="1607">
        <v>5</v>
      </c>
      <c r="P38" s="1607">
        <v>3</v>
      </c>
      <c r="Q38" s="1607">
        <v>101</v>
      </c>
    </row>
    <row r="39" spans="1:17" x14ac:dyDescent="0.2">
      <c r="A39" s="1607" t="s">
        <v>49</v>
      </c>
      <c r="B39" s="1607" t="s">
        <v>160</v>
      </c>
      <c r="C39" s="1607">
        <v>393</v>
      </c>
      <c r="D39" s="1607">
        <v>22</v>
      </c>
      <c r="E39" s="1607">
        <v>23</v>
      </c>
      <c r="F39" s="1607">
        <v>3</v>
      </c>
      <c r="G39" s="1607">
        <v>5</v>
      </c>
      <c r="H39" s="1607">
        <v>2</v>
      </c>
      <c r="I39" s="1607">
        <v>4</v>
      </c>
      <c r="J39" s="1607">
        <v>2</v>
      </c>
      <c r="K39" s="1607">
        <v>8</v>
      </c>
      <c r="L39" s="1607">
        <v>3</v>
      </c>
      <c r="M39" s="1607">
        <v>14</v>
      </c>
      <c r="N39" s="1607">
        <v>4</v>
      </c>
      <c r="O39" s="1607">
        <v>1</v>
      </c>
      <c r="P39" s="1607">
        <v>8</v>
      </c>
      <c r="Q39" s="1607">
        <v>294</v>
      </c>
    </row>
    <row r="40" spans="1:17" x14ac:dyDescent="0.2">
      <c r="A40" s="1607" t="s">
        <v>50</v>
      </c>
      <c r="B40" s="1607" t="s">
        <v>160</v>
      </c>
      <c r="C40" s="1607">
        <v>180</v>
      </c>
      <c r="D40" s="1607">
        <v>13</v>
      </c>
      <c r="E40" s="1607">
        <v>2</v>
      </c>
      <c r="F40" s="1607">
        <v>2</v>
      </c>
      <c r="G40" s="1607">
        <v>4</v>
      </c>
      <c r="H40" s="1607"/>
      <c r="I40" s="1607">
        <v>2</v>
      </c>
      <c r="J40" s="1607">
        <v>30</v>
      </c>
      <c r="K40" s="1607">
        <v>1</v>
      </c>
      <c r="L40" s="1607">
        <v>4</v>
      </c>
      <c r="M40" s="1607">
        <v>2</v>
      </c>
      <c r="N40" s="1607">
        <v>7</v>
      </c>
      <c r="O40" s="1607">
        <v>2</v>
      </c>
      <c r="P40" s="1607">
        <v>3</v>
      </c>
      <c r="Q40" s="1607">
        <v>108</v>
      </c>
    </row>
    <row r="41" spans="1:17" x14ac:dyDescent="0.2">
      <c r="A41" s="1607" t="s">
        <v>51</v>
      </c>
      <c r="B41" s="1607" t="s">
        <v>160</v>
      </c>
      <c r="C41" s="1607">
        <v>215</v>
      </c>
      <c r="D41" s="1607">
        <v>24</v>
      </c>
      <c r="E41" s="1607">
        <v>5</v>
      </c>
      <c r="F41" s="1607"/>
      <c r="G41" s="1607">
        <v>5</v>
      </c>
      <c r="H41" s="1607"/>
      <c r="I41" s="1607">
        <v>4</v>
      </c>
      <c r="J41" s="1607">
        <v>2</v>
      </c>
      <c r="K41" s="1607">
        <v>4</v>
      </c>
      <c r="L41" s="1607">
        <v>2</v>
      </c>
      <c r="M41" s="1607">
        <v>4</v>
      </c>
      <c r="N41" s="1607">
        <v>1</v>
      </c>
      <c r="O41" s="1607">
        <v>4</v>
      </c>
      <c r="P41" s="1607">
        <v>4</v>
      </c>
      <c r="Q41" s="1607">
        <v>156</v>
      </c>
    </row>
    <row r="42" spans="1:17" x14ac:dyDescent="0.2">
      <c r="A42" s="1607" t="s">
        <v>52</v>
      </c>
      <c r="B42" s="1607" t="s">
        <v>160</v>
      </c>
      <c r="C42" s="1607">
        <v>238</v>
      </c>
      <c r="D42" s="1607">
        <v>10</v>
      </c>
      <c r="E42" s="1607">
        <v>12</v>
      </c>
      <c r="F42" s="1607">
        <v>4</v>
      </c>
      <c r="G42" s="1607">
        <v>19</v>
      </c>
      <c r="H42" s="1607">
        <v>4</v>
      </c>
      <c r="I42" s="1607">
        <v>9</v>
      </c>
      <c r="J42" s="1607">
        <v>1</v>
      </c>
      <c r="K42" s="1607">
        <v>4</v>
      </c>
      <c r="L42" s="1607">
        <v>3</v>
      </c>
      <c r="M42" s="1607">
        <v>11</v>
      </c>
      <c r="N42" s="1607">
        <v>5</v>
      </c>
      <c r="O42" s="1607">
        <v>2</v>
      </c>
      <c r="P42" s="1607">
        <v>4</v>
      </c>
      <c r="Q42" s="1607">
        <v>150</v>
      </c>
    </row>
    <row r="43" spans="1:17" x14ac:dyDescent="0.2">
      <c r="A43" s="1607" t="s">
        <v>23</v>
      </c>
      <c r="B43" s="1607" t="s">
        <v>379</v>
      </c>
      <c r="C43" s="1607">
        <v>458</v>
      </c>
      <c r="D43" s="1607">
        <v>31</v>
      </c>
      <c r="E43" s="1607">
        <v>10</v>
      </c>
      <c r="F43" s="1607"/>
      <c r="G43" s="1607">
        <v>10</v>
      </c>
      <c r="H43" s="1607">
        <v>4</v>
      </c>
      <c r="I43" s="1607">
        <v>9</v>
      </c>
      <c r="J43" s="1607">
        <v>1</v>
      </c>
      <c r="K43" s="1607">
        <v>5</v>
      </c>
      <c r="L43" s="1607">
        <v>6</v>
      </c>
      <c r="M43" s="1607">
        <v>11</v>
      </c>
      <c r="N43" s="1607">
        <v>7</v>
      </c>
      <c r="O43" s="1607">
        <v>11</v>
      </c>
      <c r="P43" s="1607">
        <v>3</v>
      </c>
      <c r="Q43" s="1607">
        <v>350</v>
      </c>
    </row>
    <row r="44" spans="1:17" x14ac:dyDescent="0.2">
      <c r="A44" s="1607" t="s">
        <v>24</v>
      </c>
      <c r="B44" s="1607" t="s">
        <v>379</v>
      </c>
      <c r="C44" s="1607">
        <v>272</v>
      </c>
      <c r="D44" s="1607">
        <v>17</v>
      </c>
      <c r="E44" s="1607">
        <v>11</v>
      </c>
      <c r="F44" s="1607">
        <v>5</v>
      </c>
      <c r="G44" s="1607">
        <v>10</v>
      </c>
      <c r="H44" s="1607">
        <v>4</v>
      </c>
      <c r="I44" s="1607">
        <v>2</v>
      </c>
      <c r="J44" s="1607">
        <v>7</v>
      </c>
      <c r="K44" s="1607">
        <v>3</v>
      </c>
      <c r="L44" s="1607">
        <v>5</v>
      </c>
      <c r="M44" s="1607">
        <v>6</v>
      </c>
      <c r="N44" s="1607">
        <v>6</v>
      </c>
      <c r="O44" s="1607">
        <v>6</v>
      </c>
      <c r="P44" s="1607">
        <v>6</v>
      </c>
      <c r="Q44" s="1607">
        <v>184</v>
      </c>
    </row>
    <row r="45" spans="1:17" x14ac:dyDescent="0.2">
      <c r="A45" s="1607" t="s">
        <v>25</v>
      </c>
      <c r="B45" s="1607" t="s">
        <v>379</v>
      </c>
      <c r="C45" s="1607">
        <v>126</v>
      </c>
      <c r="D45" s="1607">
        <v>4</v>
      </c>
      <c r="E45" s="1607">
        <v>6</v>
      </c>
      <c r="F45" s="1607">
        <v>1</v>
      </c>
      <c r="G45" s="1607">
        <v>5</v>
      </c>
      <c r="H45" s="1607"/>
      <c r="I45" s="1607">
        <v>1</v>
      </c>
      <c r="J45" s="1607">
        <v>2</v>
      </c>
      <c r="K45" s="1607">
        <v>1</v>
      </c>
      <c r="L45" s="1607">
        <v>1</v>
      </c>
      <c r="M45" s="1607">
        <v>2</v>
      </c>
      <c r="N45" s="1607">
        <v>2</v>
      </c>
      <c r="O45" s="1607">
        <v>3</v>
      </c>
      <c r="P45" s="1607"/>
      <c r="Q45" s="1607">
        <v>98</v>
      </c>
    </row>
    <row r="46" spans="1:17" x14ac:dyDescent="0.2">
      <c r="A46" s="1607" t="s">
        <v>26</v>
      </c>
      <c r="B46" s="1607" t="s">
        <v>379</v>
      </c>
      <c r="C46" s="1607">
        <v>111</v>
      </c>
      <c r="D46" s="1607">
        <v>6</v>
      </c>
      <c r="E46" s="1607">
        <v>5</v>
      </c>
      <c r="F46" s="1607"/>
      <c r="G46" s="1607">
        <v>3</v>
      </c>
      <c r="H46" s="1607"/>
      <c r="I46" s="1607">
        <v>2</v>
      </c>
      <c r="J46" s="1607">
        <v>1</v>
      </c>
      <c r="K46" s="1607">
        <v>4</v>
      </c>
      <c r="L46" s="1607">
        <v>2</v>
      </c>
      <c r="M46" s="1607">
        <v>1</v>
      </c>
      <c r="N46" s="1607"/>
      <c r="O46" s="1607">
        <v>1</v>
      </c>
      <c r="P46" s="1607">
        <v>6</v>
      </c>
      <c r="Q46" s="1607">
        <v>80</v>
      </c>
    </row>
    <row r="47" spans="1:17" x14ac:dyDescent="0.2">
      <c r="A47" s="1607" t="s">
        <v>27</v>
      </c>
      <c r="B47" s="1607" t="s">
        <v>379</v>
      </c>
      <c r="C47" s="1607">
        <v>92</v>
      </c>
      <c r="D47" s="1607">
        <v>3</v>
      </c>
      <c r="E47" s="1607"/>
      <c r="F47" s="1607">
        <v>2</v>
      </c>
      <c r="G47" s="1607">
        <v>7</v>
      </c>
      <c r="H47" s="1607"/>
      <c r="I47" s="1607">
        <v>1</v>
      </c>
      <c r="J47" s="1607">
        <v>1</v>
      </c>
      <c r="K47" s="1607"/>
      <c r="L47" s="1607"/>
      <c r="M47" s="1607">
        <v>3</v>
      </c>
      <c r="N47" s="1607">
        <v>2</v>
      </c>
      <c r="O47" s="1607">
        <v>1</v>
      </c>
      <c r="P47" s="1607"/>
      <c r="Q47" s="1607">
        <v>72</v>
      </c>
    </row>
    <row r="48" spans="1:17" x14ac:dyDescent="0.2">
      <c r="A48" s="1607" t="s">
        <v>28</v>
      </c>
      <c r="B48" s="1607" t="s">
        <v>379</v>
      </c>
      <c r="C48" s="1607">
        <v>173</v>
      </c>
      <c r="D48" s="1607">
        <v>9</v>
      </c>
      <c r="E48" s="1607">
        <v>8</v>
      </c>
      <c r="F48" s="1607">
        <v>7</v>
      </c>
      <c r="G48" s="1607">
        <v>6</v>
      </c>
      <c r="H48" s="1607">
        <v>2</v>
      </c>
      <c r="I48" s="1607">
        <v>4</v>
      </c>
      <c r="J48" s="1607">
        <v>3</v>
      </c>
      <c r="K48" s="1607">
        <v>2</v>
      </c>
      <c r="L48" s="1607">
        <v>4</v>
      </c>
      <c r="M48" s="1607">
        <v>4</v>
      </c>
      <c r="N48" s="1607">
        <v>3</v>
      </c>
      <c r="O48" s="1607">
        <v>2</v>
      </c>
      <c r="P48" s="1607">
        <v>1</v>
      </c>
      <c r="Q48" s="1607">
        <v>118</v>
      </c>
    </row>
    <row r="49" spans="1:17" x14ac:dyDescent="0.2">
      <c r="A49" s="1607" t="s">
        <v>29</v>
      </c>
      <c r="B49" s="1607" t="s">
        <v>379</v>
      </c>
      <c r="C49" s="1607">
        <v>324</v>
      </c>
      <c r="D49" s="1607">
        <v>12</v>
      </c>
      <c r="E49" s="1607">
        <v>12</v>
      </c>
      <c r="F49" s="1607"/>
      <c r="G49" s="1607">
        <v>12</v>
      </c>
      <c r="H49" s="1607">
        <v>3</v>
      </c>
      <c r="I49" s="1607">
        <v>2</v>
      </c>
      <c r="J49" s="1607">
        <v>2</v>
      </c>
      <c r="K49" s="1607"/>
      <c r="L49" s="1607">
        <v>4</v>
      </c>
      <c r="M49" s="1607">
        <v>5</v>
      </c>
      <c r="N49" s="1607">
        <v>6</v>
      </c>
      <c r="O49" s="1607">
        <v>5</v>
      </c>
      <c r="P49" s="1607">
        <v>4</v>
      </c>
      <c r="Q49" s="1607">
        <v>257</v>
      </c>
    </row>
    <row r="50" spans="1:17" x14ac:dyDescent="0.2">
      <c r="A50" s="1607" t="s">
        <v>30</v>
      </c>
      <c r="B50" s="1607" t="s">
        <v>379</v>
      </c>
      <c r="C50" s="1607">
        <v>201</v>
      </c>
      <c r="D50" s="1607">
        <v>7</v>
      </c>
      <c r="E50" s="1607">
        <v>19</v>
      </c>
      <c r="F50" s="1607">
        <v>1</v>
      </c>
      <c r="G50" s="1607">
        <v>4</v>
      </c>
      <c r="H50" s="1607">
        <v>1</v>
      </c>
      <c r="I50" s="1607"/>
      <c r="J50" s="1607">
        <v>5</v>
      </c>
      <c r="K50" s="1607">
        <v>5</v>
      </c>
      <c r="L50" s="1607"/>
      <c r="M50" s="1607">
        <v>6</v>
      </c>
      <c r="N50" s="1607">
        <v>2</v>
      </c>
      <c r="O50" s="1607">
        <v>2</v>
      </c>
      <c r="P50" s="1607">
        <v>3</v>
      </c>
      <c r="Q50" s="1607">
        <v>146</v>
      </c>
    </row>
    <row r="51" spans="1:17" x14ac:dyDescent="0.2">
      <c r="A51" s="1607" t="s">
        <v>31</v>
      </c>
      <c r="B51" s="1607" t="s">
        <v>379</v>
      </c>
      <c r="C51" s="1607">
        <v>118</v>
      </c>
      <c r="D51" s="1607">
        <v>3</v>
      </c>
      <c r="E51" s="1607">
        <v>9</v>
      </c>
      <c r="F51" s="1607"/>
      <c r="G51" s="1607">
        <v>2</v>
      </c>
      <c r="H51" s="1607"/>
      <c r="I51" s="1607">
        <v>1</v>
      </c>
      <c r="J51" s="1607">
        <v>10</v>
      </c>
      <c r="K51" s="1607">
        <v>1</v>
      </c>
      <c r="L51" s="1607">
        <v>1</v>
      </c>
      <c r="M51" s="1607">
        <v>2</v>
      </c>
      <c r="N51" s="1607">
        <v>7</v>
      </c>
      <c r="O51" s="1607"/>
      <c r="P51" s="1607"/>
      <c r="Q51" s="1607">
        <v>82</v>
      </c>
    </row>
    <row r="52" spans="1:17" x14ac:dyDescent="0.2">
      <c r="A52" s="1607" t="s">
        <v>32</v>
      </c>
      <c r="B52" s="1607" t="s">
        <v>379</v>
      </c>
      <c r="C52" s="1607">
        <v>103</v>
      </c>
      <c r="D52" s="1607">
        <v>8</v>
      </c>
      <c r="E52" s="1607">
        <v>6</v>
      </c>
      <c r="F52" s="1607">
        <v>2</v>
      </c>
      <c r="G52" s="1607">
        <v>4</v>
      </c>
      <c r="H52" s="1607">
        <v>1</v>
      </c>
      <c r="I52" s="1607">
        <v>3</v>
      </c>
      <c r="J52" s="1607">
        <v>1</v>
      </c>
      <c r="K52" s="1607">
        <v>6</v>
      </c>
      <c r="L52" s="1607">
        <v>4</v>
      </c>
      <c r="M52" s="1607"/>
      <c r="N52" s="1607">
        <v>3</v>
      </c>
      <c r="O52" s="1607">
        <v>3</v>
      </c>
      <c r="P52" s="1607">
        <v>3</v>
      </c>
      <c r="Q52" s="1607">
        <v>59</v>
      </c>
    </row>
    <row r="53" spans="1:17" x14ac:dyDescent="0.2">
      <c r="A53" s="1607" t="s">
        <v>33</v>
      </c>
      <c r="B53" s="1607" t="s">
        <v>379</v>
      </c>
      <c r="C53" s="1607">
        <v>82</v>
      </c>
      <c r="D53" s="1607">
        <v>2</v>
      </c>
      <c r="E53" s="1607">
        <v>6</v>
      </c>
      <c r="F53" s="1607"/>
      <c r="G53" s="1607">
        <v>2</v>
      </c>
      <c r="H53" s="1607"/>
      <c r="I53" s="1607">
        <v>1</v>
      </c>
      <c r="J53" s="1607"/>
      <c r="K53" s="1607">
        <v>1</v>
      </c>
      <c r="L53" s="1607"/>
      <c r="M53" s="1607">
        <v>2</v>
      </c>
      <c r="N53" s="1607">
        <v>3</v>
      </c>
      <c r="O53" s="1607"/>
      <c r="P53" s="1607">
        <v>1</v>
      </c>
      <c r="Q53" s="1607">
        <v>64</v>
      </c>
    </row>
    <row r="54" spans="1:17" x14ac:dyDescent="0.2">
      <c r="A54" s="1607" t="s">
        <v>665</v>
      </c>
      <c r="B54" s="1607" t="s">
        <v>379</v>
      </c>
      <c r="C54" s="1607">
        <v>840</v>
      </c>
      <c r="D54" s="1607">
        <v>61</v>
      </c>
      <c r="E54" s="1607">
        <v>15</v>
      </c>
      <c r="F54" s="1607">
        <v>1</v>
      </c>
      <c r="G54" s="1607">
        <v>16</v>
      </c>
      <c r="H54" s="1607">
        <v>2</v>
      </c>
      <c r="I54" s="1607">
        <v>18</v>
      </c>
      <c r="J54" s="1607">
        <v>9</v>
      </c>
      <c r="K54" s="1607">
        <v>12</v>
      </c>
      <c r="L54" s="1607">
        <v>34</v>
      </c>
      <c r="M54" s="1607">
        <v>28</v>
      </c>
      <c r="N54" s="1607">
        <v>19</v>
      </c>
      <c r="O54" s="1607">
        <v>17</v>
      </c>
      <c r="P54" s="1607">
        <v>27</v>
      </c>
      <c r="Q54" s="1607">
        <v>581</v>
      </c>
    </row>
    <row r="55" spans="1:17" x14ac:dyDescent="0.2">
      <c r="A55" s="1607" t="s">
        <v>34</v>
      </c>
      <c r="B55" s="1607" t="s">
        <v>379</v>
      </c>
      <c r="C55" s="1607">
        <v>182</v>
      </c>
      <c r="D55" s="1607">
        <v>8</v>
      </c>
      <c r="E55" s="1607">
        <v>13</v>
      </c>
      <c r="F55" s="1607">
        <v>1</v>
      </c>
      <c r="G55" s="1607">
        <v>6</v>
      </c>
      <c r="H55" s="1607">
        <v>1</v>
      </c>
      <c r="I55" s="1607">
        <v>2</v>
      </c>
      <c r="J55" s="1607">
        <v>6</v>
      </c>
      <c r="K55" s="1607">
        <v>1</v>
      </c>
      <c r="L55" s="1607">
        <v>8</v>
      </c>
      <c r="M55" s="1607">
        <v>3</v>
      </c>
      <c r="N55" s="1607">
        <v>6</v>
      </c>
      <c r="O55" s="1607">
        <v>7</v>
      </c>
      <c r="P55" s="1607">
        <v>3</v>
      </c>
      <c r="Q55" s="1607">
        <v>117</v>
      </c>
    </row>
    <row r="56" spans="1:17" x14ac:dyDescent="0.2">
      <c r="A56" s="1607" t="s">
        <v>35</v>
      </c>
      <c r="B56" s="1607" t="s">
        <v>379</v>
      </c>
      <c r="C56" s="1607">
        <v>417</v>
      </c>
      <c r="D56" s="1607">
        <v>17</v>
      </c>
      <c r="E56" s="1607">
        <v>20</v>
      </c>
      <c r="F56" s="1607">
        <v>6</v>
      </c>
      <c r="G56" s="1607">
        <v>26</v>
      </c>
      <c r="H56" s="1607">
        <v>4</v>
      </c>
      <c r="I56" s="1607">
        <v>4</v>
      </c>
      <c r="J56" s="1607">
        <v>4</v>
      </c>
      <c r="K56" s="1607">
        <v>4</v>
      </c>
      <c r="L56" s="1607">
        <v>11</v>
      </c>
      <c r="M56" s="1607">
        <v>13</v>
      </c>
      <c r="N56" s="1607">
        <v>17</v>
      </c>
      <c r="O56" s="1607">
        <v>8</v>
      </c>
      <c r="P56" s="1607">
        <v>11</v>
      </c>
      <c r="Q56" s="1607">
        <v>272</v>
      </c>
    </row>
    <row r="57" spans="1:17" x14ac:dyDescent="0.2">
      <c r="A57" s="1607" t="s">
        <v>36</v>
      </c>
      <c r="B57" s="1607" t="s">
        <v>379</v>
      </c>
      <c r="C57" s="1607">
        <v>1324</v>
      </c>
      <c r="D57" s="1607">
        <v>81</v>
      </c>
      <c r="E57" s="1607">
        <v>28</v>
      </c>
      <c r="F57" s="1607">
        <v>1</v>
      </c>
      <c r="G57" s="1607">
        <v>29</v>
      </c>
      <c r="H57" s="1607">
        <v>7</v>
      </c>
      <c r="I57" s="1607">
        <v>41</v>
      </c>
      <c r="J57" s="1607">
        <v>16</v>
      </c>
      <c r="K57" s="1607">
        <v>20</v>
      </c>
      <c r="L57" s="1607">
        <v>19</v>
      </c>
      <c r="M57" s="1607">
        <v>51</v>
      </c>
      <c r="N57" s="1607">
        <v>34</v>
      </c>
      <c r="O57" s="1607">
        <v>41</v>
      </c>
      <c r="P57" s="1607">
        <v>27</v>
      </c>
      <c r="Q57" s="1607">
        <v>929</v>
      </c>
    </row>
    <row r="58" spans="1:17" x14ac:dyDescent="0.2">
      <c r="A58" s="1607" t="s">
        <v>37</v>
      </c>
      <c r="B58" s="1607" t="s">
        <v>379</v>
      </c>
      <c r="C58" s="1607">
        <v>252</v>
      </c>
      <c r="D58" s="1607">
        <v>20</v>
      </c>
      <c r="E58" s="1607">
        <v>16</v>
      </c>
      <c r="F58" s="1607">
        <v>6</v>
      </c>
      <c r="G58" s="1607">
        <v>12</v>
      </c>
      <c r="H58" s="1607">
        <v>1</v>
      </c>
      <c r="I58" s="1607">
        <v>1</v>
      </c>
      <c r="J58" s="1607"/>
      <c r="K58" s="1607">
        <v>2</v>
      </c>
      <c r="L58" s="1607">
        <v>13</v>
      </c>
      <c r="M58" s="1607">
        <v>9</v>
      </c>
      <c r="N58" s="1607">
        <v>1</v>
      </c>
      <c r="O58" s="1607">
        <v>5</v>
      </c>
      <c r="P58" s="1607">
        <v>5</v>
      </c>
      <c r="Q58" s="1607">
        <v>161</v>
      </c>
    </row>
    <row r="59" spans="1:17" x14ac:dyDescent="0.2">
      <c r="A59" s="1607" t="s">
        <v>38</v>
      </c>
      <c r="B59" s="1607" t="s">
        <v>379</v>
      </c>
      <c r="C59" s="1607">
        <v>163</v>
      </c>
      <c r="D59" s="1607">
        <v>4</v>
      </c>
      <c r="E59" s="1607">
        <v>4</v>
      </c>
      <c r="F59" s="1607"/>
      <c r="G59" s="1607">
        <v>3</v>
      </c>
      <c r="H59" s="1607">
        <v>1</v>
      </c>
      <c r="I59" s="1607"/>
      <c r="J59" s="1607">
        <v>1</v>
      </c>
      <c r="K59" s="1607">
        <v>3</v>
      </c>
      <c r="L59" s="1607">
        <v>2</v>
      </c>
      <c r="M59" s="1607">
        <v>4</v>
      </c>
      <c r="N59" s="1607">
        <v>1</v>
      </c>
      <c r="O59" s="1607">
        <v>5</v>
      </c>
      <c r="P59" s="1607">
        <v>4</v>
      </c>
      <c r="Q59" s="1607">
        <v>131</v>
      </c>
    </row>
    <row r="60" spans="1:17" x14ac:dyDescent="0.2">
      <c r="A60" s="1607" t="s">
        <v>39</v>
      </c>
      <c r="B60" s="1607" t="s">
        <v>379</v>
      </c>
      <c r="C60" s="1607">
        <v>110</v>
      </c>
      <c r="D60" s="1607">
        <v>7</v>
      </c>
      <c r="E60" s="1607">
        <v>6</v>
      </c>
      <c r="F60" s="1607">
        <v>1</v>
      </c>
      <c r="G60" s="1607">
        <v>6</v>
      </c>
      <c r="H60" s="1607"/>
      <c r="I60" s="1607"/>
      <c r="J60" s="1607"/>
      <c r="K60" s="1607">
        <v>2</v>
      </c>
      <c r="L60" s="1607">
        <v>4</v>
      </c>
      <c r="M60" s="1607"/>
      <c r="N60" s="1607">
        <v>2</v>
      </c>
      <c r="O60" s="1607">
        <v>1</v>
      </c>
      <c r="P60" s="1607">
        <v>3</v>
      </c>
      <c r="Q60" s="1607">
        <v>78</v>
      </c>
    </row>
    <row r="61" spans="1:17" x14ac:dyDescent="0.2">
      <c r="A61" s="1607" t="s">
        <v>40</v>
      </c>
      <c r="B61" s="1607" t="s">
        <v>379</v>
      </c>
      <c r="C61" s="1607">
        <v>84</v>
      </c>
      <c r="D61" s="1607">
        <v>5</v>
      </c>
      <c r="E61" s="1607">
        <v>3</v>
      </c>
      <c r="F61" s="1607">
        <v>1</v>
      </c>
      <c r="G61" s="1607">
        <v>5</v>
      </c>
      <c r="H61" s="1607"/>
      <c r="I61" s="1607">
        <v>2</v>
      </c>
      <c r="J61" s="1607">
        <v>1</v>
      </c>
      <c r="K61" s="1607">
        <v>1</v>
      </c>
      <c r="L61" s="1607">
        <v>3</v>
      </c>
      <c r="M61" s="1607">
        <v>1</v>
      </c>
      <c r="N61" s="1607">
        <v>3</v>
      </c>
      <c r="O61" s="1607">
        <v>1</v>
      </c>
      <c r="P61" s="1607">
        <v>3</v>
      </c>
      <c r="Q61" s="1607">
        <v>55</v>
      </c>
    </row>
    <row r="62" spans="1:17" x14ac:dyDescent="0.2">
      <c r="A62" s="1607" t="s">
        <v>393</v>
      </c>
      <c r="B62" s="1607" t="s">
        <v>379</v>
      </c>
      <c r="C62" s="1607">
        <v>28</v>
      </c>
      <c r="D62" s="1607">
        <v>2</v>
      </c>
      <c r="E62" s="1607">
        <v>1</v>
      </c>
      <c r="F62" s="1607"/>
      <c r="G62" s="1607"/>
      <c r="H62" s="1607"/>
      <c r="I62" s="1607"/>
      <c r="J62" s="1607"/>
      <c r="K62" s="1607"/>
      <c r="L62" s="1607"/>
      <c r="M62" s="1607">
        <v>2</v>
      </c>
      <c r="N62" s="1607"/>
      <c r="O62" s="1607"/>
      <c r="P62" s="1607"/>
      <c r="Q62" s="1607">
        <v>23</v>
      </c>
    </row>
    <row r="63" spans="1:17" x14ac:dyDescent="0.2">
      <c r="A63" s="1607" t="s">
        <v>41</v>
      </c>
      <c r="B63" s="1607" t="s">
        <v>379</v>
      </c>
      <c r="C63" s="1607">
        <v>210</v>
      </c>
      <c r="D63" s="1607">
        <v>4</v>
      </c>
      <c r="E63" s="1607">
        <v>7</v>
      </c>
      <c r="F63" s="1607">
        <v>1</v>
      </c>
      <c r="G63" s="1607">
        <v>6</v>
      </c>
      <c r="H63" s="1607">
        <v>1</v>
      </c>
      <c r="I63" s="1607">
        <v>2</v>
      </c>
      <c r="J63" s="1607"/>
      <c r="K63" s="1607">
        <v>2</v>
      </c>
      <c r="L63" s="1607">
        <v>4</v>
      </c>
      <c r="M63" s="1607">
        <v>7</v>
      </c>
      <c r="N63" s="1607">
        <v>2</v>
      </c>
      <c r="O63" s="1607">
        <v>1</v>
      </c>
      <c r="P63" s="1607">
        <v>6</v>
      </c>
      <c r="Q63" s="1607">
        <v>167</v>
      </c>
    </row>
    <row r="64" spans="1:17" x14ac:dyDescent="0.2">
      <c r="A64" s="1607" t="s">
        <v>42</v>
      </c>
      <c r="B64" s="1607" t="s">
        <v>379</v>
      </c>
      <c r="C64" s="1607">
        <v>465</v>
      </c>
      <c r="D64" s="1607">
        <v>12</v>
      </c>
      <c r="E64" s="1607">
        <v>27</v>
      </c>
      <c r="F64" s="1607">
        <v>2</v>
      </c>
      <c r="G64" s="1607">
        <v>10</v>
      </c>
      <c r="H64" s="1607">
        <v>4</v>
      </c>
      <c r="I64" s="1607">
        <v>4</v>
      </c>
      <c r="J64" s="1607">
        <v>5</v>
      </c>
      <c r="K64" s="1607">
        <v>8</v>
      </c>
      <c r="L64" s="1607">
        <v>8</v>
      </c>
      <c r="M64" s="1607">
        <v>11</v>
      </c>
      <c r="N64" s="1607">
        <v>8</v>
      </c>
      <c r="O64" s="1607">
        <v>5</v>
      </c>
      <c r="P64" s="1607">
        <v>8</v>
      </c>
      <c r="Q64" s="1607">
        <v>353</v>
      </c>
    </row>
    <row r="65" spans="1:17" x14ac:dyDescent="0.2">
      <c r="A65" s="1607" t="s">
        <v>43</v>
      </c>
      <c r="B65" s="1607" t="s">
        <v>379</v>
      </c>
      <c r="C65" s="1607">
        <v>12</v>
      </c>
      <c r="D65" s="1607"/>
      <c r="E65" s="1607">
        <v>1</v>
      </c>
      <c r="F65" s="1607">
        <v>2</v>
      </c>
      <c r="G65" s="1607"/>
      <c r="H65" s="1607"/>
      <c r="I65" s="1607"/>
      <c r="J65" s="1607"/>
      <c r="K65" s="1607"/>
      <c r="L65" s="1607"/>
      <c r="M65" s="1607"/>
      <c r="N65" s="1607">
        <v>1</v>
      </c>
      <c r="O65" s="1607"/>
      <c r="P65" s="1607">
        <v>1</v>
      </c>
      <c r="Q65" s="1607">
        <v>7</v>
      </c>
    </row>
    <row r="66" spans="1:17" x14ac:dyDescent="0.2">
      <c r="A66" s="1607" t="s">
        <v>44</v>
      </c>
      <c r="B66" s="1607" t="s">
        <v>379</v>
      </c>
      <c r="C66" s="1607">
        <v>216</v>
      </c>
      <c r="D66" s="1607">
        <v>14</v>
      </c>
      <c r="E66" s="1607">
        <v>11</v>
      </c>
      <c r="F66" s="1607">
        <v>10</v>
      </c>
      <c r="G66" s="1607">
        <v>6</v>
      </c>
      <c r="H66" s="1607">
        <v>4</v>
      </c>
      <c r="I66" s="1607">
        <v>2</v>
      </c>
      <c r="J66" s="1607">
        <v>6</v>
      </c>
      <c r="K66" s="1607">
        <v>1</v>
      </c>
      <c r="L66" s="1607">
        <v>9</v>
      </c>
      <c r="M66" s="1607">
        <v>4</v>
      </c>
      <c r="N66" s="1607">
        <v>2</v>
      </c>
      <c r="O66" s="1607"/>
      <c r="P66" s="1607">
        <v>1</v>
      </c>
      <c r="Q66" s="1607">
        <v>146</v>
      </c>
    </row>
    <row r="67" spans="1:17" x14ac:dyDescent="0.2">
      <c r="A67" s="1607" t="s">
        <v>45</v>
      </c>
      <c r="B67" s="1607" t="s">
        <v>379</v>
      </c>
      <c r="C67" s="1607">
        <v>283</v>
      </c>
      <c r="D67" s="1607">
        <v>17</v>
      </c>
      <c r="E67" s="1607">
        <v>10</v>
      </c>
      <c r="F67" s="1607">
        <v>1</v>
      </c>
      <c r="G67" s="1607">
        <v>8</v>
      </c>
      <c r="H67" s="1607">
        <v>3</v>
      </c>
      <c r="I67" s="1607">
        <v>6</v>
      </c>
      <c r="J67" s="1607"/>
      <c r="K67" s="1607">
        <v>5</v>
      </c>
      <c r="L67" s="1607">
        <v>2</v>
      </c>
      <c r="M67" s="1607">
        <v>13</v>
      </c>
      <c r="N67" s="1607">
        <v>2</v>
      </c>
      <c r="O67" s="1607">
        <v>3</v>
      </c>
      <c r="P67" s="1607">
        <v>8</v>
      </c>
      <c r="Q67" s="1607">
        <v>205</v>
      </c>
    </row>
    <row r="68" spans="1:17" x14ac:dyDescent="0.2">
      <c r="A68" s="1607" t="s">
        <v>46</v>
      </c>
      <c r="B68" s="1607" t="s">
        <v>379</v>
      </c>
      <c r="C68" s="1607">
        <v>133</v>
      </c>
      <c r="D68" s="1607">
        <v>2</v>
      </c>
      <c r="E68" s="1607">
        <v>12</v>
      </c>
      <c r="F68" s="1607">
        <v>9</v>
      </c>
      <c r="G68" s="1607">
        <v>2</v>
      </c>
      <c r="H68" s="1607"/>
      <c r="I68" s="1607"/>
      <c r="J68" s="1607"/>
      <c r="K68" s="1607"/>
      <c r="L68" s="1607">
        <v>2</v>
      </c>
      <c r="M68" s="1607">
        <v>4</v>
      </c>
      <c r="N68" s="1607">
        <v>5</v>
      </c>
      <c r="O68" s="1607">
        <v>2</v>
      </c>
      <c r="P68" s="1607">
        <v>4</v>
      </c>
      <c r="Q68" s="1607">
        <v>91</v>
      </c>
    </row>
    <row r="69" spans="1:17" x14ac:dyDescent="0.2">
      <c r="A69" s="1607" t="s">
        <v>47</v>
      </c>
      <c r="B69" s="1607" t="s">
        <v>379</v>
      </c>
      <c r="C69" s="1607">
        <v>17</v>
      </c>
      <c r="D69" s="1607"/>
      <c r="E69" s="1607">
        <v>1</v>
      </c>
      <c r="F69" s="1607"/>
      <c r="G69" s="1607">
        <v>2</v>
      </c>
      <c r="H69" s="1607"/>
      <c r="I69" s="1607"/>
      <c r="J69" s="1607"/>
      <c r="K69" s="1607">
        <v>1</v>
      </c>
      <c r="L69" s="1607"/>
      <c r="M69" s="1607"/>
      <c r="N69" s="1607">
        <v>1</v>
      </c>
      <c r="O69" s="1607">
        <v>2</v>
      </c>
      <c r="P69" s="1607">
        <v>1</v>
      </c>
      <c r="Q69" s="1607">
        <v>9</v>
      </c>
    </row>
    <row r="70" spans="1:17" x14ac:dyDescent="0.2">
      <c r="A70" s="1607" t="s">
        <v>48</v>
      </c>
      <c r="B70" s="1607" t="s">
        <v>379</v>
      </c>
      <c r="C70" s="1607">
        <v>141</v>
      </c>
      <c r="D70" s="1607">
        <v>10</v>
      </c>
      <c r="E70" s="1607">
        <v>5</v>
      </c>
      <c r="F70" s="1607">
        <v>3</v>
      </c>
      <c r="G70" s="1607">
        <v>3</v>
      </c>
      <c r="H70" s="1607">
        <v>1</v>
      </c>
      <c r="I70" s="1607">
        <v>1</v>
      </c>
      <c r="J70" s="1607">
        <v>1</v>
      </c>
      <c r="K70" s="1607">
        <v>3</v>
      </c>
      <c r="L70" s="1607">
        <v>4</v>
      </c>
      <c r="M70" s="1607">
        <v>6</v>
      </c>
      <c r="N70" s="1607">
        <v>3</v>
      </c>
      <c r="O70" s="1607">
        <v>1</v>
      </c>
      <c r="P70" s="1607">
        <v>3</v>
      </c>
      <c r="Q70" s="1607">
        <v>97</v>
      </c>
    </row>
    <row r="71" spans="1:17" x14ac:dyDescent="0.2">
      <c r="A71" s="1607" t="s">
        <v>49</v>
      </c>
      <c r="B71" s="1607" t="s">
        <v>379</v>
      </c>
      <c r="C71" s="1607">
        <v>361</v>
      </c>
      <c r="D71" s="1607">
        <v>12</v>
      </c>
      <c r="E71" s="1607">
        <v>27</v>
      </c>
      <c r="F71" s="1607">
        <v>6</v>
      </c>
      <c r="G71" s="1607">
        <v>11</v>
      </c>
      <c r="H71" s="1607">
        <v>4</v>
      </c>
      <c r="I71" s="1607">
        <v>6</v>
      </c>
      <c r="J71" s="1607">
        <v>2</v>
      </c>
      <c r="K71" s="1607">
        <v>6</v>
      </c>
      <c r="L71" s="1607">
        <v>6</v>
      </c>
      <c r="M71" s="1607">
        <v>14</v>
      </c>
      <c r="N71" s="1607">
        <v>3</v>
      </c>
      <c r="O71" s="1607">
        <v>3</v>
      </c>
      <c r="P71" s="1607">
        <v>11</v>
      </c>
      <c r="Q71" s="1607">
        <v>250</v>
      </c>
    </row>
    <row r="72" spans="1:17" x14ac:dyDescent="0.2">
      <c r="A72" s="1607" t="s">
        <v>50</v>
      </c>
      <c r="B72" s="1607" t="s">
        <v>379</v>
      </c>
      <c r="C72" s="1607">
        <v>129</v>
      </c>
      <c r="D72" s="1607">
        <v>8</v>
      </c>
      <c r="E72" s="1607">
        <v>6</v>
      </c>
      <c r="F72" s="1607">
        <v>1</v>
      </c>
      <c r="G72" s="1607">
        <v>5</v>
      </c>
      <c r="H72" s="1607"/>
      <c r="I72" s="1607">
        <v>2</v>
      </c>
      <c r="J72" s="1607">
        <v>10</v>
      </c>
      <c r="K72" s="1607">
        <v>1</v>
      </c>
      <c r="L72" s="1607">
        <v>4</v>
      </c>
      <c r="M72" s="1607">
        <v>2</v>
      </c>
      <c r="N72" s="1607">
        <v>2</v>
      </c>
      <c r="O72" s="1607">
        <v>1</v>
      </c>
      <c r="P72" s="1607">
        <v>2</v>
      </c>
      <c r="Q72" s="1607">
        <v>85</v>
      </c>
    </row>
    <row r="73" spans="1:17" x14ac:dyDescent="0.2">
      <c r="A73" s="1607" t="s">
        <v>51</v>
      </c>
      <c r="B73" s="1607" t="s">
        <v>379</v>
      </c>
      <c r="C73" s="1607">
        <v>187</v>
      </c>
      <c r="D73" s="1607">
        <v>15</v>
      </c>
      <c r="E73" s="1607">
        <v>4</v>
      </c>
      <c r="F73" s="1607"/>
      <c r="G73" s="1607">
        <v>2</v>
      </c>
      <c r="H73" s="1607">
        <v>1</v>
      </c>
      <c r="I73" s="1607">
        <v>2</v>
      </c>
      <c r="J73" s="1607"/>
      <c r="K73" s="1607">
        <v>2</v>
      </c>
      <c r="L73" s="1607">
        <v>2</v>
      </c>
      <c r="M73" s="1607">
        <v>7</v>
      </c>
      <c r="N73" s="1607">
        <v>7</v>
      </c>
      <c r="O73" s="1607">
        <v>1</v>
      </c>
      <c r="P73" s="1607">
        <v>1</v>
      </c>
      <c r="Q73" s="1607">
        <v>143</v>
      </c>
    </row>
    <row r="74" spans="1:17" x14ac:dyDescent="0.2">
      <c r="A74" s="1607" t="s">
        <v>52</v>
      </c>
      <c r="B74" s="1607" t="s">
        <v>379</v>
      </c>
      <c r="C74" s="1607">
        <v>213</v>
      </c>
      <c r="D74" s="1607">
        <v>14</v>
      </c>
      <c r="E74" s="1607">
        <v>8</v>
      </c>
      <c r="F74" s="1607">
        <v>3</v>
      </c>
      <c r="G74" s="1607">
        <v>9</v>
      </c>
      <c r="H74" s="1607">
        <v>3</v>
      </c>
      <c r="I74" s="1607"/>
      <c r="J74" s="1607">
        <v>5</v>
      </c>
      <c r="K74" s="1607">
        <v>3</v>
      </c>
      <c r="L74" s="1607">
        <v>10</v>
      </c>
      <c r="M74" s="1607">
        <v>4</v>
      </c>
      <c r="N74" s="1607">
        <v>4</v>
      </c>
      <c r="O74" s="1607">
        <v>7</v>
      </c>
      <c r="P74" s="1607">
        <v>5</v>
      </c>
      <c r="Q74" s="1607">
        <v>138</v>
      </c>
    </row>
    <row r="75" spans="1:17" x14ac:dyDescent="0.2">
      <c r="A75" s="1607" t="s">
        <v>23</v>
      </c>
      <c r="B75" s="1607" t="s">
        <v>603</v>
      </c>
      <c r="C75" s="1607">
        <v>375</v>
      </c>
      <c r="D75" s="1607">
        <v>17</v>
      </c>
      <c r="E75" s="1607">
        <v>10</v>
      </c>
      <c r="F75" s="1607"/>
      <c r="G75" s="1607">
        <v>6</v>
      </c>
      <c r="H75" s="1607">
        <v>3</v>
      </c>
      <c r="I75" s="1607">
        <v>9</v>
      </c>
      <c r="J75" s="1607">
        <v>2</v>
      </c>
      <c r="K75" s="1607">
        <v>1</v>
      </c>
      <c r="L75" s="1607">
        <v>9</v>
      </c>
      <c r="M75" s="1607">
        <v>10</v>
      </c>
      <c r="N75" s="1607">
        <v>12</v>
      </c>
      <c r="O75" s="1607">
        <v>14</v>
      </c>
      <c r="P75" s="1607">
        <v>5</v>
      </c>
      <c r="Q75" s="1607">
        <v>277</v>
      </c>
    </row>
    <row r="76" spans="1:17" x14ac:dyDescent="0.2">
      <c r="A76" s="1607" t="s">
        <v>24</v>
      </c>
      <c r="B76" s="1607" t="s">
        <v>603</v>
      </c>
      <c r="C76" s="1607">
        <v>275</v>
      </c>
      <c r="D76" s="1607">
        <v>11</v>
      </c>
      <c r="E76" s="1607">
        <v>11</v>
      </c>
      <c r="F76" s="1607">
        <v>12</v>
      </c>
      <c r="G76" s="1607">
        <v>16</v>
      </c>
      <c r="H76" s="1607"/>
      <c r="I76" s="1607">
        <v>5</v>
      </c>
      <c r="J76" s="1607">
        <v>18</v>
      </c>
      <c r="K76" s="1607">
        <v>4</v>
      </c>
      <c r="L76" s="1607">
        <v>4</v>
      </c>
      <c r="M76" s="1607">
        <v>6</v>
      </c>
      <c r="N76" s="1607">
        <v>9</v>
      </c>
      <c r="O76" s="1607">
        <v>3</v>
      </c>
      <c r="P76" s="1607">
        <v>8</v>
      </c>
      <c r="Q76" s="1607">
        <v>168</v>
      </c>
    </row>
    <row r="77" spans="1:17" x14ac:dyDescent="0.2">
      <c r="A77" s="1607" t="s">
        <v>25</v>
      </c>
      <c r="B77" s="1607" t="s">
        <v>603</v>
      </c>
      <c r="C77" s="1607">
        <v>115</v>
      </c>
      <c r="D77" s="1607">
        <v>3</v>
      </c>
      <c r="E77" s="1607">
        <v>8</v>
      </c>
      <c r="F77" s="1607">
        <v>4</v>
      </c>
      <c r="G77" s="1607">
        <v>4</v>
      </c>
      <c r="H77" s="1607"/>
      <c r="I77" s="1607"/>
      <c r="J77" s="1607">
        <v>4</v>
      </c>
      <c r="K77" s="1607"/>
      <c r="L77" s="1607">
        <v>5</v>
      </c>
      <c r="M77" s="1607">
        <v>2</v>
      </c>
      <c r="N77" s="1607">
        <v>1</v>
      </c>
      <c r="O77" s="1607"/>
      <c r="P77" s="1607">
        <v>3</v>
      </c>
      <c r="Q77" s="1607">
        <v>81</v>
      </c>
    </row>
    <row r="78" spans="1:17" x14ac:dyDescent="0.2">
      <c r="A78" s="1607" t="s">
        <v>26</v>
      </c>
      <c r="B78" s="1607" t="s">
        <v>603</v>
      </c>
      <c r="C78" s="1607">
        <v>136</v>
      </c>
      <c r="D78" s="1607">
        <v>15</v>
      </c>
      <c r="E78" s="1607">
        <v>3</v>
      </c>
      <c r="F78" s="1607">
        <v>6</v>
      </c>
      <c r="G78" s="1607">
        <v>5</v>
      </c>
      <c r="H78" s="1607">
        <v>2</v>
      </c>
      <c r="I78" s="1607">
        <v>2</v>
      </c>
      <c r="J78" s="1607"/>
      <c r="K78" s="1607">
        <v>1</v>
      </c>
      <c r="L78" s="1607">
        <v>2</v>
      </c>
      <c r="M78" s="1607">
        <v>3</v>
      </c>
      <c r="N78" s="1607">
        <v>4</v>
      </c>
      <c r="O78" s="1607">
        <v>1</v>
      </c>
      <c r="P78" s="1607">
        <v>6</v>
      </c>
      <c r="Q78" s="1607">
        <v>86</v>
      </c>
    </row>
    <row r="79" spans="1:17" x14ac:dyDescent="0.2">
      <c r="A79" s="1607" t="s">
        <v>27</v>
      </c>
      <c r="B79" s="1607" t="s">
        <v>603</v>
      </c>
      <c r="C79" s="1607">
        <v>72</v>
      </c>
      <c r="D79" s="1607">
        <v>3</v>
      </c>
      <c r="E79" s="1607">
        <v>4</v>
      </c>
      <c r="F79" s="1607">
        <v>1</v>
      </c>
      <c r="G79" s="1607">
        <v>7</v>
      </c>
      <c r="H79" s="1607"/>
      <c r="I79" s="1607">
        <v>1</v>
      </c>
      <c r="J79" s="1607">
        <v>1</v>
      </c>
      <c r="K79" s="1607"/>
      <c r="L79" s="1607"/>
      <c r="M79" s="1607"/>
      <c r="N79" s="1607">
        <v>2</v>
      </c>
      <c r="O79" s="1607"/>
      <c r="P79" s="1607">
        <v>2</v>
      </c>
      <c r="Q79" s="1607">
        <v>51</v>
      </c>
    </row>
    <row r="80" spans="1:17" x14ac:dyDescent="0.2">
      <c r="A80" s="1607" t="s">
        <v>28</v>
      </c>
      <c r="B80" s="1607" t="s">
        <v>603</v>
      </c>
      <c r="C80" s="1607">
        <v>153</v>
      </c>
      <c r="D80" s="1607">
        <v>6</v>
      </c>
      <c r="E80" s="1607">
        <v>9</v>
      </c>
      <c r="F80" s="1607">
        <v>5</v>
      </c>
      <c r="G80" s="1607">
        <v>6</v>
      </c>
      <c r="H80" s="1607">
        <v>1</v>
      </c>
      <c r="I80" s="1607"/>
      <c r="J80" s="1607">
        <v>1</v>
      </c>
      <c r="K80" s="1607">
        <v>3</v>
      </c>
      <c r="L80" s="1607">
        <v>8</v>
      </c>
      <c r="M80" s="1607">
        <v>1</v>
      </c>
      <c r="N80" s="1607">
        <v>4</v>
      </c>
      <c r="O80" s="1607">
        <v>2</v>
      </c>
      <c r="P80" s="1607">
        <v>3</v>
      </c>
      <c r="Q80" s="1607">
        <v>104</v>
      </c>
    </row>
    <row r="81" spans="1:17" x14ac:dyDescent="0.2">
      <c r="A81" s="1607" t="s">
        <v>29</v>
      </c>
      <c r="B81" s="1607" t="s">
        <v>603</v>
      </c>
      <c r="C81" s="1607">
        <v>274</v>
      </c>
      <c r="D81" s="1607">
        <v>17</v>
      </c>
      <c r="E81" s="1607">
        <v>10</v>
      </c>
      <c r="F81" s="1607"/>
      <c r="G81" s="1607">
        <v>6</v>
      </c>
      <c r="H81" s="1607">
        <v>2</v>
      </c>
      <c r="I81" s="1607">
        <v>1</v>
      </c>
      <c r="J81" s="1607">
        <v>4</v>
      </c>
      <c r="K81" s="1607">
        <v>3</v>
      </c>
      <c r="L81" s="1607">
        <v>3</v>
      </c>
      <c r="M81" s="1607">
        <v>5</v>
      </c>
      <c r="N81" s="1607">
        <v>6</v>
      </c>
      <c r="O81" s="1607"/>
      <c r="P81" s="1607">
        <v>3</v>
      </c>
      <c r="Q81" s="1607">
        <v>214</v>
      </c>
    </row>
    <row r="82" spans="1:17" x14ac:dyDescent="0.2">
      <c r="A82" s="1607" t="s">
        <v>30</v>
      </c>
      <c r="B82" s="1607" t="s">
        <v>603</v>
      </c>
      <c r="C82" s="1607">
        <v>120</v>
      </c>
      <c r="D82" s="1607">
        <v>1</v>
      </c>
      <c r="E82" s="1607">
        <v>9</v>
      </c>
      <c r="F82" s="1607">
        <v>1</v>
      </c>
      <c r="G82" s="1607">
        <v>3</v>
      </c>
      <c r="H82" s="1607">
        <v>1</v>
      </c>
      <c r="I82" s="1607"/>
      <c r="J82" s="1607">
        <v>10</v>
      </c>
      <c r="K82" s="1607">
        <v>4</v>
      </c>
      <c r="L82" s="1607">
        <v>1</v>
      </c>
      <c r="M82" s="1607">
        <v>1</v>
      </c>
      <c r="N82" s="1607">
        <v>1</v>
      </c>
      <c r="O82" s="1607"/>
      <c r="P82" s="1607">
        <v>1</v>
      </c>
      <c r="Q82" s="1607">
        <v>87</v>
      </c>
    </row>
    <row r="83" spans="1:17" x14ac:dyDescent="0.2">
      <c r="A83" s="1607" t="s">
        <v>31</v>
      </c>
      <c r="B83" s="1607" t="s">
        <v>603</v>
      </c>
      <c r="C83" s="1607">
        <v>101</v>
      </c>
      <c r="D83" s="1607">
        <v>6</v>
      </c>
      <c r="E83" s="1607">
        <v>6</v>
      </c>
      <c r="F83" s="1607"/>
      <c r="G83" s="1607">
        <v>1</v>
      </c>
      <c r="H83" s="1607"/>
      <c r="I83" s="1607"/>
      <c r="J83" s="1607">
        <v>5</v>
      </c>
      <c r="K83" s="1607">
        <v>3</v>
      </c>
      <c r="L83" s="1607">
        <v>1</v>
      </c>
      <c r="M83" s="1607">
        <v>5</v>
      </c>
      <c r="N83" s="1607">
        <v>3</v>
      </c>
      <c r="O83" s="1607">
        <v>1</v>
      </c>
      <c r="P83" s="1607">
        <v>3</v>
      </c>
      <c r="Q83" s="1607">
        <v>67</v>
      </c>
    </row>
    <row r="84" spans="1:17" x14ac:dyDescent="0.2">
      <c r="A84" s="1607" t="s">
        <v>32</v>
      </c>
      <c r="B84" s="1607" t="s">
        <v>603</v>
      </c>
      <c r="C84" s="1607">
        <v>114</v>
      </c>
      <c r="D84" s="1607">
        <v>5</v>
      </c>
      <c r="E84" s="1607">
        <v>7</v>
      </c>
      <c r="F84" s="1607">
        <v>3</v>
      </c>
      <c r="G84" s="1607">
        <v>5</v>
      </c>
      <c r="H84" s="1607"/>
      <c r="I84" s="1607">
        <v>2</v>
      </c>
      <c r="J84" s="1607"/>
      <c r="K84" s="1607">
        <v>1</v>
      </c>
      <c r="L84" s="1607">
        <v>2</v>
      </c>
      <c r="M84" s="1607">
        <v>3</v>
      </c>
      <c r="N84" s="1607">
        <v>8</v>
      </c>
      <c r="O84" s="1607">
        <v>2</v>
      </c>
      <c r="P84" s="1607"/>
      <c r="Q84" s="1607">
        <v>76</v>
      </c>
    </row>
    <row r="85" spans="1:17" x14ac:dyDescent="0.2">
      <c r="A85" s="1607" t="s">
        <v>33</v>
      </c>
      <c r="B85" s="1607" t="s">
        <v>603</v>
      </c>
      <c r="C85" s="1607">
        <v>107</v>
      </c>
      <c r="D85" s="1607">
        <v>2</v>
      </c>
      <c r="E85" s="1607">
        <v>5</v>
      </c>
      <c r="F85" s="1607"/>
      <c r="G85" s="1607">
        <v>3</v>
      </c>
      <c r="H85" s="1607">
        <v>2</v>
      </c>
      <c r="I85" s="1607"/>
      <c r="J85" s="1607"/>
      <c r="K85" s="1607">
        <v>2</v>
      </c>
      <c r="L85" s="1607">
        <v>2</v>
      </c>
      <c r="M85" s="1607">
        <v>3</v>
      </c>
      <c r="N85" s="1607">
        <v>3</v>
      </c>
      <c r="O85" s="1607">
        <v>1</v>
      </c>
      <c r="P85" s="1607"/>
      <c r="Q85" s="1607">
        <v>84</v>
      </c>
    </row>
    <row r="86" spans="1:17" x14ac:dyDescent="0.2">
      <c r="A86" s="1607" t="s">
        <v>665</v>
      </c>
      <c r="B86" s="1607" t="s">
        <v>603</v>
      </c>
      <c r="C86" s="1607">
        <v>762</v>
      </c>
      <c r="D86" s="1607">
        <v>56</v>
      </c>
      <c r="E86" s="1607">
        <v>18</v>
      </c>
      <c r="F86" s="1607"/>
      <c r="G86" s="1607">
        <v>6</v>
      </c>
      <c r="H86" s="1607"/>
      <c r="I86" s="1607">
        <v>17</v>
      </c>
      <c r="J86" s="1607">
        <v>17</v>
      </c>
      <c r="K86" s="1607">
        <v>11</v>
      </c>
      <c r="L86" s="1607">
        <v>30</v>
      </c>
      <c r="M86" s="1607">
        <v>23</v>
      </c>
      <c r="N86" s="1607">
        <v>23</v>
      </c>
      <c r="O86" s="1607">
        <v>24</v>
      </c>
      <c r="P86" s="1607">
        <v>14</v>
      </c>
      <c r="Q86" s="1607">
        <v>523</v>
      </c>
    </row>
    <row r="87" spans="1:17" x14ac:dyDescent="0.2">
      <c r="A87" s="1607" t="s">
        <v>34</v>
      </c>
      <c r="B87" s="1607" t="s">
        <v>603</v>
      </c>
      <c r="C87" s="1607">
        <v>218</v>
      </c>
      <c r="D87" s="1607">
        <v>6</v>
      </c>
      <c r="E87" s="1607">
        <v>15</v>
      </c>
      <c r="F87" s="1607">
        <v>3</v>
      </c>
      <c r="G87" s="1607">
        <v>13</v>
      </c>
      <c r="H87" s="1607"/>
      <c r="I87" s="1607">
        <v>1</v>
      </c>
      <c r="J87" s="1607">
        <v>33</v>
      </c>
      <c r="K87" s="1607">
        <v>4</v>
      </c>
      <c r="L87" s="1607">
        <v>3</v>
      </c>
      <c r="M87" s="1607">
        <v>7</v>
      </c>
      <c r="N87" s="1607">
        <v>2</v>
      </c>
      <c r="O87" s="1607">
        <v>6</v>
      </c>
      <c r="P87" s="1607">
        <v>3</v>
      </c>
      <c r="Q87" s="1607">
        <v>122</v>
      </c>
    </row>
    <row r="88" spans="1:17" x14ac:dyDescent="0.2">
      <c r="A88" s="1607" t="s">
        <v>35</v>
      </c>
      <c r="B88" s="1607" t="s">
        <v>603</v>
      </c>
      <c r="C88" s="1607">
        <v>458</v>
      </c>
      <c r="D88" s="1607">
        <v>22</v>
      </c>
      <c r="E88" s="1607">
        <v>35</v>
      </c>
      <c r="F88" s="1607">
        <v>5</v>
      </c>
      <c r="G88" s="1607">
        <v>14</v>
      </c>
      <c r="H88" s="1607">
        <v>3</v>
      </c>
      <c r="I88" s="1607">
        <v>8</v>
      </c>
      <c r="J88" s="1607">
        <v>1</v>
      </c>
      <c r="K88" s="1607">
        <v>8</v>
      </c>
      <c r="L88" s="1607">
        <v>8</v>
      </c>
      <c r="M88" s="1607">
        <v>8</v>
      </c>
      <c r="N88" s="1607">
        <v>17</v>
      </c>
      <c r="O88" s="1607">
        <v>8</v>
      </c>
      <c r="P88" s="1607">
        <v>19</v>
      </c>
      <c r="Q88" s="1607">
        <v>302</v>
      </c>
    </row>
    <row r="89" spans="1:17" x14ac:dyDescent="0.2">
      <c r="A89" s="1607" t="s">
        <v>36</v>
      </c>
      <c r="B89" s="1607" t="s">
        <v>603</v>
      </c>
      <c r="C89" s="1607">
        <v>1329</v>
      </c>
      <c r="D89" s="1607">
        <v>79</v>
      </c>
      <c r="E89" s="1607">
        <v>39</v>
      </c>
      <c r="F89" s="1607"/>
      <c r="G89" s="1607">
        <v>18</v>
      </c>
      <c r="H89" s="1607">
        <v>8</v>
      </c>
      <c r="I89" s="1607">
        <v>31</v>
      </c>
      <c r="J89" s="1607">
        <v>18</v>
      </c>
      <c r="K89" s="1607">
        <v>17</v>
      </c>
      <c r="L89" s="1607">
        <v>20</v>
      </c>
      <c r="M89" s="1607">
        <v>38</v>
      </c>
      <c r="N89" s="1607">
        <v>28</v>
      </c>
      <c r="O89" s="1607">
        <v>28</v>
      </c>
      <c r="P89" s="1607">
        <v>43</v>
      </c>
      <c r="Q89" s="1607">
        <v>962</v>
      </c>
    </row>
    <row r="90" spans="1:17" x14ac:dyDescent="0.2">
      <c r="A90" s="1607" t="s">
        <v>37</v>
      </c>
      <c r="B90" s="1607" t="s">
        <v>603</v>
      </c>
      <c r="C90" s="1607">
        <v>241</v>
      </c>
      <c r="D90" s="1607">
        <v>13</v>
      </c>
      <c r="E90" s="1607">
        <v>17</v>
      </c>
      <c r="F90" s="1607">
        <v>1</v>
      </c>
      <c r="G90" s="1607">
        <v>9</v>
      </c>
      <c r="H90" s="1607">
        <v>1</v>
      </c>
      <c r="I90" s="1607">
        <v>1</v>
      </c>
      <c r="J90" s="1607">
        <v>1</v>
      </c>
      <c r="K90" s="1607">
        <v>5</v>
      </c>
      <c r="L90" s="1607">
        <v>11</v>
      </c>
      <c r="M90" s="1607">
        <v>5</v>
      </c>
      <c r="N90" s="1607">
        <v>3</v>
      </c>
      <c r="O90" s="1607">
        <v>8</v>
      </c>
      <c r="P90" s="1607">
        <v>13</v>
      </c>
      <c r="Q90" s="1607">
        <v>153</v>
      </c>
    </row>
    <row r="91" spans="1:17" x14ac:dyDescent="0.2">
      <c r="A91" s="1607" t="s">
        <v>38</v>
      </c>
      <c r="B91" s="1607" t="s">
        <v>603</v>
      </c>
      <c r="C91" s="1607">
        <v>136</v>
      </c>
      <c r="D91" s="1607">
        <v>3</v>
      </c>
      <c r="E91" s="1607">
        <v>5</v>
      </c>
      <c r="F91" s="1607">
        <v>2</v>
      </c>
      <c r="G91" s="1607">
        <v>3</v>
      </c>
      <c r="H91" s="1607"/>
      <c r="I91" s="1607"/>
      <c r="J91" s="1607">
        <v>1</v>
      </c>
      <c r="K91" s="1607">
        <v>4</v>
      </c>
      <c r="L91" s="1607">
        <v>3</v>
      </c>
      <c r="M91" s="1607">
        <v>6</v>
      </c>
      <c r="N91" s="1607">
        <v>1</v>
      </c>
      <c r="O91" s="1607">
        <v>1</v>
      </c>
      <c r="P91" s="1607">
        <v>4</v>
      </c>
      <c r="Q91" s="1607">
        <v>103</v>
      </c>
    </row>
    <row r="92" spans="1:17" x14ac:dyDescent="0.2">
      <c r="A92" s="1607" t="s">
        <v>39</v>
      </c>
      <c r="B92" s="1607" t="s">
        <v>603</v>
      </c>
      <c r="C92" s="1607">
        <v>107</v>
      </c>
      <c r="D92" s="1607">
        <v>12</v>
      </c>
      <c r="E92" s="1607">
        <v>6</v>
      </c>
      <c r="F92" s="1607">
        <v>2</v>
      </c>
      <c r="G92" s="1607">
        <v>1</v>
      </c>
      <c r="H92" s="1607"/>
      <c r="I92" s="1607">
        <v>1</v>
      </c>
      <c r="J92" s="1607"/>
      <c r="K92" s="1607">
        <v>1</v>
      </c>
      <c r="L92" s="1607">
        <v>3</v>
      </c>
      <c r="M92" s="1607">
        <v>2</v>
      </c>
      <c r="N92" s="1607">
        <v>3</v>
      </c>
      <c r="O92" s="1607">
        <v>1</v>
      </c>
      <c r="P92" s="1607">
        <v>5</v>
      </c>
      <c r="Q92" s="1607">
        <v>70</v>
      </c>
    </row>
    <row r="93" spans="1:17" x14ac:dyDescent="0.2">
      <c r="A93" s="1607" t="s">
        <v>40</v>
      </c>
      <c r="B93" s="1607" t="s">
        <v>603</v>
      </c>
      <c r="C93" s="1607">
        <v>75</v>
      </c>
      <c r="D93" s="1607">
        <v>1</v>
      </c>
      <c r="E93" s="1607">
        <v>10</v>
      </c>
      <c r="F93" s="1607">
        <v>4</v>
      </c>
      <c r="G93" s="1607">
        <v>4</v>
      </c>
      <c r="H93" s="1607"/>
      <c r="I93" s="1607">
        <v>1</v>
      </c>
      <c r="J93" s="1607"/>
      <c r="K93" s="1607">
        <v>1</v>
      </c>
      <c r="L93" s="1607">
        <v>6</v>
      </c>
      <c r="M93" s="1607">
        <v>3</v>
      </c>
      <c r="N93" s="1607">
        <v>1</v>
      </c>
      <c r="O93" s="1607">
        <v>1</v>
      </c>
      <c r="P93" s="1607">
        <v>4</v>
      </c>
      <c r="Q93" s="1607">
        <v>39</v>
      </c>
    </row>
    <row r="94" spans="1:17" x14ac:dyDescent="0.2">
      <c r="A94" s="1607" t="s">
        <v>393</v>
      </c>
      <c r="B94" s="1607" t="s">
        <v>603</v>
      </c>
      <c r="C94" s="1607">
        <v>25</v>
      </c>
      <c r="D94" s="1607"/>
      <c r="E94" s="1607"/>
      <c r="F94" s="1607"/>
      <c r="G94" s="1607">
        <v>3</v>
      </c>
      <c r="H94" s="1607"/>
      <c r="I94" s="1607"/>
      <c r="J94" s="1607"/>
      <c r="K94" s="1607"/>
      <c r="L94" s="1607">
        <v>3</v>
      </c>
      <c r="M94" s="1607"/>
      <c r="N94" s="1607">
        <v>1</v>
      </c>
      <c r="O94" s="1607"/>
      <c r="P94" s="1607">
        <v>1</v>
      </c>
      <c r="Q94" s="1607">
        <v>17</v>
      </c>
    </row>
    <row r="95" spans="1:17" x14ac:dyDescent="0.2">
      <c r="A95" s="1607" t="s">
        <v>41</v>
      </c>
      <c r="B95" s="1607" t="s">
        <v>603</v>
      </c>
      <c r="C95" s="1607">
        <v>214</v>
      </c>
      <c r="D95" s="1607">
        <v>19</v>
      </c>
      <c r="E95" s="1607">
        <v>10</v>
      </c>
      <c r="F95" s="1607"/>
      <c r="G95" s="1607">
        <v>6</v>
      </c>
      <c r="H95" s="1607"/>
      <c r="I95" s="1607">
        <v>1</v>
      </c>
      <c r="J95" s="1607"/>
      <c r="K95" s="1607">
        <v>2</v>
      </c>
      <c r="L95" s="1607">
        <v>1</v>
      </c>
      <c r="M95" s="1607">
        <v>5</v>
      </c>
      <c r="N95" s="1607">
        <v>4</v>
      </c>
      <c r="O95" s="1607">
        <v>2</v>
      </c>
      <c r="P95" s="1607">
        <v>2</v>
      </c>
      <c r="Q95" s="1607">
        <v>162</v>
      </c>
    </row>
    <row r="96" spans="1:17" x14ac:dyDescent="0.2">
      <c r="A96" s="1607" t="s">
        <v>42</v>
      </c>
      <c r="B96" s="1607" t="s">
        <v>603</v>
      </c>
      <c r="C96" s="1607">
        <v>434</v>
      </c>
      <c r="D96" s="1607">
        <v>13</v>
      </c>
      <c r="E96" s="1607">
        <v>33</v>
      </c>
      <c r="F96" s="1607">
        <v>2</v>
      </c>
      <c r="G96" s="1607">
        <v>20</v>
      </c>
      <c r="H96" s="1607">
        <v>4</v>
      </c>
      <c r="I96" s="1607">
        <v>10</v>
      </c>
      <c r="J96" s="1607">
        <v>7</v>
      </c>
      <c r="K96" s="1607">
        <v>9</v>
      </c>
      <c r="L96" s="1607">
        <v>7</v>
      </c>
      <c r="M96" s="1607">
        <v>10</v>
      </c>
      <c r="N96" s="1607">
        <v>3</v>
      </c>
      <c r="O96" s="1607">
        <v>5</v>
      </c>
      <c r="P96" s="1607">
        <v>4</v>
      </c>
      <c r="Q96" s="1607">
        <v>307</v>
      </c>
    </row>
    <row r="97" spans="1:17" x14ac:dyDescent="0.2">
      <c r="A97" s="1607" t="s">
        <v>43</v>
      </c>
      <c r="B97" s="1607" t="s">
        <v>603</v>
      </c>
      <c r="C97" s="1607">
        <v>9</v>
      </c>
      <c r="D97" s="1607"/>
      <c r="E97" s="1607"/>
      <c r="F97" s="1607"/>
      <c r="G97" s="1607">
        <v>2</v>
      </c>
      <c r="H97" s="1607"/>
      <c r="I97" s="1607"/>
      <c r="J97" s="1607"/>
      <c r="K97" s="1607"/>
      <c r="L97" s="1607"/>
      <c r="M97" s="1607"/>
      <c r="N97" s="1607"/>
      <c r="O97" s="1607"/>
      <c r="P97" s="1607"/>
      <c r="Q97" s="1607">
        <v>7</v>
      </c>
    </row>
    <row r="98" spans="1:17" x14ac:dyDescent="0.2">
      <c r="A98" s="1607" t="s">
        <v>44</v>
      </c>
      <c r="B98" s="1607" t="s">
        <v>603</v>
      </c>
      <c r="C98" s="1607">
        <v>173</v>
      </c>
      <c r="D98" s="1607">
        <v>7</v>
      </c>
      <c r="E98" s="1607">
        <v>5</v>
      </c>
      <c r="F98" s="1607">
        <v>7</v>
      </c>
      <c r="G98" s="1607">
        <v>5</v>
      </c>
      <c r="H98" s="1607">
        <v>2</v>
      </c>
      <c r="I98" s="1607">
        <v>1</v>
      </c>
      <c r="J98" s="1607">
        <v>9</v>
      </c>
      <c r="K98" s="1607">
        <v>3</v>
      </c>
      <c r="L98" s="1607">
        <v>3</v>
      </c>
      <c r="M98" s="1607">
        <v>8</v>
      </c>
      <c r="N98" s="1607">
        <v>2</v>
      </c>
      <c r="O98" s="1607">
        <v>1</v>
      </c>
      <c r="P98" s="1607">
        <v>4</v>
      </c>
      <c r="Q98" s="1607">
        <v>116</v>
      </c>
    </row>
    <row r="99" spans="1:17" x14ac:dyDescent="0.2">
      <c r="A99" s="1607" t="s">
        <v>45</v>
      </c>
      <c r="B99" s="1607" t="s">
        <v>603</v>
      </c>
      <c r="C99" s="1607">
        <v>293</v>
      </c>
      <c r="D99" s="1607">
        <v>11</v>
      </c>
      <c r="E99" s="1607">
        <v>12</v>
      </c>
      <c r="F99" s="1607"/>
      <c r="G99" s="1607">
        <v>6</v>
      </c>
      <c r="H99" s="1607">
        <v>1</v>
      </c>
      <c r="I99" s="1607">
        <v>2</v>
      </c>
      <c r="J99" s="1607">
        <v>1</v>
      </c>
      <c r="K99" s="1607">
        <v>7</v>
      </c>
      <c r="L99" s="1607">
        <v>3</v>
      </c>
      <c r="M99" s="1607">
        <v>6</v>
      </c>
      <c r="N99" s="1607">
        <v>9</v>
      </c>
      <c r="O99" s="1607">
        <v>9</v>
      </c>
      <c r="P99" s="1607">
        <v>3</v>
      </c>
      <c r="Q99" s="1607">
        <v>223</v>
      </c>
    </row>
    <row r="100" spans="1:17" x14ac:dyDescent="0.2">
      <c r="A100" s="1607" t="s">
        <v>46</v>
      </c>
      <c r="B100" s="1607" t="s">
        <v>603</v>
      </c>
      <c r="C100" s="1607">
        <v>135</v>
      </c>
      <c r="D100" s="1607">
        <v>8</v>
      </c>
      <c r="E100" s="1607">
        <v>4</v>
      </c>
      <c r="F100" s="1607">
        <v>4</v>
      </c>
      <c r="G100" s="1607">
        <v>6</v>
      </c>
      <c r="H100" s="1607"/>
      <c r="I100" s="1607">
        <v>1</v>
      </c>
      <c r="J100" s="1607"/>
      <c r="K100" s="1607">
        <v>3</v>
      </c>
      <c r="L100" s="1607"/>
      <c r="M100" s="1607">
        <v>3</v>
      </c>
      <c r="N100" s="1607">
        <v>5</v>
      </c>
      <c r="O100" s="1607"/>
      <c r="P100" s="1607">
        <v>1</v>
      </c>
      <c r="Q100" s="1607">
        <v>100</v>
      </c>
    </row>
    <row r="101" spans="1:17" x14ac:dyDescent="0.2">
      <c r="A101" s="1607" t="s">
        <v>47</v>
      </c>
      <c r="B101" s="1607" t="s">
        <v>603</v>
      </c>
      <c r="C101" s="1607">
        <v>20</v>
      </c>
      <c r="D101" s="1607">
        <v>1</v>
      </c>
      <c r="E101" s="1607">
        <v>1</v>
      </c>
      <c r="F101" s="1607"/>
      <c r="G101" s="1607"/>
      <c r="H101" s="1607"/>
      <c r="I101" s="1607"/>
      <c r="J101" s="1607">
        <v>1</v>
      </c>
      <c r="K101" s="1607">
        <v>1</v>
      </c>
      <c r="L101" s="1607">
        <v>1</v>
      </c>
      <c r="M101" s="1607"/>
      <c r="N101" s="1607">
        <v>2</v>
      </c>
      <c r="O101" s="1607"/>
      <c r="P101" s="1607"/>
      <c r="Q101" s="1607">
        <v>13</v>
      </c>
    </row>
    <row r="102" spans="1:17" x14ac:dyDescent="0.2">
      <c r="A102" s="1607" t="s">
        <v>48</v>
      </c>
      <c r="B102" s="1607" t="s">
        <v>603</v>
      </c>
      <c r="C102" s="1607">
        <v>149</v>
      </c>
      <c r="D102" s="1607">
        <v>3</v>
      </c>
      <c r="E102" s="1607">
        <v>11</v>
      </c>
      <c r="F102" s="1607"/>
      <c r="G102" s="1607">
        <v>7</v>
      </c>
      <c r="H102" s="1607">
        <v>2</v>
      </c>
      <c r="I102" s="1607">
        <v>2</v>
      </c>
      <c r="J102" s="1607"/>
      <c r="K102" s="1607">
        <v>3</v>
      </c>
      <c r="L102" s="1607">
        <v>2</v>
      </c>
      <c r="M102" s="1607">
        <v>8</v>
      </c>
      <c r="N102" s="1607">
        <v>3</v>
      </c>
      <c r="O102" s="1607">
        <v>1</v>
      </c>
      <c r="P102" s="1607">
        <v>2</v>
      </c>
      <c r="Q102" s="1607">
        <v>105</v>
      </c>
    </row>
    <row r="103" spans="1:17" x14ac:dyDescent="0.2">
      <c r="A103" s="1607" t="s">
        <v>49</v>
      </c>
      <c r="B103" s="1607" t="s">
        <v>603</v>
      </c>
      <c r="C103" s="1607">
        <v>392</v>
      </c>
      <c r="D103" s="1607">
        <v>12</v>
      </c>
      <c r="E103" s="1607">
        <v>32</v>
      </c>
      <c r="F103" s="1607">
        <v>2</v>
      </c>
      <c r="G103" s="1607">
        <v>17</v>
      </c>
      <c r="H103" s="1607">
        <v>2</v>
      </c>
      <c r="I103" s="1607">
        <v>6</v>
      </c>
      <c r="J103" s="1607"/>
      <c r="K103" s="1607">
        <v>2</v>
      </c>
      <c r="L103" s="1607">
        <v>1</v>
      </c>
      <c r="M103" s="1607">
        <v>18</v>
      </c>
      <c r="N103" s="1607">
        <v>6</v>
      </c>
      <c r="O103" s="1607">
        <v>2</v>
      </c>
      <c r="P103" s="1607">
        <v>14</v>
      </c>
      <c r="Q103" s="1607">
        <v>278</v>
      </c>
    </row>
    <row r="104" spans="1:17" x14ac:dyDescent="0.2">
      <c r="A104" s="1607" t="s">
        <v>50</v>
      </c>
      <c r="B104" s="1607" t="s">
        <v>603</v>
      </c>
      <c r="C104" s="1607">
        <v>131</v>
      </c>
      <c r="D104" s="1607">
        <v>9</v>
      </c>
      <c r="E104" s="1607">
        <v>7</v>
      </c>
      <c r="F104" s="1607">
        <v>2</v>
      </c>
      <c r="G104" s="1607">
        <v>2</v>
      </c>
      <c r="H104" s="1607"/>
      <c r="I104" s="1607"/>
      <c r="J104" s="1607">
        <v>9</v>
      </c>
      <c r="K104" s="1607">
        <v>4</v>
      </c>
      <c r="L104" s="1607">
        <v>5</v>
      </c>
      <c r="M104" s="1607">
        <v>1</v>
      </c>
      <c r="N104" s="1607">
        <v>2</v>
      </c>
      <c r="O104" s="1607"/>
      <c r="P104" s="1607">
        <v>4</v>
      </c>
      <c r="Q104" s="1607">
        <v>86</v>
      </c>
    </row>
    <row r="105" spans="1:17" x14ac:dyDescent="0.2">
      <c r="A105" s="1607" t="s">
        <v>51</v>
      </c>
      <c r="B105" s="1607" t="s">
        <v>603</v>
      </c>
      <c r="C105" s="1607">
        <v>205</v>
      </c>
      <c r="D105" s="1607">
        <v>16</v>
      </c>
      <c r="E105" s="1607">
        <v>4</v>
      </c>
      <c r="F105" s="1607"/>
      <c r="G105" s="1607">
        <v>6</v>
      </c>
      <c r="H105" s="1607"/>
      <c r="I105" s="1607">
        <v>2</v>
      </c>
      <c r="J105" s="1607">
        <v>1</v>
      </c>
      <c r="K105" s="1607">
        <v>3</v>
      </c>
      <c r="L105" s="1607">
        <v>6</v>
      </c>
      <c r="M105" s="1607">
        <v>5</v>
      </c>
      <c r="N105" s="1607">
        <v>2</v>
      </c>
      <c r="O105" s="1607"/>
      <c r="P105" s="1607">
        <v>2</v>
      </c>
      <c r="Q105" s="1607">
        <v>158</v>
      </c>
    </row>
    <row r="106" spans="1:17" x14ac:dyDescent="0.2">
      <c r="A106" s="1607" t="s">
        <v>52</v>
      </c>
      <c r="B106" s="1607" t="s">
        <v>603</v>
      </c>
      <c r="C106" s="1607">
        <v>243</v>
      </c>
      <c r="D106" s="1607">
        <v>6</v>
      </c>
      <c r="E106" s="1607">
        <v>10</v>
      </c>
      <c r="F106" s="1607">
        <v>2</v>
      </c>
      <c r="G106" s="1607">
        <v>15</v>
      </c>
      <c r="H106" s="1607">
        <v>1</v>
      </c>
      <c r="I106" s="1607">
        <v>1</v>
      </c>
      <c r="J106" s="1607">
        <v>9</v>
      </c>
      <c r="K106" s="1607">
        <v>5</v>
      </c>
      <c r="L106" s="1607">
        <v>3</v>
      </c>
      <c r="M106" s="1607">
        <v>6</v>
      </c>
      <c r="N106" s="1607">
        <v>7</v>
      </c>
      <c r="O106" s="1607">
        <v>6</v>
      </c>
      <c r="P106" s="1607">
        <v>3</v>
      </c>
      <c r="Q106" s="1607">
        <v>169</v>
      </c>
    </row>
  </sheetData>
  <pageMargins left="0.7" right="0.7" top="0.75" bottom="0.75" header="0.3" footer="0.3"/>
  <pageSetup paperSize="9" scale="42" fitToHeight="50" orientation="landscape"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fitToPage="1"/>
  </sheetPr>
  <dimension ref="A1:M13"/>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8.140625" bestFit="1" customWidth="1"/>
    <col min="3" max="3" width="17.28515625" customWidth="1"/>
    <col min="4" max="4" width="12.140625" customWidth="1"/>
    <col min="5" max="5" width="26.42578125" customWidth="1"/>
    <col min="6" max="6" width="19.42578125" customWidth="1"/>
    <col min="7" max="7" width="16.7109375" bestFit="1" customWidth="1"/>
    <col min="8" max="8" width="29.42578125" bestFit="1" customWidth="1"/>
    <col min="9" max="9" width="30.85546875" bestFit="1" customWidth="1"/>
    <col min="10" max="10" width="30.7109375" bestFit="1" customWidth="1"/>
    <col min="11" max="11" width="25" bestFit="1" customWidth="1"/>
    <col min="12" max="12" width="20" bestFit="1" customWidth="1"/>
    <col min="13" max="13" width="30.28515625" bestFit="1" customWidth="1"/>
  </cols>
  <sheetData>
    <row r="1" spans="1:13" x14ac:dyDescent="0.2"/>
    <row r="4" spans="1:13" x14ac:dyDescent="0.2">
      <c r="A4" s="1606" t="s">
        <v>4</v>
      </c>
      <c r="B4" s="1606" t="s">
        <v>1190</v>
      </c>
      <c r="C4" s="1606" t="s">
        <v>1191</v>
      </c>
      <c r="D4" s="1606" t="s">
        <v>1192</v>
      </c>
      <c r="E4" s="1606" t="s">
        <v>1193</v>
      </c>
      <c r="F4" s="1606" t="s">
        <v>1194</v>
      </c>
      <c r="G4" s="1606" t="s">
        <v>1195</v>
      </c>
      <c r="H4" s="1606" t="s">
        <v>1196</v>
      </c>
      <c r="I4" s="1606" t="s">
        <v>1197</v>
      </c>
      <c r="J4" s="1606" t="s">
        <v>1198</v>
      </c>
      <c r="K4" s="1606" t="s">
        <v>1199</v>
      </c>
      <c r="L4" s="1606" t="s">
        <v>1200</v>
      </c>
      <c r="M4" s="1606" t="s">
        <v>1201</v>
      </c>
    </row>
    <row r="5" spans="1:13" x14ac:dyDescent="0.2">
      <c r="A5" s="1607" t="s">
        <v>160</v>
      </c>
      <c r="B5" s="1607" t="s">
        <v>873</v>
      </c>
      <c r="C5" s="1607">
        <v>2839</v>
      </c>
      <c r="D5" s="1607">
        <v>329</v>
      </c>
      <c r="E5" s="1607">
        <v>155</v>
      </c>
      <c r="F5" s="1607">
        <v>118</v>
      </c>
      <c r="G5" s="1607">
        <v>227</v>
      </c>
      <c r="H5" s="1607">
        <v>31</v>
      </c>
      <c r="I5" s="1607">
        <v>14</v>
      </c>
      <c r="J5" s="1607">
        <v>1009</v>
      </c>
      <c r="K5" s="1607">
        <v>217</v>
      </c>
      <c r="L5" s="1607">
        <v>619</v>
      </c>
      <c r="M5" s="1607">
        <v>120</v>
      </c>
    </row>
    <row r="6" spans="1:13" x14ac:dyDescent="0.2">
      <c r="A6" s="1607" t="s">
        <v>379</v>
      </c>
      <c r="B6" s="1607" t="s">
        <v>873</v>
      </c>
      <c r="C6" s="1607">
        <v>3077</v>
      </c>
      <c r="D6" s="1607">
        <v>365</v>
      </c>
      <c r="E6" s="1607">
        <v>159</v>
      </c>
      <c r="F6" s="1607">
        <v>115</v>
      </c>
      <c r="G6" s="1607">
        <v>279</v>
      </c>
      <c r="H6" s="1607">
        <v>28</v>
      </c>
      <c r="I6" s="1607">
        <v>12</v>
      </c>
      <c r="J6" s="1607">
        <v>1064</v>
      </c>
      <c r="K6" s="1607">
        <v>318</v>
      </c>
      <c r="L6" s="1607">
        <v>600</v>
      </c>
      <c r="M6" s="1607">
        <v>137</v>
      </c>
    </row>
    <row r="7" spans="1:13" x14ac:dyDescent="0.2">
      <c r="A7" s="1607" t="s">
        <v>603</v>
      </c>
      <c r="B7" s="1607" t="s">
        <v>873</v>
      </c>
      <c r="C7" s="1607">
        <v>3063</v>
      </c>
      <c r="D7" s="1607">
        <v>333</v>
      </c>
      <c r="E7" s="1607">
        <v>165</v>
      </c>
      <c r="F7" s="1607">
        <v>100</v>
      </c>
      <c r="G7" s="1607">
        <v>421</v>
      </c>
      <c r="H7" s="1607">
        <v>28</v>
      </c>
      <c r="I7" s="1607">
        <v>8</v>
      </c>
      <c r="J7" s="1607">
        <v>1067</v>
      </c>
      <c r="K7" s="1607">
        <v>252</v>
      </c>
      <c r="L7" s="1607">
        <v>571</v>
      </c>
      <c r="M7" s="1607">
        <v>118</v>
      </c>
    </row>
    <row r="10" spans="1:13" x14ac:dyDescent="0.2">
      <c r="A10" s="1608" t="s">
        <v>4</v>
      </c>
      <c r="B10" s="1608" t="s">
        <v>1202</v>
      </c>
      <c r="C10" s="1608" t="s">
        <v>1203</v>
      </c>
      <c r="D10" s="1608" t="s">
        <v>1204</v>
      </c>
      <c r="E10" s="1608" t="s">
        <v>1205</v>
      </c>
      <c r="F10" s="1608" t="s">
        <v>1206</v>
      </c>
      <c r="G10" s="1608" t="s">
        <v>1207</v>
      </c>
      <c r="H10" s="1608" t="s">
        <v>1197</v>
      </c>
      <c r="I10" s="1608" t="s">
        <v>1208</v>
      </c>
      <c r="J10" s="1608" t="s">
        <v>1209</v>
      </c>
      <c r="K10" s="1608" t="s">
        <v>1210</v>
      </c>
    </row>
    <row r="11" spans="1:13" x14ac:dyDescent="0.2">
      <c r="A11" s="1607" t="s">
        <v>160</v>
      </c>
      <c r="B11" s="1607">
        <v>14732</v>
      </c>
      <c r="C11" s="1607">
        <v>368</v>
      </c>
      <c r="D11" s="1607">
        <v>4566</v>
      </c>
      <c r="E11" s="1607">
        <v>71</v>
      </c>
      <c r="F11" s="1607">
        <v>334</v>
      </c>
      <c r="G11" s="1607">
        <v>65</v>
      </c>
      <c r="H11" s="1607">
        <v>1894</v>
      </c>
      <c r="I11" s="1607">
        <v>3671</v>
      </c>
      <c r="J11" s="1607">
        <v>588</v>
      </c>
      <c r="K11" s="1607">
        <v>3175</v>
      </c>
    </row>
    <row r="12" spans="1:13" x14ac:dyDescent="0.2">
      <c r="A12" s="1607" t="s">
        <v>379</v>
      </c>
      <c r="B12" s="1607">
        <v>15657</v>
      </c>
      <c r="C12" s="1607">
        <v>304</v>
      </c>
      <c r="D12" s="1607">
        <v>4923</v>
      </c>
      <c r="E12" s="1607">
        <v>60</v>
      </c>
      <c r="F12" s="1607">
        <v>353</v>
      </c>
      <c r="G12" s="1607">
        <v>62</v>
      </c>
      <c r="H12" s="1607">
        <v>2021</v>
      </c>
      <c r="I12" s="1607">
        <v>3903</v>
      </c>
      <c r="J12" s="1607">
        <v>556</v>
      </c>
      <c r="K12" s="1607">
        <v>3475</v>
      </c>
    </row>
    <row r="13" spans="1:13" x14ac:dyDescent="0.2">
      <c r="A13" s="1607" t="s">
        <v>603</v>
      </c>
      <c r="B13" s="1607">
        <v>14698</v>
      </c>
      <c r="C13" s="1607">
        <v>304</v>
      </c>
      <c r="D13" s="1607">
        <v>5063</v>
      </c>
      <c r="E13" s="1607">
        <v>69</v>
      </c>
      <c r="F13" s="1607">
        <v>393</v>
      </c>
      <c r="G13" s="1607">
        <v>60</v>
      </c>
      <c r="H13" s="1607">
        <v>1921</v>
      </c>
      <c r="I13" s="1607">
        <v>3440</v>
      </c>
      <c r="J13" s="1607">
        <v>504</v>
      </c>
      <c r="K13" s="1607">
        <v>2944</v>
      </c>
    </row>
  </sheetData>
  <pageMargins left="0.7" right="0.7" top="0.75" bottom="0.75" header="0.3" footer="0.3"/>
  <pageSetup paperSize="9" scale="45" fitToHeight="50" orientation="landscape"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fitToPage="1"/>
  </sheetPr>
  <dimension ref="A1:O10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7.5703125" bestFit="1" customWidth="1"/>
    <col min="3" max="3" width="20.42578125" bestFit="1" customWidth="1"/>
    <col min="4" max="4" width="25.7109375" bestFit="1" customWidth="1"/>
    <col min="5" max="5" width="7.140625" bestFit="1" customWidth="1"/>
    <col min="6" max="6" width="19.42578125" bestFit="1" customWidth="1"/>
    <col min="7" max="7" width="32.7109375" bestFit="1" customWidth="1"/>
    <col min="8" max="8" width="21.140625" bestFit="1" customWidth="1"/>
    <col min="9" max="9" width="11.85546875" bestFit="1" customWidth="1"/>
    <col min="10" max="10" width="23.7109375" bestFit="1" customWidth="1"/>
    <col min="11" max="11" width="29.42578125" bestFit="1" customWidth="1"/>
    <col min="12" max="12" width="6.5703125" bestFit="1" customWidth="1"/>
    <col min="13" max="13" width="16.5703125" bestFit="1" customWidth="1"/>
    <col min="14" max="14" width="20" bestFit="1" customWidth="1"/>
    <col min="15" max="15" width="30.28515625" bestFit="1" customWidth="1"/>
  </cols>
  <sheetData>
    <row r="1" spans="1:15" x14ac:dyDescent="0.2"/>
    <row r="4" spans="1:15" x14ac:dyDescent="0.2">
      <c r="A4" s="1606" t="s">
        <v>4</v>
      </c>
      <c r="B4" s="1606" t="s">
        <v>1190</v>
      </c>
      <c r="C4" s="1606" t="s">
        <v>1081</v>
      </c>
      <c r="D4" s="1606" t="s">
        <v>1191</v>
      </c>
      <c r="E4" s="1606" t="s">
        <v>1086</v>
      </c>
      <c r="F4" s="1606" t="s">
        <v>1192</v>
      </c>
      <c r="G4" s="1606" t="s">
        <v>1193</v>
      </c>
      <c r="H4" s="1606" t="s">
        <v>1194</v>
      </c>
      <c r="I4" s="1606" t="s">
        <v>1195</v>
      </c>
      <c r="J4" s="1606" t="s">
        <v>1196</v>
      </c>
      <c r="K4" s="1606" t="s">
        <v>1197</v>
      </c>
      <c r="L4" s="1606" t="s">
        <v>1198</v>
      </c>
      <c r="M4" s="1606" t="s">
        <v>1199</v>
      </c>
      <c r="N4" s="1606" t="s">
        <v>1200</v>
      </c>
      <c r="O4" s="1606" t="s">
        <v>1201</v>
      </c>
    </row>
    <row r="5" spans="1:15" x14ac:dyDescent="0.2">
      <c r="A5" s="1607" t="s">
        <v>160</v>
      </c>
      <c r="B5" s="1607" t="s">
        <v>873</v>
      </c>
      <c r="C5" s="1607" t="s">
        <v>23</v>
      </c>
      <c r="D5" s="1607">
        <v>98</v>
      </c>
      <c r="E5" s="1607">
        <v>230350</v>
      </c>
      <c r="F5" s="1607">
        <v>14</v>
      </c>
      <c r="G5" s="1607"/>
      <c r="H5" s="1607">
        <v>1</v>
      </c>
      <c r="I5" s="1607">
        <v>2</v>
      </c>
      <c r="J5" s="1607">
        <v>1</v>
      </c>
      <c r="K5" s="1607"/>
      <c r="L5" s="1607">
        <v>30</v>
      </c>
      <c r="M5" s="1607">
        <v>8</v>
      </c>
      <c r="N5" s="1607">
        <v>29</v>
      </c>
      <c r="O5" s="1607">
        <v>13</v>
      </c>
    </row>
    <row r="6" spans="1:15" x14ac:dyDescent="0.2">
      <c r="A6" s="1607" t="s">
        <v>160</v>
      </c>
      <c r="B6" s="1607" t="s">
        <v>873</v>
      </c>
      <c r="C6" s="1607" t="s">
        <v>24</v>
      </c>
      <c r="D6" s="1607">
        <v>129</v>
      </c>
      <c r="E6" s="1607">
        <v>261960</v>
      </c>
      <c r="F6" s="1607">
        <v>5</v>
      </c>
      <c r="G6" s="1607">
        <v>14</v>
      </c>
      <c r="H6" s="1607">
        <v>16</v>
      </c>
      <c r="I6" s="1607">
        <v>1</v>
      </c>
      <c r="J6" s="1607">
        <v>2</v>
      </c>
      <c r="K6" s="1607">
        <v>1</v>
      </c>
      <c r="L6" s="1607">
        <v>41</v>
      </c>
      <c r="M6" s="1607">
        <v>5</v>
      </c>
      <c r="N6" s="1607">
        <v>38</v>
      </c>
      <c r="O6" s="1607">
        <v>6</v>
      </c>
    </row>
    <row r="7" spans="1:15" x14ac:dyDescent="0.2">
      <c r="A7" s="1607" t="s">
        <v>160</v>
      </c>
      <c r="B7" s="1607" t="s">
        <v>873</v>
      </c>
      <c r="C7" s="1607" t="s">
        <v>25</v>
      </c>
      <c r="D7" s="1607">
        <v>44</v>
      </c>
      <c r="E7" s="1607">
        <v>116900</v>
      </c>
      <c r="F7" s="1607">
        <v>4</v>
      </c>
      <c r="G7" s="1607">
        <v>5</v>
      </c>
      <c r="H7" s="1607">
        <v>1</v>
      </c>
      <c r="I7" s="1607">
        <v>1</v>
      </c>
      <c r="J7" s="1607"/>
      <c r="K7" s="1607">
        <v>1</v>
      </c>
      <c r="L7" s="1607">
        <v>13</v>
      </c>
      <c r="M7" s="1607">
        <v>3</v>
      </c>
      <c r="N7" s="1607">
        <v>15</v>
      </c>
      <c r="O7" s="1607">
        <v>1</v>
      </c>
    </row>
    <row r="8" spans="1:15" x14ac:dyDescent="0.2">
      <c r="A8" s="1607" t="s">
        <v>160</v>
      </c>
      <c r="B8" s="1607" t="s">
        <v>873</v>
      </c>
      <c r="C8" s="1607" t="s">
        <v>26</v>
      </c>
      <c r="D8" s="1607">
        <v>35</v>
      </c>
      <c r="E8" s="1607">
        <v>86890</v>
      </c>
      <c r="F8" s="1607">
        <v>6</v>
      </c>
      <c r="G8" s="1607">
        <v>4</v>
      </c>
      <c r="H8" s="1607"/>
      <c r="I8" s="1607"/>
      <c r="J8" s="1607">
        <v>4</v>
      </c>
      <c r="K8" s="1607"/>
      <c r="L8" s="1607">
        <v>9</v>
      </c>
      <c r="M8" s="1607">
        <v>2</v>
      </c>
      <c r="N8" s="1607">
        <v>9</v>
      </c>
      <c r="O8" s="1607">
        <v>1</v>
      </c>
    </row>
    <row r="9" spans="1:15" x14ac:dyDescent="0.2">
      <c r="A9" s="1607" t="s">
        <v>160</v>
      </c>
      <c r="B9" s="1607" t="s">
        <v>873</v>
      </c>
      <c r="C9" s="1607" t="s">
        <v>27</v>
      </c>
      <c r="D9" s="1607">
        <v>14</v>
      </c>
      <c r="E9" s="1607">
        <v>51360</v>
      </c>
      <c r="F9" s="1607">
        <v>4</v>
      </c>
      <c r="G9" s="1607">
        <v>1</v>
      </c>
      <c r="H9" s="1607">
        <v>2</v>
      </c>
      <c r="I9" s="1607">
        <v>3</v>
      </c>
      <c r="J9" s="1607"/>
      <c r="K9" s="1607"/>
      <c r="L9" s="1607">
        <v>3</v>
      </c>
      <c r="M9" s="1607"/>
      <c r="N9" s="1607">
        <v>1</v>
      </c>
      <c r="O9" s="1607"/>
    </row>
    <row r="10" spans="1:15" x14ac:dyDescent="0.2">
      <c r="A10" s="1607" t="s">
        <v>160</v>
      </c>
      <c r="B10" s="1607" t="s">
        <v>873</v>
      </c>
      <c r="C10" s="1607" t="s">
        <v>28</v>
      </c>
      <c r="D10" s="1607">
        <v>90</v>
      </c>
      <c r="E10" s="1607">
        <v>149670</v>
      </c>
      <c r="F10" s="1607">
        <v>15</v>
      </c>
      <c r="G10" s="1607">
        <v>3</v>
      </c>
      <c r="H10" s="1607">
        <v>3</v>
      </c>
      <c r="I10" s="1607">
        <v>1</v>
      </c>
      <c r="J10" s="1607"/>
      <c r="K10" s="1607">
        <v>1</v>
      </c>
      <c r="L10" s="1607">
        <v>34</v>
      </c>
      <c r="M10" s="1607">
        <v>3</v>
      </c>
      <c r="N10" s="1607">
        <v>28</v>
      </c>
      <c r="O10" s="1607">
        <v>2</v>
      </c>
    </row>
    <row r="11" spans="1:15" x14ac:dyDescent="0.2">
      <c r="A11" s="1607" t="s">
        <v>160</v>
      </c>
      <c r="B11" s="1607" t="s">
        <v>873</v>
      </c>
      <c r="C11" s="1607" t="s">
        <v>29</v>
      </c>
      <c r="D11" s="1607">
        <v>49</v>
      </c>
      <c r="E11" s="1607">
        <v>148210</v>
      </c>
      <c r="F11" s="1607">
        <v>6</v>
      </c>
      <c r="G11" s="1607"/>
      <c r="H11" s="1607">
        <v>2</v>
      </c>
      <c r="I11" s="1607">
        <v>1</v>
      </c>
      <c r="J11" s="1607"/>
      <c r="K11" s="1607"/>
      <c r="L11" s="1607">
        <v>16</v>
      </c>
      <c r="M11" s="1607">
        <v>5</v>
      </c>
      <c r="N11" s="1607">
        <v>14</v>
      </c>
      <c r="O11" s="1607">
        <v>5</v>
      </c>
    </row>
    <row r="12" spans="1:15" x14ac:dyDescent="0.2">
      <c r="A12" s="1607" t="s">
        <v>160</v>
      </c>
      <c r="B12" s="1607" t="s">
        <v>873</v>
      </c>
      <c r="C12" s="1607" t="s">
        <v>30</v>
      </c>
      <c r="D12" s="1607">
        <v>61</v>
      </c>
      <c r="E12" s="1607">
        <v>122060</v>
      </c>
      <c r="F12" s="1607">
        <v>8</v>
      </c>
      <c r="G12" s="1607">
        <v>3</v>
      </c>
      <c r="H12" s="1607">
        <v>3</v>
      </c>
      <c r="I12" s="1607">
        <v>5</v>
      </c>
      <c r="J12" s="1607"/>
      <c r="K12" s="1607"/>
      <c r="L12" s="1607">
        <v>19</v>
      </c>
      <c r="M12" s="1607">
        <v>7</v>
      </c>
      <c r="N12" s="1607">
        <v>15</v>
      </c>
      <c r="O12" s="1607">
        <v>1</v>
      </c>
    </row>
    <row r="13" spans="1:15" x14ac:dyDescent="0.2">
      <c r="A13" s="1607" t="s">
        <v>160</v>
      </c>
      <c r="B13" s="1607" t="s">
        <v>873</v>
      </c>
      <c r="C13" s="1607" t="s">
        <v>31</v>
      </c>
      <c r="D13" s="1607">
        <v>41</v>
      </c>
      <c r="E13" s="1607">
        <v>106960</v>
      </c>
      <c r="F13" s="1607">
        <v>4</v>
      </c>
      <c r="G13" s="1607">
        <v>1</v>
      </c>
      <c r="H13" s="1607">
        <v>1</v>
      </c>
      <c r="I13" s="1607">
        <v>4</v>
      </c>
      <c r="J13" s="1607"/>
      <c r="K13" s="1607"/>
      <c r="L13" s="1607">
        <v>16</v>
      </c>
      <c r="M13" s="1607">
        <v>11</v>
      </c>
      <c r="N13" s="1607">
        <v>4</v>
      </c>
      <c r="O13" s="1607"/>
    </row>
    <row r="14" spans="1:15" x14ac:dyDescent="0.2">
      <c r="A14" s="1607" t="s">
        <v>160</v>
      </c>
      <c r="B14" s="1607" t="s">
        <v>873</v>
      </c>
      <c r="C14" s="1607" t="s">
        <v>32</v>
      </c>
      <c r="D14" s="1607">
        <v>77</v>
      </c>
      <c r="E14" s="1607">
        <v>103050</v>
      </c>
      <c r="F14" s="1607">
        <v>4</v>
      </c>
      <c r="G14" s="1607">
        <v>4</v>
      </c>
      <c r="H14" s="1607">
        <v>10</v>
      </c>
      <c r="I14" s="1607">
        <v>6</v>
      </c>
      <c r="J14" s="1607">
        <v>3</v>
      </c>
      <c r="K14" s="1607"/>
      <c r="L14" s="1607">
        <v>29</v>
      </c>
      <c r="M14" s="1607">
        <v>4</v>
      </c>
      <c r="N14" s="1607">
        <v>14</v>
      </c>
      <c r="O14" s="1607">
        <v>3</v>
      </c>
    </row>
    <row r="15" spans="1:15" x14ac:dyDescent="0.2">
      <c r="A15" s="1607" t="s">
        <v>160</v>
      </c>
      <c r="B15" s="1607" t="s">
        <v>873</v>
      </c>
      <c r="C15" s="1607" t="s">
        <v>33</v>
      </c>
      <c r="D15" s="1607">
        <v>27</v>
      </c>
      <c r="E15" s="1607">
        <v>92940</v>
      </c>
      <c r="F15" s="1607">
        <v>5</v>
      </c>
      <c r="G15" s="1607">
        <v>1</v>
      </c>
      <c r="H15" s="1607">
        <v>1</v>
      </c>
      <c r="I15" s="1607">
        <v>4</v>
      </c>
      <c r="J15" s="1607"/>
      <c r="K15" s="1607"/>
      <c r="L15" s="1607">
        <v>10</v>
      </c>
      <c r="M15" s="1607"/>
      <c r="N15" s="1607">
        <v>6</v>
      </c>
      <c r="O15" s="1607"/>
    </row>
    <row r="16" spans="1:15" x14ac:dyDescent="0.2">
      <c r="A16" s="1607" t="s">
        <v>160</v>
      </c>
      <c r="B16" s="1607" t="s">
        <v>873</v>
      </c>
      <c r="C16" s="1607" t="s">
        <v>665</v>
      </c>
      <c r="D16" s="1607">
        <v>302</v>
      </c>
      <c r="E16" s="1607">
        <v>498810</v>
      </c>
      <c r="F16" s="1607">
        <v>61</v>
      </c>
      <c r="G16" s="1607">
        <v>9</v>
      </c>
      <c r="H16" s="1607">
        <v>2</v>
      </c>
      <c r="I16" s="1607">
        <v>24</v>
      </c>
      <c r="J16" s="1607">
        <v>3</v>
      </c>
      <c r="K16" s="1607"/>
      <c r="L16" s="1607">
        <v>75</v>
      </c>
      <c r="M16" s="1607">
        <v>28</v>
      </c>
      <c r="N16" s="1607">
        <v>47</v>
      </c>
      <c r="O16" s="1607">
        <v>53</v>
      </c>
    </row>
    <row r="17" spans="1:15" x14ac:dyDescent="0.2">
      <c r="A17" s="1607" t="s">
        <v>160</v>
      </c>
      <c r="B17" s="1607" t="s">
        <v>873</v>
      </c>
      <c r="C17" s="1607" t="s">
        <v>34</v>
      </c>
      <c r="D17" s="1607">
        <v>102</v>
      </c>
      <c r="E17" s="1607">
        <v>158460</v>
      </c>
      <c r="F17" s="1607">
        <v>9</v>
      </c>
      <c r="G17" s="1607">
        <v>2</v>
      </c>
      <c r="H17" s="1607">
        <v>6</v>
      </c>
      <c r="I17" s="1607">
        <v>26</v>
      </c>
      <c r="J17" s="1607">
        <v>1</v>
      </c>
      <c r="K17" s="1607">
        <v>3</v>
      </c>
      <c r="L17" s="1607">
        <v>33</v>
      </c>
      <c r="M17" s="1607">
        <v>4</v>
      </c>
      <c r="N17" s="1607">
        <v>17</v>
      </c>
      <c r="O17" s="1607">
        <v>1</v>
      </c>
    </row>
    <row r="18" spans="1:15" x14ac:dyDescent="0.2">
      <c r="A18" s="1607" t="s">
        <v>160</v>
      </c>
      <c r="B18" s="1607" t="s">
        <v>873</v>
      </c>
      <c r="C18" s="1607" t="s">
        <v>35</v>
      </c>
      <c r="D18" s="1607">
        <v>165</v>
      </c>
      <c r="E18" s="1607">
        <v>368080</v>
      </c>
      <c r="F18" s="1607">
        <v>17</v>
      </c>
      <c r="G18" s="1607">
        <v>8</v>
      </c>
      <c r="H18" s="1607">
        <v>10</v>
      </c>
      <c r="I18" s="1607">
        <v>9</v>
      </c>
      <c r="J18" s="1607">
        <v>4</v>
      </c>
      <c r="K18" s="1607"/>
      <c r="L18" s="1607">
        <v>62</v>
      </c>
      <c r="M18" s="1607">
        <v>13</v>
      </c>
      <c r="N18" s="1607">
        <v>41</v>
      </c>
      <c r="O18" s="1607">
        <v>1</v>
      </c>
    </row>
    <row r="19" spans="1:15" x14ac:dyDescent="0.2">
      <c r="A19" s="1607" t="s">
        <v>160</v>
      </c>
      <c r="B19" s="1607" t="s">
        <v>873</v>
      </c>
      <c r="C19" s="1607" t="s">
        <v>36</v>
      </c>
      <c r="D19" s="1607">
        <v>370</v>
      </c>
      <c r="E19" s="1607">
        <v>606340</v>
      </c>
      <c r="F19" s="1607">
        <v>52</v>
      </c>
      <c r="G19" s="1607">
        <v>18</v>
      </c>
      <c r="H19" s="1607">
        <v>2</v>
      </c>
      <c r="I19" s="1607">
        <v>3</v>
      </c>
      <c r="J19" s="1607">
        <v>1</v>
      </c>
      <c r="K19" s="1607">
        <v>3</v>
      </c>
      <c r="L19" s="1607">
        <v>182</v>
      </c>
      <c r="M19" s="1607">
        <v>38</v>
      </c>
      <c r="N19" s="1607">
        <v>63</v>
      </c>
      <c r="O19" s="1607">
        <v>8</v>
      </c>
    </row>
    <row r="20" spans="1:15" x14ac:dyDescent="0.2">
      <c r="A20" s="1607" t="s">
        <v>160</v>
      </c>
      <c r="B20" s="1607" t="s">
        <v>873</v>
      </c>
      <c r="C20" s="1607" t="s">
        <v>37</v>
      </c>
      <c r="D20" s="1607">
        <v>143</v>
      </c>
      <c r="E20" s="1607">
        <v>234110</v>
      </c>
      <c r="F20" s="1607">
        <v>9</v>
      </c>
      <c r="G20" s="1607">
        <v>17</v>
      </c>
      <c r="H20" s="1607">
        <v>22</v>
      </c>
      <c r="I20" s="1607">
        <v>7</v>
      </c>
      <c r="J20" s="1607">
        <v>1</v>
      </c>
      <c r="K20" s="1607"/>
      <c r="L20" s="1607">
        <v>43</v>
      </c>
      <c r="M20" s="1607">
        <v>3</v>
      </c>
      <c r="N20" s="1607">
        <v>38</v>
      </c>
      <c r="O20" s="1607">
        <v>3</v>
      </c>
    </row>
    <row r="21" spans="1:15" x14ac:dyDescent="0.2">
      <c r="A21" s="1607" t="s">
        <v>160</v>
      </c>
      <c r="B21" s="1607" t="s">
        <v>873</v>
      </c>
      <c r="C21" s="1607" t="s">
        <v>38</v>
      </c>
      <c r="D21" s="1607">
        <v>49</v>
      </c>
      <c r="E21" s="1607">
        <v>79500</v>
      </c>
      <c r="F21" s="1607">
        <v>9</v>
      </c>
      <c r="G21" s="1607">
        <v>4</v>
      </c>
      <c r="H21" s="1607"/>
      <c r="I21" s="1607">
        <v>1</v>
      </c>
      <c r="J21" s="1607">
        <v>3</v>
      </c>
      <c r="K21" s="1607"/>
      <c r="L21" s="1607">
        <v>23</v>
      </c>
      <c r="M21" s="1607">
        <v>4</v>
      </c>
      <c r="N21" s="1607">
        <v>5</v>
      </c>
      <c r="O21" s="1607"/>
    </row>
    <row r="22" spans="1:15" x14ac:dyDescent="0.2">
      <c r="A22" s="1607" t="s">
        <v>160</v>
      </c>
      <c r="B22" s="1607" t="s">
        <v>873</v>
      </c>
      <c r="C22" s="1607" t="s">
        <v>39</v>
      </c>
      <c r="D22" s="1607">
        <v>69</v>
      </c>
      <c r="E22" s="1607">
        <v>87390</v>
      </c>
      <c r="F22" s="1607">
        <v>11</v>
      </c>
      <c r="G22" s="1607">
        <v>1</v>
      </c>
      <c r="H22" s="1607">
        <v>9</v>
      </c>
      <c r="I22" s="1607">
        <v>19</v>
      </c>
      <c r="J22" s="1607"/>
      <c r="K22" s="1607"/>
      <c r="L22" s="1607">
        <v>13</v>
      </c>
      <c r="M22" s="1607">
        <v>5</v>
      </c>
      <c r="N22" s="1607">
        <v>9</v>
      </c>
      <c r="O22" s="1607">
        <v>2</v>
      </c>
    </row>
    <row r="23" spans="1:15" x14ac:dyDescent="0.2">
      <c r="A23" s="1607" t="s">
        <v>160</v>
      </c>
      <c r="B23" s="1607" t="s">
        <v>873</v>
      </c>
      <c r="C23" s="1607" t="s">
        <v>40</v>
      </c>
      <c r="D23" s="1607">
        <v>39</v>
      </c>
      <c r="E23" s="1607">
        <v>95510</v>
      </c>
      <c r="F23" s="1607">
        <v>4</v>
      </c>
      <c r="G23" s="1607">
        <v>2</v>
      </c>
      <c r="H23" s="1607">
        <v>3</v>
      </c>
      <c r="I23" s="1607">
        <v>1</v>
      </c>
      <c r="J23" s="1607">
        <v>1</v>
      </c>
      <c r="K23" s="1607"/>
      <c r="L23" s="1607">
        <v>12</v>
      </c>
      <c r="M23" s="1607">
        <v>1</v>
      </c>
      <c r="N23" s="1607">
        <v>15</v>
      </c>
      <c r="O23" s="1607"/>
    </row>
    <row r="24" spans="1:15" x14ac:dyDescent="0.2">
      <c r="A24" s="1607" t="s">
        <v>160</v>
      </c>
      <c r="B24" s="1607" t="s">
        <v>873</v>
      </c>
      <c r="C24" s="1607" t="s">
        <v>393</v>
      </c>
      <c r="D24" s="1607">
        <v>14</v>
      </c>
      <c r="E24" s="1607">
        <v>27070</v>
      </c>
      <c r="F24" s="1607">
        <v>1</v>
      </c>
      <c r="G24" s="1607">
        <v>2</v>
      </c>
      <c r="H24" s="1607"/>
      <c r="I24" s="1607">
        <v>1</v>
      </c>
      <c r="J24" s="1607"/>
      <c r="K24" s="1607">
        <v>1</v>
      </c>
      <c r="L24" s="1607">
        <v>6</v>
      </c>
      <c r="M24" s="1607"/>
      <c r="N24" s="1607">
        <v>2</v>
      </c>
      <c r="O24" s="1607">
        <v>1</v>
      </c>
    </row>
    <row r="25" spans="1:15" x14ac:dyDescent="0.2">
      <c r="A25" s="1607" t="s">
        <v>160</v>
      </c>
      <c r="B25" s="1607" t="s">
        <v>873</v>
      </c>
      <c r="C25" s="1607" t="s">
        <v>41</v>
      </c>
      <c r="D25" s="1607">
        <v>45</v>
      </c>
      <c r="E25" s="1607">
        <v>136130</v>
      </c>
      <c r="F25" s="1607">
        <v>1</v>
      </c>
      <c r="G25" s="1607">
        <v>6</v>
      </c>
      <c r="H25" s="1607">
        <v>1</v>
      </c>
      <c r="I25" s="1607">
        <v>3</v>
      </c>
      <c r="J25" s="1607"/>
      <c r="K25" s="1607"/>
      <c r="L25" s="1607">
        <v>19</v>
      </c>
      <c r="M25" s="1607">
        <v>3</v>
      </c>
      <c r="N25" s="1607">
        <v>11</v>
      </c>
      <c r="O25" s="1607">
        <v>1</v>
      </c>
    </row>
    <row r="26" spans="1:15" x14ac:dyDescent="0.2">
      <c r="A26" s="1607" t="s">
        <v>160</v>
      </c>
      <c r="B26" s="1607" t="s">
        <v>873</v>
      </c>
      <c r="C26" s="1607" t="s">
        <v>42</v>
      </c>
      <c r="D26" s="1607">
        <v>179</v>
      </c>
      <c r="E26" s="1607">
        <v>338260</v>
      </c>
      <c r="F26" s="1607">
        <v>18</v>
      </c>
      <c r="G26" s="1607">
        <v>7</v>
      </c>
      <c r="H26" s="1607">
        <v>3</v>
      </c>
      <c r="I26" s="1607">
        <v>5</v>
      </c>
      <c r="J26" s="1607"/>
      <c r="K26" s="1607"/>
      <c r="L26" s="1607">
        <v>72</v>
      </c>
      <c r="M26" s="1607">
        <v>28</v>
      </c>
      <c r="N26" s="1607">
        <v>40</v>
      </c>
      <c r="O26" s="1607">
        <v>6</v>
      </c>
    </row>
    <row r="27" spans="1:15" x14ac:dyDescent="0.2">
      <c r="A27" s="1607" t="s">
        <v>160</v>
      </c>
      <c r="B27" s="1607" t="s">
        <v>873</v>
      </c>
      <c r="C27" s="1607" t="s">
        <v>43</v>
      </c>
      <c r="D27" s="1607">
        <v>17</v>
      </c>
      <c r="E27" s="1607">
        <v>21670</v>
      </c>
      <c r="F27" s="1607">
        <v>1</v>
      </c>
      <c r="G27" s="1607">
        <v>2</v>
      </c>
      <c r="H27" s="1607"/>
      <c r="I27" s="1607"/>
      <c r="J27" s="1607">
        <v>3</v>
      </c>
      <c r="K27" s="1607"/>
      <c r="L27" s="1607">
        <v>6</v>
      </c>
      <c r="M27" s="1607"/>
      <c r="N27" s="1607">
        <v>5</v>
      </c>
      <c r="O27" s="1607"/>
    </row>
    <row r="28" spans="1:15" x14ac:dyDescent="0.2">
      <c r="A28" s="1607" t="s">
        <v>160</v>
      </c>
      <c r="B28" s="1607" t="s">
        <v>873</v>
      </c>
      <c r="C28" s="1607" t="s">
        <v>44</v>
      </c>
      <c r="D28" s="1607">
        <v>73</v>
      </c>
      <c r="E28" s="1607">
        <v>149930</v>
      </c>
      <c r="F28" s="1607">
        <v>4</v>
      </c>
      <c r="G28" s="1607">
        <v>12</v>
      </c>
      <c r="H28" s="1607">
        <v>4</v>
      </c>
      <c r="I28" s="1607">
        <v>2</v>
      </c>
      <c r="J28" s="1607"/>
      <c r="K28" s="1607">
        <v>1</v>
      </c>
      <c r="L28" s="1607">
        <v>25</v>
      </c>
      <c r="M28" s="1607">
        <v>1</v>
      </c>
      <c r="N28" s="1607">
        <v>24</v>
      </c>
      <c r="O28" s="1607"/>
    </row>
    <row r="29" spans="1:15" x14ac:dyDescent="0.2">
      <c r="A29" s="1607" t="s">
        <v>160</v>
      </c>
      <c r="B29" s="1607" t="s">
        <v>873</v>
      </c>
      <c r="C29" s="1607" t="s">
        <v>45</v>
      </c>
      <c r="D29" s="1607">
        <v>75</v>
      </c>
      <c r="E29" s="1607">
        <v>174560</v>
      </c>
      <c r="F29" s="1607">
        <v>7</v>
      </c>
      <c r="G29" s="1607">
        <v>5</v>
      </c>
      <c r="H29" s="1607"/>
      <c r="I29" s="1607">
        <v>6</v>
      </c>
      <c r="J29" s="1607">
        <v>1</v>
      </c>
      <c r="K29" s="1607"/>
      <c r="L29" s="1607">
        <v>28</v>
      </c>
      <c r="M29" s="1607">
        <v>9</v>
      </c>
      <c r="N29" s="1607">
        <v>19</v>
      </c>
      <c r="O29" s="1607"/>
    </row>
    <row r="30" spans="1:15" x14ac:dyDescent="0.2">
      <c r="A30" s="1607" t="s">
        <v>160</v>
      </c>
      <c r="B30" s="1607" t="s">
        <v>873</v>
      </c>
      <c r="C30" s="1607" t="s">
        <v>46</v>
      </c>
      <c r="D30" s="1607">
        <v>69</v>
      </c>
      <c r="E30" s="1607">
        <v>114030</v>
      </c>
      <c r="F30" s="1607">
        <v>7</v>
      </c>
      <c r="G30" s="1607">
        <v>8</v>
      </c>
      <c r="H30" s="1607">
        <v>4</v>
      </c>
      <c r="I30" s="1607">
        <v>18</v>
      </c>
      <c r="J30" s="1607"/>
      <c r="K30" s="1607"/>
      <c r="L30" s="1607">
        <v>13</v>
      </c>
      <c r="M30" s="1607">
        <v>1</v>
      </c>
      <c r="N30" s="1607">
        <v>15</v>
      </c>
      <c r="O30" s="1607">
        <v>3</v>
      </c>
    </row>
    <row r="31" spans="1:15" x14ac:dyDescent="0.2">
      <c r="A31" s="1607" t="s">
        <v>160</v>
      </c>
      <c r="B31" s="1607" t="s">
        <v>873</v>
      </c>
      <c r="C31" s="1607" t="s">
        <v>47</v>
      </c>
      <c r="D31" s="1607">
        <v>14</v>
      </c>
      <c r="E31" s="1607">
        <v>23200</v>
      </c>
      <c r="F31" s="1607">
        <v>2</v>
      </c>
      <c r="G31" s="1607">
        <v>4</v>
      </c>
      <c r="H31" s="1607"/>
      <c r="I31" s="1607"/>
      <c r="J31" s="1607"/>
      <c r="K31" s="1607">
        <v>1</v>
      </c>
      <c r="L31" s="1607">
        <v>5</v>
      </c>
      <c r="M31" s="1607"/>
      <c r="N31" s="1607">
        <v>2</v>
      </c>
      <c r="O31" s="1607"/>
    </row>
    <row r="32" spans="1:15" x14ac:dyDescent="0.2">
      <c r="A32" s="1607" t="s">
        <v>160</v>
      </c>
      <c r="B32" s="1607" t="s">
        <v>873</v>
      </c>
      <c r="C32" s="1607" t="s">
        <v>48</v>
      </c>
      <c r="D32" s="1607">
        <v>34</v>
      </c>
      <c r="E32" s="1607">
        <v>112400</v>
      </c>
      <c r="F32" s="1607">
        <v>2</v>
      </c>
      <c r="G32" s="1607">
        <v>2</v>
      </c>
      <c r="H32" s="1607"/>
      <c r="I32" s="1607"/>
      <c r="J32" s="1607"/>
      <c r="K32" s="1607"/>
      <c r="L32" s="1607">
        <v>13</v>
      </c>
      <c r="M32" s="1607">
        <v>6</v>
      </c>
      <c r="N32" s="1607">
        <v>11</v>
      </c>
      <c r="O32" s="1607"/>
    </row>
    <row r="33" spans="1:15" x14ac:dyDescent="0.2">
      <c r="A33" s="1607" t="s">
        <v>160</v>
      </c>
      <c r="B33" s="1607" t="s">
        <v>873</v>
      </c>
      <c r="C33" s="1607" t="s">
        <v>49</v>
      </c>
      <c r="D33" s="1607">
        <v>146</v>
      </c>
      <c r="E33" s="1607">
        <v>316230</v>
      </c>
      <c r="F33" s="1607">
        <v>9</v>
      </c>
      <c r="G33" s="1607">
        <v>6</v>
      </c>
      <c r="H33" s="1607">
        <v>1</v>
      </c>
      <c r="I33" s="1607">
        <v>7</v>
      </c>
      <c r="J33" s="1607"/>
      <c r="K33" s="1607"/>
      <c r="L33" s="1607">
        <v>71</v>
      </c>
      <c r="M33" s="1607">
        <v>11</v>
      </c>
      <c r="N33" s="1607">
        <v>37</v>
      </c>
      <c r="O33" s="1607">
        <v>4</v>
      </c>
    </row>
    <row r="34" spans="1:15" x14ac:dyDescent="0.2">
      <c r="A34" s="1607" t="s">
        <v>160</v>
      </c>
      <c r="B34" s="1607" t="s">
        <v>873</v>
      </c>
      <c r="C34" s="1607" t="s">
        <v>50</v>
      </c>
      <c r="D34" s="1607">
        <v>52</v>
      </c>
      <c r="E34" s="1607">
        <v>92830</v>
      </c>
      <c r="F34" s="1607">
        <v>7</v>
      </c>
      <c r="G34" s="1607">
        <v>1</v>
      </c>
      <c r="H34" s="1607">
        <v>6</v>
      </c>
      <c r="I34" s="1607">
        <v>4</v>
      </c>
      <c r="J34" s="1607"/>
      <c r="K34" s="1607"/>
      <c r="L34" s="1607">
        <v>17</v>
      </c>
      <c r="M34" s="1607">
        <v>2</v>
      </c>
      <c r="N34" s="1607">
        <v>15</v>
      </c>
      <c r="O34" s="1607"/>
    </row>
    <row r="35" spans="1:15" x14ac:dyDescent="0.2">
      <c r="A35" s="1607" t="s">
        <v>160</v>
      </c>
      <c r="B35" s="1607" t="s">
        <v>873</v>
      </c>
      <c r="C35" s="1607" t="s">
        <v>51</v>
      </c>
      <c r="D35" s="1607">
        <v>55</v>
      </c>
      <c r="E35" s="1607">
        <v>89590</v>
      </c>
      <c r="F35" s="1607">
        <v>10</v>
      </c>
      <c r="G35" s="1607">
        <v>1</v>
      </c>
      <c r="H35" s="1607"/>
      <c r="I35" s="1607">
        <v>1</v>
      </c>
      <c r="J35" s="1607">
        <v>3</v>
      </c>
      <c r="K35" s="1607"/>
      <c r="L35" s="1607">
        <v>28</v>
      </c>
      <c r="M35" s="1607">
        <v>4</v>
      </c>
      <c r="N35" s="1607">
        <v>8</v>
      </c>
      <c r="O35" s="1607"/>
    </row>
    <row r="36" spans="1:15" x14ac:dyDescent="0.2">
      <c r="A36" s="1607" t="s">
        <v>160</v>
      </c>
      <c r="B36" s="1607" t="s">
        <v>873</v>
      </c>
      <c r="C36" s="1607" t="s">
        <v>52</v>
      </c>
      <c r="D36" s="1607">
        <v>162</v>
      </c>
      <c r="E36" s="1607">
        <v>178550</v>
      </c>
      <c r="F36" s="1607">
        <v>13</v>
      </c>
      <c r="G36" s="1607">
        <v>2</v>
      </c>
      <c r="H36" s="1607">
        <v>5</v>
      </c>
      <c r="I36" s="1607">
        <v>62</v>
      </c>
      <c r="J36" s="1607"/>
      <c r="K36" s="1607">
        <v>2</v>
      </c>
      <c r="L36" s="1607">
        <v>43</v>
      </c>
      <c r="M36" s="1607">
        <v>8</v>
      </c>
      <c r="N36" s="1607">
        <v>22</v>
      </c>
      <c r="O36" s="1607">
        <v>5</v>
      </c>
    </row>
    <row r="37" spans="1:15" x14ac:dyDescent="0.2">
      <c r="A37" s="1607" t="s">
        <v>379</v>
      </c>
      <c r="B37" s="1607" t="s">
        <v>873</v>
      </c>
      <c r="C37" s="1607" t="s">
        <v>23</v>
      </c>
      <c r="D37" s="1607">
        <v>106</v>
      </c>
      <c r="E37" s="1607">
        <v>229840</v>
      </c>
      <c r="F37" s="1607">
        <v>9</v>
      </c>
      <c r="G37" s="1607">
        <v>5</v>
      </c>
      <c r="H37" s="1607">
        <v>2</v>
      </c>
      <c r="I37" s="1607">
        <v>4</v>
      </c>
      <c r="J37" s="1607">
        <v>2</v>
      </c>
      <c r="K37" s="1607"/>
      <c r="L37" s="1607">
        <v>33</v>
      </c>
      <c r="M37" s="1607">
        <v>14</v>
      </c>
      <c r="N37" s="1607">
        <v>17</v>
      </c>
      <c r="O37" s="1607">
        <v>20</v>
      </c>
    </row>
    <row r="38" spans="1:15" x14ac:dyDescent="0.2">
      <c r="A38" s="1607" t="s">
        <v>379</v>
      </c>
      <c r="B38" s="1607" t="s">
        <v>873</v>
      </c>
      <c r="C38" s="1607" t="s">
        <v>24</v>
      </c>
      <c r="D38" s="1607">
        <v>127</v>
      </c>
      <c r="E38" s="1607">
        <v>262190</v>
      </c>
      <c r="F38" s="1607">
        <v>10</v>
      </c>
      <c r="G38" s="1607">
        <v>12</v>
      </c>
      <c r="H38" s="1607">
        <v>10</v>
      </c>
      <c r="I38" s="1607">
        <v>4</v>
      </c>
      <c r="J38" s="1607">
        <v>2</v>
      </c>
      <c r="K38" s="1607"/>
      <c r="L38" s="1607">
        <v>32</v>
      </c>
      <c r="M38" s="1607">
        <v>10</v>
      </c>
      <c r="N38" s="1607">
        <v>38</v>
      </c>
      <c r="O38" s="1607">
        <v>9</v>
      </c>
    </row>
    <row r="39" spans="1:15" x14ac:dyDescent="0.2">
      <c r="A39" s="1607" t="s">
        <v>379</v>
      </c>
      <c r="B39" s="1607" t="s">
        <v>873</v>
      </c>
      <c r="C39" s="1607" t="s">
        <v>25</v>
      </c>
      <c r="D39" s="1607">
        <v>60</v>
      </c>
      <c r="E39" s="1607">
        <v>116520</v>
      </c>
      <c r="F39" s="1607">
        <v>3</v>
      </c>
      <c r="G39" s="1607">
        <v>3</v>
      </c>
      <c r="H39" s="1607">
        <v>5</v>
      </c>
      <c r="I39" s="1607">
        <v>1</v>
      </c>
      <c r="J39" s="1607">
        <v>1</v>
      </c>
      <c r="K39" s="1607"/>
      <c r="L39" s="1607">
        <v>21</v>
      </c>
      <c r="M39" s="1607">
        <v>7</v>
      </c>
      <c r="N39" s="1607">
        <v>17</v>
      </c>
      <c r="O39" s="1607">
        <v>2</v>
      </c>
    </row>
    <row r="40" spans="1:15" x14ac:dyDescent="0.2">
      <c r="A40" s="1607" t="s">
        <v>379</v>
      </c>
      <c r="B40" s="1607" t="s">
        <v>873</v>
      </c>
      <c r="C40" s="1607" t="s">
        <v>26</v>
      </c>
      <c r="D40" s="1607">
        <v>39</v>
      </c>
      <c r="E40" s="1607">
        <v>87130</v>
      </c>
      <c r="F40" s="1607">
        <v>5</v>
      </c>
      <c r="G40" s="1607">
        <v>3</v>
      </c>
      <c r="H40" s="1607">
        <v>3</v>
      </c>
      <c r="I40" s="1607">
        <v>1</v>
      </c>
      <c r="J40" s="1607">
        <v>1</v>
      </c>
      <c r="K40" s="1607"/>
      <c r="L40" s="1607">
        <v>16</v>
      </c>
      <c r="M40" s="1607">
        <v>2</v>
      </c>
      <c r="N40" s="1607">
        <v>8</v>
      </c>
      <c r="O40" s="1607"/>
    </row>
    <row r="41" spans="1:15" x14ac:dyDescent="0.2">
      <c r="A41" s="1607" t="s">
        <v>379</v>
      </c>
      <c r="B41" s="1607" t="s">
        <v>873</v>
      </c>
      <c r="C41" s="1607" t="s">
        <v>27</v>
      </c>
      <c r="D41" s="1607">
        <v>17</v>
      </c>
      <c r="E41" s="1607">
        <v>51350</v>
      </c>
      <c r="F41" s="1607">
        <v>1</v>
      </c>
      <c r="G41" s="1607"/>
      <c r="H41" s="1607">
        <v>1</v>
      </c>
      <c r="I41" s="1607">
        <v>2</v>
      </c>
      <c r="J41" s="1607"/>
      <c r="K41" s="1607"/>
      <c r="L41" s="1607">
        <v>7</v>
      </c>
      <c r="M41" s="1607">
        <v>2</v>
      </c>
      <c r="N41" s="1607">
        <v>4</v>
      </c>
      <c r="O41" s="1607"/>
    </row>
    <row r="42" spans="1:15" x14ac:dyDescent="0.2">
      <c r="A42" s="1607" t="s">
        <v>379</v>
      </c>
      <c r="B42" s="1607" t="s">
        <v>873</v>
      </c>
      <c r="C42" s="1607" t="s">
        <v>28</v>
      </c>
      <c r="D42" s="1607">
        <v>74</v>
      </c>
      <c r="E42" s="1607">
        <v>149520</v>
      </c>
      <c r="F42" s="1607">
        <v>11</v>
      </c>
      <c r="G42" s="1607">
        <v>2</v>
      </c>
      <c r="H42" s="1607">
        <v>5</v>
      </c>
      <c r="I42" s="1607"/>
      <c r="J42" s="1607">
        <v>2</v>
      </c>
      <c r="K42" s="1607"/>
      <c r="L42" s="1607">
        <v>23</v>
      </c>
      <c r="M42" s="1607">
        <v>10</v>
      </c>
      <c r="N42" s="1607">
        <v>21</v>
      </c>
      <c r="O42" s="1607"/>
    </row>
    <row r="43" spans="1:15" x14ac:dyDescent="0.2">
      <c r="A43" s="1607" t="s">
        <v>379</v>
      </c>
      <c r="B43" s="1607" t="s">
        <v>873</v>
      </c>
      <c r="C43" s="1607" t="s">
        <v>29</v>
      </c>
      <c r="D43" s="1607">
        <v>58</v>
      </c>
      <c r="E43" s="1607">
        <v>148270</v>
      </c>
      <c r="F43" s="1607">
        <v>9</v>
      </c>
      <c r="G43" s="1607">
        <v>2</v>
      </c>
      <c r="H43" s="1607">
        <v>2</v>
      </c>
      <c r="I43" s="1607">
        <v>5</v>
      </c>
      <c r="J43" s="1607">
        <v>1</v>
      </c>
      <c r="K43" s="1607"/>
      <c r="L43" s="1607">
        <v>24</v>
      </c>
      <c r="M43" s="1607">
        <v>4</v>
      </c>
      <c r="N43" s="1607">
        <v>8</v>
      </c>
      <c r="O43" s="1607">
        <v>3</v>
      </c>
    </row>
    <row r="44" spans="1:15" x14ac:dyDescent="0.2">
      <c r="A44" s="1607" t="s">
        <v>379</v>
      </c>
      <c r="B44" s="1607" t="s">
        <v>873</v>
      </c>
      <c r="C44" s="1607" t="s">
        <v>30</v>
      </c>
      <c r="D44" s="1607">
        <v>54</v>
      </c>
      <c r="E44" s="1607">
        <v>122200</v>
      </c>
      <c r="F44" s="1607">
        <v>4</v>
      </c>
      <c r="G44" s="1607">
        <v>3</v>
      </c>
      <c r="H44" s="1607"/>
      <c r="I44" s="1607">
        <v>1</v>
      </c>
      <c r="J44" s="1607"/>
      <c r="K44" s="1607"/>
      <c r="L44" s="1607">
        <v>25</v>
      </c>
      <c r="M44" s="1607">
        <v>9</v>
      </c>
      <c r="N44" s="1607">
        <v>11</v>
      </c>
      <c r="O44" s="1607">
        <v>1</v>
      </c>
    </row>
    <row r="45" spans="1:15" x14ac:dyDescent="0.2">
      <c r="A45" s="1607" t="s">
        <v>379</v>
      </c>
      <c r="B45" s="1607" t="s">
        <v>873</v>
      </c>
      <c r="C45" s="1607" t="s">
        <v>31</v>
      </c>
      <c r="D45" s="1607">
        <v>48</v>
      </c>
      <c r="E45" s="1607">
        <v>107540</v>
      </c>
      <c r="F45" s="1607">
        <v>2</v>
      </c>
      <c r="G45" s="1607">
        <v>2</v>
      </c>
      <c r="H45" s="1607">
        <v>1</v>
      </c>
      <c r="I45" s="1607">
        <v>5</v>
      </c>
      <c r="J45" s="1607"/>
      <c r="K45" s="1607"/>
      <c r="L45" s="1607">
        <v>19</v>
      </c>
      <c r="M45" s="1607">
        <v>8</v>
      </c>
      <c r="N45" s="1607">
        <v>9</v>
      </c>
      <c r="O45" s="1607">
        <v>2</v>
      </c>
    </row>
    <row r="46" spans="1:15" x14ac:dyDescent="0.2">
      <c r="A46" s="1607" t="s">
        <v>379</v>
      </c>
      <c r="B46" s="1607" t="s">
        <v>873</v>
      </c>
      <c r="C46" s="1607" t="s">
        <v>32</v>
      </c>
      <c r="D46" s="1607">
        <v>52</v>
      </c>
      <c r="E46" s="1607">
        <v>104090</v>
      </c>
      <c r="F46" s="1607">
        <v>6</v>
      </c>
      <c r="G46" s="1607">
        <v>4</v>
      </c>
      <c r="H46" s="1607">
        <v>7</v>
      </c>
      <c r="I46" s="1607">
        <v>7</v>
      </c>
      <c r="J46" s="1607"/>
      <c r="K46" s="1607">
        <v>1</v>
      </c>
      <c r="L46" s="1607">
        <v>17</v>
      </c>
      <c r="M46" s="1607">
        <v>4</v>
      </c>
      <c r="N46" s="1607">
        <v>5</v>
      </c>
      <c r="O46" s="1607">
        <v>1</v>
      </c>
    </row>
    <row r="47" spans="1:15" x14ac:dyDescent="0.2">
      <c r="A47" s="1607" t="s">
        <v>379</v>
      </c>
      <c r="B47" s="1607" t="s">
        <v>873</v>
      </c>
      <c r="C47" s="1607" t="s">
        <v>33</v>
      </c>
      <c r="D47" s="1607">
        <v>24</v>
      </c>
      <c r="E47" s="1607">
        <v>93810</v>
      </c>
      <c r="F47" s="1607">
        <v>4</v>
      </c>
      <c r="G47" s="1607">
        <v>2</v>
      </c>
      <c r="H47" s="1607">
        <v>1</v>
      </c>
      <c r="I47" s="1607">
        <v>1</v>
      </c>
      <c r="J47" s="1607"/>
      <c r="K47" s="1607"/>
      <c r="L47" s="1607">
        <v>9</v>
      </c>
      <c r="M47" s="1607">
        <v>4</v>
      </c>
      <c r="N47" s="1607">
        <v>3</v>
      </c>
      <c r="O47" s="1607"/>
    </row>
    <row r="48" spans="1:15" x14ac:dyDescent="0.2">
      <c r="A48" s="1607" t="s">
        <v>379</v>
      </c>
      <c r="B48" s="1607" t="s">
        <v>873</v>
      </c>
      <c r="C48" s="1607" t="s">
        <v>665</v>
      </c>
      <c r="D48" s="1607">
        <v>331</v>
      </c>
      <c r="E48" s="1607">
        <v>507170</v>
      </c>
      <c r="F48" s="1607">
        <v>73</v>
      </c>
      <c r="G48" s="1607">
        <v>9</v>
      </c>
      <c r="H48" s="1607">
        <v>4</v>
      </c>
      <c r="I48" s="1607">
        <v>25</v>
      </c>
      <c r="J48" s="1607">
        <v>4</v>
      </c>
      <c r="K48" s="1607">
        <v>3</v>
      </c>
      <c r="L48" s="1607">
        <v>77</v>
      </c>
      <c r="M48" s="1607">
        <v>37</v>
      </c>
      <c r="N48" s="1607">
        <v>48</v>
      </c>
      <c r="O48" s="1607">
        <v>51</v>
      </c>
    </row>
    <row r="49" spans="1:15" x14ac:dyDescent="0.2">
      <c r="A49" s="1607" t="s">
        <v>379</v>
      </c>
      <c r="B49" s="1607" t="s">
        <v>873</v>
      </c>
      <c r="C49" s="1607" t="s">
        <v>34</v>
      </c>
      <c r="D49" s="1607">
        <v>99</v>
      </c>
      <c r="E49" s="1607">
        <v>159380</v>
      </c>
      <c r="F49" s="1607">
        <v>5</v>
      </c>
      <c r="G49" s="1607">
        <v>2</v>
      </c>
      <c r="H49" s="1607">
        <v>5</v>
      </c>
      <c r="I49" s="1607">
        <v>37</v>
      </c>
      <c r="J49" s="1607"/>
      <c r="K49" s="1607"/>
      <c r="L49" s="1607">
        <v>24</v>
      </c>
      <c r="M49" s="1607">
        <v>9</v>
      </c>
      <c r="N49" s="1607">
        <v>15</v>
      </c>
      <c r="O49" s="1607">
        <v>2</v>
      </c>
    </row>
    <row r="50" spans="1:15" x14ac:dyDescent="0.2">
      <c r="A50" s="1607" t="s">
        <v>379</v>
      </c>
      <c r="B50" s="1607" t="s">
        <v>873</v>
      </c>
      <c r="C50" s="1607" t="s">
        <v>35</v>
      </c>
      <c r="D50" s="1607">
        <v>214</v>
      </c>
      <c r="E50" s="1607">
        <v>370330</v>
      </c>
      <c r="F50" s="1607">
        <v>37</v>
      </c>
      <c r="G50" s="1607">
        <v>4</v>
      </c>
      <c r="H50" s="1607">
        <v>15</v>
      </c>
      <c r="I50" s="1607">
        <v>51</v>
      </c>
      <c r="J50" s="1607">
        <v>3</v>
      </c>
      <c r="K50" s="1607">
        <v>1</v>
      </c>
      <c r="L50" s="1607">
        <v>51</v>
      </c>
      <c r="M50" s="1607">
        <v>12</v>
      </c>
      <c r="N50" s="1607">
        <v>37</v>
      </c>
      <c r="O50" s="1607">
        <v>3</v>
      </c>
    </row>
    <row r="51" spans="1:15" x14ac:dyDescent="0.2">
      <c r="A51" s="1607" t="s">
        <v>379</v>
      </c>
      <c r="B51" s="1607" t="s">
        <v>873</v>
      </c>
      <c r="C51" s="1607" t="s">
        <v>36</v>
      </c>
      <c r="D51" s="1607">
        <v>384</v>
      </c>
      <c r="E51" s="1607">
        <v>615070</v>
      </c>
      <c r="F51" s="1607">
        <v>35</v>
      </c>
      <c r="G51" s="1607">
        <v>24</v>
      </c>
      <c r="H51" s="1607"/>
      <c r="I51" s="1607">
        <v>5</v>
      </c>
      <c r="J51" s="1607"/>
      <c r="K51" s="1607">
        <v>1</v>
      </c>
      <c r="L51" s="1607">
        <v>189</v>
      </c>
      <c r="M51" s="1607">
        <v>57</v>
      </c>
      <c r="N51" s="1607">
        <v>63</v>
      </c>
      <c r="O51" s="1607">
        <v>10</v>
      </c>
    </row>
    <row r="52" spans="1:15" x14ac:dyDescent="0.2">
      <c r="A52" s="1607" t="s">
        <v>379</v>
      </c>
      <c r="B52" s="1607" t="s">
        <v>873</v>
      </c>
      <c r="C52" s="1607" t="s">
        <v>37</v>
      </c>
      <c r="D52" s="1607">
        <v>125</v>
      </c>
      <c r="E52" s="1607">
        <v>234770</v>
      </c>
      <c r="F52" s="1607">
        <v>9</v>
      </c>
      <c r="G52" s="1607">
        <v>10</v>
      </c>
      <c r="H52" s="1607">
        <v>13</v>
      </c>
      <c r="I52" s="1607"/>
      <c r="J52" s="1607">
        <v>2</v>
      </c>
      <c r="K52" s="1607">
        <v>2</v>
      </c>
      <c r="L52" s="1607">
        <v>42</v>
      </c>
      <c r="M52" s="1607">
        <v>6</v>
      </c>
      <c r="N52" s="1607">
        <v>39</v>
      </c>
      <c r="O52" s="1607">
        <v>2</v>
      </c>
    </row>
    <row r="53" spans="1:15" x14ac:dyDescent="0.2">
      <c r="A53" s="1607" t="s">
        <v>379</v>
      </c>
      <c r="B53" s="1607" t="s">
        <v>873</v>
      </c>
      <c r="C53" s="1607" t="s">
        <v>38</v>
      </c>
      <c r="D53" s="1607">
        <v>52</v>
      </c>
      <c r="E53" s="1607">
        <v>79160</v>
      </c>
      <c r="F53" s="1607">
        <v>4</v>
      </c>
      <c r="G53" s="1607">
        <v>3</v>
      </c>
      <c r="H53" s="1607">
        <v>2</v>
      </c>
      <c r="I53" s="1607"/>
      <c r="J53" s="1607"/>
      <c r="K53" s="1607"/>
      <c r="L53" s="1607">
        <v>28</v>
      </c>
      <c r="M53" s="1607">
        <v>6</v>
      </c>
      <c r="N53" s="1607">
        <v>8</v>
      </c>
      <c r="O53" s="1607">
        <v>1</v>
      </c>
    </row>
    <row r="54" spans="1:15" x14ac:dyDescent="0.2">
      <c r="A54" s="1607" t="s">
        <v>379</v>
      </c>
      <c r="B54" s="1607" t="s">
        <v>873</v>
      </c>
      <c r="C54" s="1607" t="s">
        <v>39</v>
      </c>
      <c r="D54" s="1607">
        <v>95</v>
      </c>
      <c r="E54" s="1607">
        <v>88610</v>
      </c>
      <c r="F54" s="1607">
        <v>11</v>
      </c>
      <c r="G54" s="1607">
        <v>3</v>
      </c>
      <c r="H54" s="1607">
        <v>8</v>
      </c>
      <c r="I54" s="1607">
        <v>28</v>
      </c>
      <c r="J54" s="1607"/>
      <c r="K54" s="1607"/>
      <c r="L54" s="1607">
        <v>20</v>
      </c>
      <c r="M54" s="1607">
        <v>7</v>
      </c>
      <c r="N54" s="1607">
        <v>11</v>
      </c>
      <c r="O54" s="1607">
        <v>7</v>
      </c>
    </row>
    <row r="55" spans="1:15" x14ac:dyDescent="0.2">
      <c r="A55" s="1607" t="s">
        <v>379</v>
      </c>
      <c r="B55" s="1607" t="s">
        <v>873</v>
      </c>
      <c r="C55" s="1607" t="s">
        <v>40</v>
      </c>
      <c r="D55" s="1607">
        <v>44</v>
      </c>
      <c r="E55" s="1607">
        <v>96070</v>
      </c>
      <c r="F55" s="1607">
        <v>2</v>
      </c>
      <c r="G55" s="1607">
        <v>1</v>
      </c>
      <c r="H55" s="1607">
        <v>4</v>
      </c>
      <c r="I55" s="1607">
        <v>1</v>
      </c>
      <c r="J55" s="1607"/>
      <c r="K55" s="1607"/>
      <c r="L55" s="1607">
        <v>18</v>
      </c>
      <c r="M55" s="1607">
        <v>3</v>
      </c>
      <c r="N55" s="1607">
        <v>15</v>
      </c>
      <c r="O55" s="1607"/>
    </row>
    <row r="56" spans="1:15" x14ac:dyDescent="0.2">
      <c r="A56" s="1607" t="s">
        <v>379</v>
      </c>
      <c r="B56" s="1607" t="s">
        <v>873</v>
      </c>
      <c r="C56" s="1607" t="s">
        <v>393</v>
      </c>
      <c r="D56" s="1607">
        <v>8</v>
      </c>
      <c r="E56" s="1607">
        <v>26900</v>
      </c>
      <c r="F56" s="1607"/>
      <c r="G56" s="1607">
        <v>5</v>
      </c>
      <c r="H56" s="1607"/>
      <c r="I56" s="1607">
        <v>1</v>
      </c>
      <c r="J56" s="1607">
        <v>1</v>
      </c>
      <c r="K56" s="1607"/>
      <c r="L56" s="1607"/>
      <c r="M56" s="1607"/>
      <c r="N56" s="1607">
        <v>1</v>
      </c>
      <c r="O56" s="1607"/>
    </row>
    <row r="57" spans="1:15" x14ac:dyDescent="0.2">
      <c r="A57" s="1607" t="s">
        <v>379</v>
      </c>
      <c r="B57" s="1607" t="s">
        <v>873</v>
      </c>
      <c r="C57" s="1607" t="s">
        <v>41</v>
      </c>
      <c r="D57" s="1607">
        <v>59</v>
      </c>
      <c r="E57" s="1607">
        <v>135890</v>
      </c>
      <c r="F57" s="1607">
        <v>13</v>
      </c>
      <c r="G57" s="1607">
        <v>8</v>
      </c>
      <c r="H57" s="1607"/>
      <c r="I57" s="1607">
        <v>5</v>
      </c>
      <c r="J57" s="1607">
        <v>1</v>
      </c>
      <c r="K57" s="1607"/>
      <c r="L57" s="1607">
        <v>24</v>
      </c>
      <c r="M57" s="1607">
        <v>2</v>
      </c>
      <c r="N57" s="1607">
        <v>5</v>
      </c>
      <c r="O57" s="1607">
        <v>1</v>
      </c>
    </row>
    <row r="58" spans="1:15" x14ac:dyDescent="0.2">
      <c r="A58" s="1607" t="s">
        <v>379</v>
      </c>
      <c r="B58" s="1607" t="s">
        <v>873</v>
      </c>
      <c r="C58" s="1607" t="s">
        <v>42</v>
      </c>
      <c r="D58" s="1607">
        <v>222</v>
      </c>
      <c r="E58" s="1607">
        <v>339390</v>
      </c>
      <c r="F58" s="1607">
        <v>18</v>
      </c>
      <c r="G58" s="1607">
        <v>9</v>
      </c>
      <c r="H58" s="1607">
        <v>5</v>
      </c>
      <c r="I58" s="1607">
        <v>9</v>
      </c>
      <c r="J58" s="1607">
        <v>2</v>
      </c>
      <c r="K58" s="1607">
        <v>2</v>
      </c>
      <c r="L58" s="1607">
        <v>87</v>
      </c>
      <c r="M58" s="1607">
        <v>38</v>
      </c>
      <c r="N58" s="1607">
        <v>46</v>
      </c>
      <c r="O58" s="1607">
        <v>6</v>
      </c>
    </row>
    <row r="59" spans="1:15" x14ac:dyDescent="0.2">
      <c r="A59" s="1607" t="s">
        <v>379</v>
      </c>
      <c r="B59" s="1607" t="s">
        <v>873</v>
      </c>
      <c r="C59" s="1607" t="s">
        <v>43</v>
      </c>
      <c r="D59" s="1607">
        <v>11</v>
      </c>
      <c r="E59" s="1607">
        <v>21850</v>
      </c>
      <c r="F59" s="1607">
        <v>1</v>
      </c>
      <c r="G59" s="1607">
        <v>2</v>
      </c>
      <c r="H59" s="1607"/>
      <c r="I59" s="1607"/>
      <c r="J59" s="1607"/>
      <c r="K59" s="1607"/>
      <c r="L59" s="1607">
        <v>4</v>
      </c>
      <c r="M59" s="1607">
        <v>1</v>
      </c>
      <c r="N59" s="1607">
        <v>3</v>
      </c>
      <c r="O59" s="1607"/>
    </row>
    <row r="60" spans="1:15" x14ac:dyDescent="0.2">
      <c r="A60" s="1607" t="s">
        <v>379</v>
      </c>
      <c r="B60" s="1607" t="s">
        <v>873</v>
      </c>
      <c r="C60" s="1607" t="s">
        <v>44</v>
      </c>
      <c r="D60" s="1607">
        <v>72</v>
      </c>
      <c r="E60" s="1607">
        <v>150680</v>
      </c>
      <c r="F60" s="1607">
        <v>7</v>
      </c>
      <c r="G60" s="1607">
        <v>5</v>
      </c>
      <c r="H60" s="1607">
        <v>6</v>
      </c>
      <c r="I60" s="1607">
        <v>4</v>
      </c>
      <c r="J60" s="1607">
        <v>1</v>
      </c>
      <c r="K60" s="1607"/>
      <c r="L60" s="1607">
        <v>27</v>
      </c>
      <c r="M60" s="1607">
        <v>1</v>
      </c>
      <c r="N60" s="1607">
        <v>20</v>
      </c>
      <c r="O60" s="1607">
        <v>1</v>
      </c>
    </row>
    <row r="61" spans="1:15" x14ac:dyDescent="0.2">
      <c r="A61" s="1607" t="s">
        <v>379</v>
      </c>
      <c r="B61" s="1607" t="s">
        <v>873</v>
      </c>
      <c r="C61" s="1607" t="s">
        <v>45</v>
      </c>
      <c r="D61" s="1607">
        <v>102</v>
      </c>
      <c r="E61" s="1607">
        <v>175930</v>
      </c>
      <c r="F61" s="1607">
        <v>13</v>
      </c>
      <c r="G61" s="1607">
        <v>1</v>
      </c>
      <c r="H61" s="1607">
        <v>1</v>
      </c>
      <c r="I61" s="1607">
        <v>12</v>
      </c>
      <c r="J61" s="1607"/>
      <c r="K61" s="1607"/>
      <c r="L61" s="1607">
        <v>37</v>
      </c>
      <c r="M61" s="1607">
        <v>15</v>
      </c>
      <c r="N61" s="1607">
        <v>23</v>
      </c>
      <c r="O61" s="1607"/>
    </row>
    <row r="62" spans="1:15" x14ac:dyDescent="0.2">
      <c r="A62" s="1607" t="s">
        <v>379</v>
      </c>
      <c r="B62" s="1607" t="s">
        <v>873</v>
      </c>
      <c r="C62" s="1607" t="s">
        <v>46</v>
      </c>
      <c r="D62" s="1607">
        <v>62</v>
      </c>
      <c r="E62" s="1607">
        <v>114530</v>
      </c>
      <c r="F62" s="1607">
        <v>10</v>
      </c>
      <c r="G62" s="1607">
        <v>5</v>
      </c>
      <c r="H62" s="1607">
        <v>4</v>
      </c>
      <c r="I62" s="1607">
        <v>6</v>
      </c>
      <c r="J62" s="1607">
        <v>1</v>
      </c>
      <c r="K62" s="1607"/>
      <c r="L62" s="1607">
        <v>16</v>
      </c>
      <c r="M62" s="1607">
        <v>1</v>
      </c>
      <c r="N62" s="1607">
        <v>17</v>
      </c>
      <c r="O62" s="1607">
        <v>2</v>
      </c>
    </row>
    <row r="63" spans="1:15" x14ac:dyDescent="0.2">
      <c r="A63" s="1607" t="s">
        <v>379</v>
      </c>
      <c r="B63" s="1607" t="s">
        <v>873</v>
      </c>
      <c r="C63" s="1607" t="s">
        <v>47</v>
      </c>
      <c r="D63" s="1607">
        <v>9</v>
      </c>
      <c r="E63" s="1607">
        <v>23200</v>
      </c>
      <c r="F63" s="1607">
        <v>2</v>
      </c>
      <c r="G63" s="1607">
        <v>4</v>
      </c>
      <c r="H63" s="1607"/>
      <c r="I63" s="1607"/>
      <c r="J63" s="1607"/>
      <c r="K63" s="1607"/>
      <c r="L63" s="1607">
        <v>2</v>
      </c>
      <c r="M63" s="1607"/>
      <c r="N63" s="1607">
        <v>1</v>
      </c>
      <c r="O63" s="1607"/>
    </row>
    <row r="64" spans="1:15" x14ac:dyDescent="0.2">
      <c r="A64" s="1607" t="s">
        <v>379</v>
      </c>
      <c r="B64" s="1607" t="s">
        <v>873</v>
      </c>
      <c r="C64" s="1607" t="s">
        <v>48</v>
      </c>
      <c r="D64" s="1607">
        <v>47</v>
      </c>
      <c r="E64" s="1607">
        <v>112470</v>
      </c>
      <c r="F64" s="1607">
        <v>5</v>
      </c>
      <c r="G64" s="1607">
        <v>8</v>
      </c>
      <c r="H64" s="1607"/>
      <c r="I64" s="1607">
        <v>3</v>
      </c>
      <c r="J64" s="1607">
        <v>1</v>
      </c>
      <c r="K64" s="1607"/>
      <c r="L64" s="1607">
        <v>12</v>
      </c>
      <c r="M64" s="1607">
        <v>5</v>
      </c>
      <c r="N64" s="1607">
        <v>13</v>
      </c>
      <c r="O64" s="1607"/>
    </row>
    <row r="65" spans="1:15" x14ac:dyDescent="0.2">
      <c r="A65" s="1607" t="s">
        <v>379</v>
      </c>
      <c r="B65" s="1607" t="s">
        <v>873</v>
      </c>
      <c r="C65" s="1607" t="s">
        <v>49</v>
      </c>
      <c r="D65" s="1607">
        <v>196</v>
      </c>
      <c r="E65" s="1607">
        <v>317100</v>
      </c>
      <c r="F65" s="1607">
        <v>10</v>
      </c>
      <c r="G65" s="1607">
        <v>5</v>
      </c>
      <c r="H65" s="1607">
        <v>2</v>
      </c>
      <c r="I65" s="1607">
        <v>11</v>
      </c>
      <c r="J65" s="1607"/>
      <c r="K65" s="1607">
        <v>2</v>
      </c>
      <c r="L65" s="1607">
        <v>80</v>
      </c>
      <c r="M65" s="1607">
        <v>25</v>
      </c>
      <c r="N65" s="1607">
        <v>55</v>
      </c>
      <c r="O65" s="1607">
        <v>6</v>
      </c>
    </row>
    <row r="66" spans="1:15" x14ac:dyDescent="0.2">
      <c r="A66" s="1607" t="s">
        <v>379</v>
      </c>
      <c r="B66" s="1607" t="s">
        <v>873</v>
      </c>
      <c r="C66" s="1607" t="s">
        <v>50</v>
      </c>
      <c r="D66" s="1607">
        <v>74</v>
      </c>
      <c r="E66" s="1607">
        <v>93750</v>
      </c>
      <c r="F66" s="1607">
        <v>8</v>
      </c>
      <c r="G66" s="1607">
        <v>6</v>
      </c>
      <c r="H66" s="1607">
        <v>7</v>
      </c>
      <c r="I66" s="1607">
        <v>8</v>
      </c>
      <c r="J66" s="1607">
        <v>1</v>
      </c>
      <c r="K66" s="1607"/>
      <c r="L66" s="1607">
        <v>19</v>
      </c>
      <c r="M66" s="1607">
        <v>5</v>
      </c>
      <c r="N66" s="1607">
        <v>17</v>
      </c>
      <c r="O66" s="1607">
        <v>3</v>
      </c>
    </row>
    <row r="67" spans="1:15" x14ac:dyDescent="0.2">
      <c r="A67" s="1607" t="s">
        <v>379</v>
      </c>
      <c r="B67" s="1607" t="s">
        <v>873</v>
      </c>
      <c r="C67" s="1607" t="s">
        <v>51</v>
      </c>
      <c r="D67" s="1607">
        <v>73</v>
      </c>
      <c r="E67" s="1607">
        <v>89860</v>
      </c>
      <c r="F67" s="1607">
        <v>13</v>
      </c>
      <c r="G67" s="1607">
        <v>3</v>
      </c>
      <c r="H67" s="1607"/>
      <c r="I67" s="1607">
        <v>5</v>
      </c>
      <c r="J67" s="1607">
        <v>2</v>
      </c>
      <c r="K67" s="1607"/>
      <c r="L67" s="1607">
        <v>40</v>
      </c>
      <c r="M67" s="1607">
        <v>5</v>
      </c>
      <c r="N67" s="1607">
        <v>4</v>
      </c>
      <c r="O67" s="1607">
        <v>1</v>
      </c>
    </row>
    <row r="68" spans="1:15" x14ac:dyDescent="0.2">
      <c r="A68" s="1607" t="s">
        <v>379</v>
      </c>
      <c r="B68" s="1607" t="s">
        <v>873</v>
      </c>
      <c r="C68" s="1607" t="s">
        <v>52</v>
      </c>
      <c r="D68" s="1607">
        <v>139</v>
      </c>
      <c r="E68" s="1607">
        <v>180130</v>
      </c>
      <c r="F68" s="1607">
        <v>25</v>
      </c>
      <c r="G68" s="1607">
        <v>4</v>
      </c>
      <c r="H68" s="1607">
        <v>2</v>
      </c>
      <c r="I68" s="1607">
        <v>37</v>
      </c>
      <c r="J68" s="1607"/>
      <c r="K68" s="1607"/>
      <c r="L68" s="1607">
        <v>41</v>
      </c>
      <c r="M68" s="1607">
        <v>9</v>
      </c>
      <c r="N68" s="1607">
        <v>18</v>
      </c>
      <c r="O68" s="1607">
        <v>3</v>
      </c>
    </row>
    <row r="69" spans="1:15" x14ac:dyDescent="0.2">
      <c r="A69" s="1607" t="s">
        <v>603</v>
      </c>
      <c r="B69" s="1607" t="s">
        <v>873</v>
      </c>
      <c r="C69" s="1607" t="s">
        <v>23</v>
      </c>
      <c r="D69" s="1607">
        <v>80</v>
      </c>
      <c r="E69" s="1607">
        <v>228800</v>
      </c>
      <c r="F69" s="1607">
        <v>8</v>
      </c>
      <c r="G69" s="1607">
        <v>5</v>
      </c>
      <c r="H69" s="1607">
        <v>1</v>
      </c>
      <c r="I69" s="1607">
        <v>2</v>
      </c>
      <c r="J69" s="1607"/>
      <c r="K69" s="1607"/>
      <c r="L69" s="1607">
        <v>29</v>
      </c>
      <c r="M69" s="1607">
        <v>11</v>
      </c>
      <c r="N69" s="1607">
        <v>17</v>
      </c>
      <c r="O69" s="1607">
        <v>7</v>
      </c>
    </row>
    <row r="70" spans="1:15" x14ac:dyDescent="0.2">
      <c r="A70" s="1607" t="s">
        <v>603</v>
      </c>
      <c r="B70" s="1607" t="s">
        <v>873</v>
      </c>
      <c r="C70" s="1607" t="s">
        <v>24</v>
      </c>
      <c r="D70" s="1607">
        <v>119</v>
      </c>
      <c r="E70" s="1607">
        <v>261800</v>
      </c>
      <c r="F70" s="1607">
        <v>11</v>
      </c>
      <c r="G70" s="1607">
        <v>19</v>
      </c>
      <c r="H70" s="1607">
        <v>9</v>
      </c>
      <c r="I70" s="1607"/>
      <c r="J70" s="1607">
        <v>2</v>
      </c>
      <c r="K70" s="1607"/>
      <c r="L70" s="1607">
        <v>37</v>
      </c>
      <c r="M70" s="1607">
        <v>4</v>
      </c>
      <c r="N70" s="1607">
        <v>37</v>
      </c>
      <c r="O70" s="1607"/>
    </row>
    <row r="71" spans="1:15" x14ac:dyDescent="0.2">
      <c r="A71" s="1607" t="s">
        <v>603</v>
      </c>
      <c r="B71" s="1607" t="s">
        <v>873</v>
      </c>
      <c r="C71" s="1607" t="s">
        <v>25</v>
      </c>
      <c r="D71" s="1607">
        <v>48</v>
      </c>
      <c r="E71" s="1607">
        <v>116280</v>
      </c>
      <c r="F71" s="1607">
        <v>7</v>
      </c>
      <c r="G71" s="1607">
        <v>3</v>
      </c>
      <c r="H71" s="1607">
        <v>4</v>
      </c>
      <c r="I71" s="1607">
        <v>4</v>
      </c>
      <c r="J71" s="1607"/>
      <c r="K71" s="1607"/>
      <c r="L71" s="1607">
        <v>11</v>
      </c>
      <c r="M71" s="1607">
        <v>3</v>
      </c>
      <c r="N71" s="1607">
        <v>16</v>
      </c>
      <c r="O71" s="1607"/>
    </row>
    <row r="72" spans="1:15" x14ac:dyDescent="0.2">
      <c r="A72" s="1607" t="s">
        <v>603</v>
      </c>
      <c r="B72" s="1607" t="s">
        <v>873</v>
      </c>
      <c r="C72" s="1607" t="s">
        <v>26</v>
      </c>
      <c r="D72" s="1607">
        <v>48</v>
      </c>
      <c r="E72" s="1607">
        <v>86810</v>
      </c>
      <c r="F72" s="1607">
        <v>4</v>
      </c>
      <c r="G72" s="1607">
        <v>5</v>
      </c>
      <c r="H72" s="1607"/>
      <c r="I72" s="1607">
        <v>2</v>
      </c>
      <c r="J72" s="1607">
        <v>4</v>
      </c>
      <c r="K72" s="1607"/>
      <c r="L72" s="1607">
        <v>20</v>
      </c>
      <c r="M72" s="1607">
        <v>4</v>
      </c>
      <c r="N72" s="1607">
        <v>9</v>
      </c>
      <c r="O72" s="1607"/>
    </row>
    <row r="73" spans="1:15" x14ac:dyDescent="0.2">
      <c r="A73" s="1607" t="s">
        <v>603</v>
      </c>
      <c r="B73" s="1607" t="s">
        <v>873</v>
      </c>
      <c r="C73" s="1607" t="s">
        <v>27</v>
      </c>
      <c r="D73" s="1607">
        <v>21</v>
      </c>
      <c r="E73" s="1607">
        <v>51450</v>
      </c>
      <c r="F73" s="1607"/>
      <c r="G73" s="1607"/>
      <c r="H73" s="1607">
        <v>4</v>
      </c>
      <c r="I73" s="1607">
        <v>7</v>
      </c>
      <c r="J73" s="1607"/>
      <c r="K73" s="1607"/>
      <c r="L73" s="1607">
        <v>5</v>
      </c>
      <c r="M73" s="1607">
        <v>2</v>
      </c>
      <c r="N73" s="1607">
        <v>2</v>
      </c>
      <c r="O73" s="1607">
        <v>1</v>
      </c>
    </row>
    <row r="74" spans="1:15" x14ac:dyDescent="0.2">
      <c r="A74" s="1607" t="s">
        <v>603</v>
      </c>
      <c r="B74" s="1607" t="s">
        <v>873</v>
      </c>
      <c r="C74" s="1607" t="s">
        <v>28</v>
      </c>
      <c r="D74" s="1607">
        <v>83</v>
      </c>
      <c r="E74" s="1607">
        <v>149200</v>
      </c>
      <c r="F74" s="1607">
        <v>12</v>
      </c>
      <c r="G74" s="1607">
        <v>4</v>
      </c>
      <c r="H74" s="1607">
        <v>2</v>
      </c>
      <c r="I74" s="1607">
        <v>5</v>
      </c>
      <c r="J74" s="1607"/>
      <c r="K74" s="1607"/>
      <c r="L74" s="1607">
        <v>29</v>
      </c>
      <c r="M74" s="1607">
        <v>3</v>
      </c>
      <c r="N74" s="1607">
        <v>27</v>
      </c>
      <c r="O74" s="1607">
        <v>1</v>
      </c>
    </row>
    <row r="75" spans="1:15" x14ac:dyDescent="0.2">
      <c r="A75" s="1607" t="s">
        <v>603</v>
      </c>
      <c r="B75" s="1607" t="s">
        <v>873</v>
      </c>
      <c r="C75" s="1607" t="s">
        <v>29</v>
      </c>
      <c r="D75" s="1607">
        <v>70</v>
      </c>
      <c r="E75" s="1607">
        <v>148710</v>
      </c>
      <c r="F75" s="1607">
        <v>17</v>
      </c>
      <c r="G75" s="1607">
        <v>2</v>
      </c>
      <c r="H75" s="1607"/>
      <c r="I75" s="1607">
        <v>5</v>
      </c>
      <c r="J75" s="1607"/>
      <c r="K75" s="1607"/>
      <c r="L75" s="1607">
        <v>25</v>
      </c>
      <c r="M75" s="1607">
        <v>7</v>
      </c>
      <c r="N75" s="1607">
        <v>10</v>
      </c>
      <c r="O75" s="1607">
        <v>4</v>
      </c>
    </row>
    <row r="76" spans="1:15" x14ac:dyDescent="0.2">
      <c r="A76" s="1607" t="s">
        <v>603</v>
      </c>
      <c r="B76" s="1607" t="s">
        <v>873</v>
      </c>
      <c r="C76" s="1607" t="s">
        <v>30</v>
      </c>
      <c r="D76" s="1607">
        <v>60</v>
      </c>
      <c r="E76" s="1607">
        <v>121940</v>
      </c>
      <c r="F76" s="1607">
        <v>4</v>
      </c>
      <c r="G76" s="1607">
        <v>2</v>
      </c>
      <c r="H76" s="1607">
        <v>1</v>
      </c>
      <c r="I76" s="1607">
        <v>4</v>
      </c>
      <c r="J76" s="1607"/>
      <c r="K76" s="1607"/>
      <c r="L76" s="1607">
        <v>33</v>
      </c>
      <c r="M76" s="1607">
        <v>4</v>
      </c>
      <c r="N76" s="1607">
        <v>11</v>
      </c>
      <c r="O76" s="1607">
        <v>1</v>
      </c>
    </row>
    <row r="77" spans="1:15" x14ac:dyDescent="0.2">
      <c r="A77" s="1607" t="s">
        <v>603</v>
      </c>
      <c r="B77" s="1607" t="s">
        <v>873</v>
      </c>
      <c r="C77" s="1607" t="s">
        <v>31</v>
      </c>
      <c r="D77" s="1607">
        <v>57</v>
      </c>
      <c r="E77" s="1607">
        <v>108130</v>
      </c>
      <c r="F77" s="1607">
        <v>5</v>
      </c>
      <c r="G77" s="1607"/>
      <c r="H77" s="1607"/>
      <c r="I77" s="1607">
        <v>5</v>
      </c>
      <c r="J77" s="1607"/>
      <c r="K77" s="1607"/>
      <c r="L77" s="1607">
        <v>25</v>
      </c>
      <c r="M77" s="1607">
        <v>13</v>
      </c>
      <c r="N77" s="1607">
        <v>7</v>
      </c>
      <c r="O77" s="1607">
        <v>2</v>
      </c>
    </row>
    <row r="78" spans="1:15" x14ac:dyDescent="0.2">
      <c r="A78" s="1607" t="s">
        <v>603</v>
      </c>
      <c r="B78" s="1607" t="s">
        <v>873</v>
      </c>
      <c r="C78" s="1607" t="s">
        <v>32</v>
      </c>
      <c r="D78" s="1607">
        <v>75</v>
      </c>
      <c r="E78" s="1607">
        <v>104840</v>
      </c>
      <c r="F78" s="1607">
        <v>15</v>
      </c>
      <c r="G78" s="1607">
        <v>3</v>
      </c>
      <c r="H78" s="1607">
        <v>7</v>
      </c>
      <c r="I78" s="1607">
        <v>19</v>
      </c>
      <c r="J78" s="1607">
        <v>1</v>
      </c>
      <c r="K78" s="1607"/>
      <c r="L78" s="1607">
        <v>12</v>
      </c>
      <c r="M78" s="1607">
        <v>3</v>
      </c>
      <c r="N78" s="1607">
        <v>12</v>
      </c>
      <c r="O78" s="1607">
        <v>3</v>
      </c>
    </row>
    <row r="79" spans="1:15" x14ac:dyDescent="0.2">
      <c r="A79" s="1607" t="s">
        <v>603</v>
      </c>
      <c r="B79" s="1607" t="s">
        <v>873</v>
      </c>
      <c r="C79" s="1607" t="s">
        <v>33</v>
      </c>
      <c r="D79" s="1607">
        <v>23</v>
      </c>
      <c r="E79" s="1607">
        <v>94760</v>
      </c>
      <c r="F79" s="1607">
        <v>1</v>
      </c>
      <c r="G79" s="1607">
        <v>2</v>
      </c>
      <c r="H79" s="1607"/>
      <c r="I79" s="1607">
        <v>1</v>
      </c>
      <c r="J79" s="1607"/>
      <c r="K79" s="1607"/>
      <c r="L79" s="1607">
        <v>11</v>
      </c>
      <c r="M79" s="1607">
        <v>4</v>
      </c>
      <c r="N79" s="1607">
        <v>4</v>
      </c>
      <c r="O79" s="1607"/>
    </row>
    <row r="80" spans="1:15" x14ac:dyDescent="0.2">
      <c r="A80" s="1607" t="s">
        <v>603</v>
      </c>
      <c r="B80" s="1607" t="s">
        <v>873</v>
      </c>
      <c r="C80" s="1607" t="s">
        <v>665</v>
      </c>
      <c r="D80" s="1607">
        <v>276</v>
      </c>
      <c r="E80" s="1607">
        <v>513210</v>
      </c>
      <c r="F80" s="1607">
        <v>49</v>
      </c>
      <c r="G80" s="1607">
        <v>6</v>
      </c>
      <c r="H80" s="1607">
        <v>6</v>
      </c>
      <c r="I80" s="1607">
        <v>30</v>
      </c>
      <c r="J80" s="1607">
        <v>2</v>
      </c>
      <c r="K80" s="1607">
        <v>1</v>
      </c>
      <c r="L80" s="1607">
        <v>76</v>
      </c>
      <c r="M80" s="1607">
        <v>20</v>
      </c>
      <c r="N80" s="1607">
        <v>36</v>
      </c>
      <c r="O80" s="1607">
        <v>50</v>
      </c>
    </row>
    <row r="81" spans="1:15" x14ac:dyDescent="0.2">
      <c r="A81" s="1607" t="s">
        <v>603</v>
      </c>
      <c r="B81" s="1607" t="s">
        <v>873</v>
      </c>
      <c r="C81" s="1607" t="s">
        <v>34</v>
      </c>
      <c r="D81" s="1607">
        <v>125</v>
      </c>
      <c r="E81" s="1607">
        <v>160130</v>
      </c>
      <c r="F81" s="1607">
        <v>16</v>
      </c>
      <c r="G81" s="1607">
        <v>2</v>
      </c>
      <c r="H81" s="1607">
        <v>6</v>
      </c>
      <c r="I81" s="1607">
        <v>48</v>
      </c>
      <c r="J81" s="1607"/>
      <c r="K81" s="1607">
        <v>1</v>
      </c>
      <c r="L81" s="1607">
        <v>22</v>
      </c>
      <c r="M81" s="1607">
        <v>5</v>
      </c>
      <c r="N81" s="1607">
        <v>20</v>
      </c>
      <c r="O81" s="1607">
        <v>5</v>
      </c>
    </row>
    <row r="82" spans="1:15" x14ac:dyDescent="0.2">
      <c r="A82" s="1607" t="s">
        <v>603</v>
      </c>
      <c r="B82" s="1607" t="s">
        <v>873</v>
      </c>
      <c r="C82" s="1607" t="s">
        <v>35</v>
      </c>
      <c r="D82" s="1607">
        <v>203</v>
      </c>
      <c r="E82" s="1607">
        <v>371410</v>
      </c>
      <c r="F82" s="1607">
        <v>24</v>
      </c>
      <c r="G82" s="1607">
        <v>14</v>
      </c>
      <c r="H82" s="1607">
        <v>11</v>
      </c>
      <c r="I82" s="1607">
        <v>58</v>
      </c>
      <c r="J82" s="1607">
        <v>3</v>
      </c>
      <c r="K82" s="1607"/>
      <c r="L82" s="1607">
        <v>54</v>
      </c>
      <c r="M82" s="1607">
        <v>10</v>
      </c>
      <c r="N82" s="1607">
        <v>25</v>
      </c>
      <c r="O82" s="1607">
        <v>4</v>
      </c>
    </row>
    <row r="83" spans="1:15" x14ac:dyDescent="0.2">
      <c r="A83" s="1607" t="s">
        <v>603</v>
      </c>
      <c r="B83" s="1607" t="s">
        <v>873</v>
      </c>
      <c r="C83" s="1607" t="s">
        <v>36</v>
      </c>
      <c r="D83" s="1607">
        <v>380</v>
      </c>
      <c r="E83" s="1607">
        <v>621020</v>
      </c>
      <c r="F83" s="1607">
        <v>42</v>
      </c>
      <c r="G83" s="1607">
        <v>22</v>
      </c>
      <c r="H83" s="1607"/>
      <c r="I83" s="1607">
        <v>11</v>
      </c>
      <c r="J83" s="1607">
        <v>3</v>
      </c>
      <c r="K83" s="1607">
        <v>2</v>
      </c>
      <c r="L83" s="1607">
        <v>174</v>
      </c>
      <c r="M83" s="1607">
        <v>47</v>
      </c>
      <c r="N83" s="1607">
        <v>73</v>
      </c>
      <c r="O83" s="1607">
        <v>6</v>
      </c>
    </row>
    <row r="84" spans="1:15" x14ac:dyDescent="0.2">
      <c r="A84" s="1607" t="s">
        <v>603</v>
      </c>
      <c r="B84" s="1607" t="s">
        <v>873</v>
      </c>
      <c r="C84" s="1607" t="s">
        <v>37</v>
      </c>
      <c r="D84" s="1607">
        <v>119</v>
      </c>
      <c r="E84" s="1607">
        <v>235180</v>
      </c>
      <c r="F84" s="1607">
        <v>7</v>
      </c>
      <c r="G84" s="1607">
        <v>15</v>
      </c>
      <c r="H84" s="1607">
        <v>16</v>
      </c>
      <c r="I84" s="1607">
        <v>6</v>
      </c>
      <c r="J84" s="1607">
        <v>3</v>
      </c>
      <c r="K84" s="1607"/>
      <c r="L84" s="1607">
        <v>30</v>
      </c>
      <c r="M84" s="1607">
        <v>9</v>
      </c>
      <c r="N84" s="1607">
        <v>31</v>
      </c>
      <c r="O84" s="1607">
        <v>2</v>
      </c>
    </row>
    <row r="85" spans="1:15" x14ac:dyDescent="0.2">
      <c r="A85" s="1607" t="s">
        <v>603</v>
      </c>
      <c r="B85" s="1607" t="s">
        <v>873</v>
      </c>
      <c r="C85" s="1607" t="s">
        <v>38</v>
      </c>
      <c r="D85" s="1607">
        <v>53</v>
      </c>
      <c r="E85" s="1607">
        <v>78760</v>
      </c>
      <c r="F85" s="1607">
        <v>6</v>
      </c>
      <c r="G85" s="1607">
        <v>3</v>
      </c>
      <c r="H85" s="1607">
        <v>1</v>
      </c>
      <c r="I85" s="1607"/>
      <c r="J85" s="1607">
        <v>1</v>
      </c>
      <c r="K85" s="1607"/>
      <c r="L85" s="1607">
        <v>21</v>
      </c>
      <c r="M85" s="1607">
        <v>8</v>
      </c>
      <c r="N85" s="1607">
        <v>12</v>
      </c>
      <c r="O85" s="1607">
        <v>1</v>
      </c>
    </row>
    <row r="86" spans="1:15" x14ac:dyDescent="0.2">
      <c r="A86" s="1607" t="s">
        <v>603</v>
      </c>
      <c r="B86" s="1607" t="s">
        <v>873</v>
      </c>
      <c r="C86" s="1607" t="s">
        <v>39</v>
      </c>
      <c r="D86" s="1607">
        <v>104</v>
      </c>
      <c r="E86" s="1607">
        <v>90090</v>
      </c>
      <c r="F86" s="1607">
        <v>13</v>
      </c>
      <c r="G86" s="1607"/>
      <c r="H86" s="1607">
        <v>7</v>
      </c>
      <c r="I86" s="1607">
        <v>41</v>
      </c>
      <c r="J86" s="1607"/>
      <c r="K86" s="1607"/>
      <c r="L86" s="1607">
        <v>20</v>
      </c>
      <c r="M86" s="1607">
        <v>4</v>
      </c>
      <c r="N86" s="1607">
        <v>15</v>
      </c>
      <c r="O86" s="1607">
        <v>4</v>
      </c>
    </row>
    <row r="87" spans="1:15" x14ac:dyDescent="0.2">
      <c r="A87" s="1607" t="s">
        <v>603</v>
      </c>
      <c r="B87" s="1607" t="s">
        <v>873</v>
      </c>
      <c r="C87" s="1607" t="s">
        <v>40</v>
      </c>
      <c r="D87" s="1607">
        <v>39</v>
      </c>
      <c r="E87" s="1607">
        <v>95780</v>
      </c>
      <c r="F87" s="1607">
        <v>5</v>
      </c>
      <c r="G87" s="1607">
        <v>4</v>
      </c>
      <c r="H87" s="1607">
        <v>3</v>
      </c>
      <c r="I87" s="1607">
        <v>1</v>
      </c>
      <c r="J87" s="1607">
        <v>1</v>
      </c>
      <c r="K87" s="1607">
        <v>1</v>
      </c>
      <c r="L87" s="1607">
        <v>10</v>
      </c>
      <c r="M87" s="1607">
        <v>4</v>
      </c>
      <c r="N87" s="1607">
        <v>9</v>
      </c>
      <c r="O87" s="1607">
        <v>1</v>
      </c>
    </row>
    <row r="88" spans="1:15" x14ac:dyDescent="0.2">
      <c r="A88" s="1607" t="s">
        <v>603</v>
      </c>
      <c r="B88" s="1607" t="s">
        <v>873</v>
      </c>
      <c r="C88" s="1607" t="s">
        <v>393</v>
      </c>
      <c r="D88" s="1607">
        <v>14</v>
      </c>
      <c r="E88" s="1607">
        <v>26950</v>
      </c>
      <c r="F88" s="1607"/>
      <c r="G88" s="1607">
        <v>4</v>
      </c>
      <c r="H88" s="1607">
        <v>1</v>
      </c>
      <c r="I88" s="1607"/>
      <c r="J88" s="1607"/>
      <c r="K88" s="1607"/>
      <c r="L88" s="1607">
        <v>5</v>
      </c>
      <c r="M88" s="1607">
        <v>1</v>
      </c>
      <c r="N88" s="1607">
        <v>3</v>
      </c>
      <c r="O88" s="1607"/>
    </row>
    <row r="89" spans="1:15" x14ac:dyDescent="0.2">
      <c r="A89" s="1607" t="s">
        <v>603</v>
      </c>
      <c r="B89" s="1607" t="s">
        <v>873</v>
      </c>
      <c r="C89" s="1607" t="s">
        <v>41</v>
      </c>
      <c r="D89" s="1607">
        <v>58</v>
      </c>
      <c r="E89" s="1607">
        <v>135790</v>
      </c>
      <c r="F89" s="1607">
        <v>6</v>
      </c>
      <c r="G89" s="1607">
        <v>3</v>
      </c>
      <c r="H89" s="1607">
        <v>2</v>
      </c>
      <c r="I89" s="1607">
        <v>5</v>
      </c>
      <c r="J89" s="1607">
        <v>1</v>
      </c>
      <c r="K89" s="1607"/>
      <c r="L89" s="1607">
        <v>27</v>
      </c>
      <c r="M89" s="1607">
        <v>3</v>
      </c>
      <c r="N89" s="1607">
        <v>9</v>
      </c>
      <c r="O89" s="1607">
        <v>2</v>
      </c>
    </row>
    <row r="90" spans="1:15" x14ac:dyDescent="0.2">
      <c r="A90" s="1607" t="s">
        <v>603</v>
      </c>
      <c r="B90" s="1607" t="s">
        <v>873</v>
      </c>
      <c r="C90" s="1607" t="s">
        <v>42</v>
      </c>
      <c r="D90" s="1607">
        <v>223</v>
      </c>
      <c r="E90" s="1607">
        <v>339960</v>
      </c>
      <c r="F90" s="1607">
        <v>12</v>
      </c>
      <c r="G90" s="1607">
        <v>8</v>
      </c>
      <c r="H90" s="1607"/>
      <c r="I90" s="1607">
        <v>10</v>
      </c>
      <c r="J90" s="1607">
        <v>2</v>
      </c>
      <c r="K90" s="1607">
        <v>1</v>
      </c>
      <c r="L90" s="1607">
        <v>100</v>
      </c>
      <c r="M90" s="1607">
        <v>27</v>
      </c>
      <c r="N90" s="1607">
        <v>53</v>
      </c>
      <c r="O90" s="1607">
        <v>10</v>
      </c>
    </row>
    <row r="91" spans="1:15" x14ac:dyDescent="0.2">
      <c r="A91" s="1607" t="s">
        <v>603</v>
      </c>
      <c r="B91" s="1607" t="s">
        <v>873</v>
      </c>
      <c r="C91" s="1607" t="s">
        <v>43</v>
      </c>
      <c r="D91" s="1607">
        <v>6</v>
      </c>
      <c r="E91" s="1607">
        <v>22000</v>
      </c>
      <c r="F91" s="1607"/>
      <c r="G91" s="1607">
        <v>1</v>
      </c>
      <c r="H91" s="1607"/>
      <c r="I91" s="1607"/>
      <c r="J91" s="1607"/>
      <c r="K91" s="1607"/>
      <c r="L91" s="1607">
        <v>1</v>
      </c>
      <c r="M91" s="1607"/>
      <c r="N91" s="1607">
        <v>4</v>
      </c>
      <c r="O91" s="1607"/>
    </row>
    <row r="92" spans="1:15" x14ac:dyDescent="0.2">
      <c r="A92" s="1607" t="s">
        <v>603</v>
      </c>
      <c r="B92" s="1607" t="s">
        <v>873</v>
      </c>
      <c r="C92" s="1607" t="s">
        <v>44</v>
      </c>
      <c r="D92" s="1607">
        <v>61</v>
      </c>
      <c r="E92" s="1607">
        <v>151100</v>
      </c>
      <c r="F92" s="1607">
        <v>4</v>
      </c>
      <c r="G92" s="1607">
        <v>3</v>
      </c>
      <c r="H92" s="1607">
        <v>2</v>
      </c>
      <c r="I92" s="1607">
        <v>9</v>
      </c>
      <c r="J92" s="1607"/>
      <c r="K92" s="1607"/>
      <c r="L92" s="1607">
        <v>20</v>
      </c>
      <c r="M92" s="1607">
        <v>2</v>
      </c>
      <c r="N92" s="1607">
        <v>21</v>
      </c>
      <c r="O92" s="1607"/>
    </row>
    <row r="93" spans="1:15" x14ac:dyDescent="0.2">
      <c r="A93" s="1607" t="s">
        <v>603</v>
      </c>
      <c r="B93" s="1607" t="s">
        <v>873</v>
      </c>
      <c r="C93" s="1607" t="s">
        <v>45</v>
      </c>
      <c r="D93" s="1607">
        <v>103</v>
      </c>
      <c r="E93" s="1607">
        <v>176830</v>
      </c>
      <c r="F93" s="1607">
        <v>12</v>
      </c>
      <c r="G93" s="1607">
        <v>6</v>
      </c>
      <c r="H93" s="1607">
        <v>2</v>
      </c>
      <c r="I93" s="1607">
        <v>12</v>
      </c>
      <c r="J93" s="1607"/>
      <c r="K93" s="1607"/>
      <c r="L93" s="1607">
        <v>47</v>
      </c>
      <c r="M93" s="1607">
        <v>11</v>
      </c>
      <c r="N93" s="1607">
        <v>12</v>
      </c>
      <c r="O93" s="1607">
        <v>1</v>
      </c>
    </row>
    <row r="94" spans="1:15" x14ac:dyDescent="0.2">
      <c r="A94" s="1607" t="s">
        <v>603</v>
      </c>
      <c r="B94" s="1607" t="s">
        <v>873</v>
      </c>
      <c r="C94" s="1607" t="s">
        <v>46</v>
      </c>
      <c r="D94" s="1607">
        <v>69</v>
      </c>
      <c r="E94" s="1607">
        <v>115020</v>
      </c>
      <c r="F94" s="1607">
        <v>3</v>
      </c>
      <c r="G94" s="1607">
        <v>3</v>
      </c>
      <c r="H94" s="1607">
        <v>2</v>
      </c>
      <c r="I94" s="1607">
        <v>37</v>
      </c>
      <c r="J94" s="1607"/>
      <c r="K94" s="1607">
        <v>1</v>
      </c>
      <c r="L94" s="1607">
        <v>13</v>
      </c>
      <c r="M94" s="1607">
        <v>3</v>
      </c>
      <c r="N94" s="1607">
        <v>6</v>
      </c>
      <c r="O94" s="1607">
        <v>1</v>
      </c>
    </row>
    <row r="95" spans="1:15" x14ac:dyDescent="0.2">
      <c r="A95" s="1607" t="s">
        <v>603</v>
      </c>
      <c r="B95" s="1607" t="s">
        <v>873</v>
      </c>
      <c r="C95" s="1607" t="s">
        <v>47</v>
      </c>
      <c r="D95" s="1607">
        <v>13</v>
      </c>
      <c r="E95" s="1607">
        <v>23080</v>
      </c>
      <c r="F95" s="1607"/>
      <c r="G95" s="1607">
        <v>7</v>
      </c>
      <c r="H95" s="1607"/>
      <c r="I95" s="1607"/>
      <c r="J95" s="1607">
        <v>1</v>
      </c>
      <c r="K95" s="1607"/>
      <c r="L95" s="1607">
        <v>3</v>
      </c>
      <c r="M95" s="1607"/>
      <c r="N95" s="1607">
        <v>2</v>
      </c>
      <c r="O95" s="1607"/>
    </row>
    <row r="96" spans="1:15" x14ac:dyDescent="0.2">
      <c r="A96" s="1607" t="s">
        <v>603</v>
      </c>
      <c r="B96" s="1607" t="s">
        <v>873</v>
      </c>
      <c r="C96" s="1607" t="s">
        <v>48</v>
      </c>
      <c r="D96" s="1607">
        <v>55</v>
      </c>
      <c r="E96" s="1607">
        <v>112680</v>
      </c>
      <c r="F96" s="1607">
        <v>4</v>
      </c>
      <c r="G96" s="1607">
        <v>5</v>
      </c>
      <c r="H96" s="1607">
        <v>2</v>
      </c>
      <c r="I96" s="1607">
        <v>3</v>
      </c>
      <c r="J96" s="1607">
        <v>1</v>
      </c>
      <c r="K96" s="1607"/>
      <c r="L96" s="1607">
        <v>22</v>
      </c>
      <c r="M96" s="1607">
        <v>4</v>
      </c>
      <c r="N96" s="1607">
        <v>14</v>
      </c>
      <c r="O96" s="1607"/>
    </row>
    <row r="97" spans="1:15" x14ac:dyDescent="0.2">
      <c r="A97" s="1607" t="s">
        <v>603</v>
      </c>
      <c r="B97" s="1607" t="s">
        <v>873</v>
      </c>
      <c r="C97" s="1607" t="s">
        <v>49</v>
      </c>
      <c r="D97" s="1607">
        <v>191</v>
      </c>
      <c r="E97" s="1607">
        <v>318170</v>
      </c>
      <c r="F97" s="1607">
        <v>21</v>
      </c>
      <c r="G97" s="1607">
        <v>4</v>
      </c>
      <c r="H97" s="1607">
        <v>4</v>
      </c>
      <c r="I97" s="1607">
        <v>10</v>
      </c>
      <c r="J97" s="1607">
        <v>1</v>
      </c>
      <c r="K97" s="1607">
        <v>1</v>
      </c>
      <c r="L97" s="1607">
        <v>81</v>
      </c>
      <c r="M97" s="1607">
        <v>22</v>
      </c>
      <c r="N97" s="1607">
        <v>42</v>
      </c>
      <c r="O97" s="1607">
        <v>5</v>
      </c>
    </row>
    <row r="98" spans="1:15" x14ac:dyDescent="0.2">
      <c r="A98" s="1607" t="s">
        <v>603</v>
      </c>
      <c r="B98" s="1607" t="s">
        <v>873</v>
      </c>
      <c r="C98" s="1607" t="s">
        <v>50</v>
      </c>
      <c r="D98" s="1607">
        <v>44</v>
      </c>
      <c r="E98" s="1607">
        <v>94000</v>
      </c>
      <c r="F98" s="1607">
        <v>5</v>
      </c>
      <c r="G98" s="1607">
        <v>2</v>
      </c>
      <c r="H98" s="1607">
        <v>2</v>
      </c>
      <c r="I98" s="1607">
        <v>7</v>
      </c>
      <c r="J98" s="1607">
        <v>1</v>
      </c>
      <c r="K98" s="1607"/>
      <c r="L98" s="1607">
        <v>18</v>
      </c>
      <c r="M98" s="1607">
        <v>3</v>
      </c>
      <c r="N98" s="1607">
        <v>5</v>
      </c>
      <c r="O98" s="1607">
        <v>1</v>
      </c>
    </row>
    <row r="99" spans="1:15" x14ac:dyDescent="0.2">
      <c r="A99" s="1607" t="s">
        <v>603</v>
      </c>
      <c r="B99" s="1607" t="s">
        <v>873</v>
      </c>
      <c r="C99" s="1607" t="s">
        <v>51</v>
      </c>
      <c r="D99" s="1607">
        <v>64</v>
      </c>
      <c r="E99" s="1607">
        <v>89610</v>
      </c>
      <c r="F99" s="1607">
        <v>5</v>
      </c>
      <c r="G99" s="1607">
        <v>2</v>
      </c>
      <c r="H99" s="1607">
        <v>3</v>
      </c>
      <c r="I99" s="1607"/>
      <c r="J99" s="1607">
        <v>1</v>
      </c>
      <c r="K99" s="1607"/>
      <c r="L99" s="1607">
        <v>41</v>
      </c>
      <c r="M99" s="1607"/>
      <c r="N99" s="1607">
        <v>11</v>
      </c>
      <c r="O99" s="1607">
        <v>1</v>
      </c>
    </row>
    <row r="100" spans="1:15" x14ac:dyDescent="0.2">
      <c r="A100" s="1607" t="s">
        <v>603</v>
      </c>
      <c r="B100" s="1607" t="s">
        <v>873</v>
      </c>
      <c r="C100" s="1607" t="s">
        <v>52</v>
      </c>
      <c r="D100" s="1607">
        <v>179</v>
      </c>
      <c r="E100" s="1607">
        <v>181310</v>
      </c>
      <c r="F100" s="1607">
        <v>15</v>
      </c>
      <c r="G100" s="1607">
        <v>6</v>
      </c>
      <c r="H100" s="1607">
        <v>2</v>
      </c>
      <c r="I100" s="1607">
        <v>79</v>
      </c>
      <c r="J100" s="1607"/>
      <c r="K100" s="1607"/>
      <c r="L100" s="1607">
        <v>45</v>
      </c>
      <c r="M100" s="1607">
        <v>11</v>
      </c>
      <c r="N100" s="1607">
        <v>16</v>
      </c>
      <c r="O100" s="1607">
        <v>5</v>
      </c>
    </row>
  </sheetData>
  <pageMargins left="0.7" right="0.7" top="0.75" bottom="0.75" header="0.3" footer="0.3"/>
  <pageSetup paperSize="9" fitToHeight="50" orientation="landscape"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fitToPage="1"/>
  </sheetPr>
  <dimension ref="A1:M10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20.42578125" bestFit="1" customWidth="1"/>
    <col min="2" max="2" width="7.85546875" bestFit="1" customWidth="1"/>
    <col min="3" max="3" width="28.140625" bestFit="1" customWidth="1"/>
    <col min="4" max="4" width="7.140625" bestFit="1" customWidth="1"/>
    <col min="5" max="5" width="17.28515625" bestFit="1" customWidth="1"/>
    <col min="6" max="6" width="12.140625" bestFit="1" customWidth="1"/>
    <col min="7" max="7" width="26.42578125" bestFit="1" customWidth="1"/>
    <col min="8" max="8" width="19.42578125" bestFit="1" customWidth="1"/>
    <col min="9" max="9" width="16.7109375" bestFit="1" customWidth="1"/>
    <col min="10" max="10" width="29.42578125" bestFit="1" customWidth="1"/>
    <col min="11" max="11" width="30.85546875" bestFit="1" customWidth="1"/>
    <col min="12" max="12" width="30.7109375" bestFit="1" customWidth="1"/>
    <col min="13" max="13" width="25" bestFit="1" customWidth="1"/>
  </cols>
  <sheetData>
    <row r="1" spans="1:13" x14ac:dyDescent="0.2"/>
    <row r="4" spans="1:13" x14ac:dyDescent="0.2">
      <c r="A4" s="1606" t="s">
        <v>1081</v>
      </c>
      <c r="B4" s="1606" t="s">
        <v>4</v>
      </c>
      <c r="C4" s="1606" t="s">
        <v>1202</v>
      </c>
      <c r="D4" s="1606" t="s">
        <v>1086</v>
      </c>
      <c r="E4" s="1606" t="s">
        <v>1203</v>
      </c>
      <c r="F4" s="1606" t="s">
        <v>1204</v>
      </c>
      <c r="G4" s="1606" t="s">
        <v>1205</v>
      </c>
      <c r="H4" s="1606" t="s">
        <v>1206</v>
      </c>
      <c r="I4" s="1606" t="s">
        <v>1207</v>
      </c>
      <c r="J4" s="1606" t="s">
        <v>1197</v>
      </c>
      <c r="K4" s="1606" t="s">
        <v>1208</v>
      </c>
      <c r="L4" s="1606" t="s">
        <v>1209</v>
      </c>
      <c r="M4" s="1606" t="s">
        <v>1210</v>
      </c>
    </row>
    <row r="5" spans="1:13" x14ac:dyDescent="0.2">
      <c r="A5" s="1607" t="s">
        <v>23</v>
      </c>
      <c r="B5" s="1607" t="s">
        <v>160</v>
      </c>
      <c r="C5" s="1607">
        <v>441</v>
      </c>
      <c r="D5" s="1607">
        <v>230350</v>
      </c>
      <c r="E5" s="1607">
        <v>22</v>
      </c>
      <c r="F5" s="1607">
        <v>75</v>
      </c>
      <c r="G5" s="1607"/>
      <c r="H5" s="1607">
        <v>9</v>
      </c>
      <c r="I5" s="1607">
        <v>2</v>
      </c>
      <c r="J5" s="1607"/>
      <c r="K5" s="1607">
        <v>194</v>
      </c>
      <c r="L5" s="1607">
        <v>20</v>
      </c>
      <c r="M5" s="1607">
        <v>119</v>
      </c>
    </row>
    <row r="6" spans="1:13" x14ac:dyDescent="0.2">
      <c r="A6" s="1607" t="s">
        <v>24</v>
      </c>
      <c r="B6" s="1607" t="s">
        <v>160</v>
      </c>
      <c r="C6" s="1607">
        <v>184</v>
      </c>
      <c r="D6" s="1607">
        <v>261960</v>
      </c>
      <c r="E6" s="1607">
        <v>8</v>
      </c>
      <c r="F6" s="1607">
        <v>59</v>
      </c>
      <c r="G6" s="1607">
        <v>4</v>
      </c>
      <c r="H6" s="1607">
        <v>13</v>
      </c>
      <c r="I6" s="1607">
        <v>3</v>
      </c>
      <c r="J6" s="1607">
        <v>1</v>
      </c>
      <c r="K6" s="1607">
        <v>16</v>
      </c>
      <c r="L6" s="1607">
        <v>7</v>
      </c>
      <c r="M6" s="1607">
        <v>73</v>
      </c>
    </row>
    <row r="7" spans="1:13" x14ac:dyDescent="0.2">
      <c r="A7" s="1607" t="s">
        <v>25</v>
      </c>
      <c r="B7" s="1607" t="s">
        <v>160</v>
      </c>
      <c r="C7" s="1607">
        <v>147</v>
      </c>
      <c r="D7" s="1607">
        <v>116900</v>
      </c>
      <c r="E7" s="1607">
        <v>5</v>
      </c>
      <c r="F7" s="1607">
        <v>70</v>
      </c>
      <c r="G7" s="1607">
        <v>2</v>
      </c>
      <c r="H7" s="1607">
        <v>6</v>
      </c>
      <c r="I7" s="1607">
        <v>1</v>
      </c>
      <c r="J7" s="1607">
        <v>19</v>
      </c>
      <c r="K7" s="1607">
        <v>27</v>
      </c>
      <c r="L7" s="1607">
        <v>5</v>
      </c>
      <c r="M7" s="1607">
        <v>12</v>
      </c>
    </row>
    <row r="8" spans="1:13" x14ac:dyDescent="0.2">
      <c r="A8" s="1607" t="s">
        <v>26</v>
      </c>
      <c r="B8" s="1607" t="s">
        <v>160</v>
      </c>
      <c r="C8" s="1607">
        <v>68</v>
      </c>
      <c r="D8" s="1607">
        <v>86890</v>
      </c>
      <c r="E8" s="1607">
        <v>3</v>
      </c>
      <c r="F8" s="1607">
        <v>26</v>
      </c>
      <c r="G8" s="1607"/>
      <c r="H8" s="1607">
        <v>5</v>
      </c>
      <c r="I8" s="1607">
        <v>2</v>
      </c>
      <c r="J8" s="1607">
        <v>12</v>
      </c>
      <c r="K8" s="1607">
        <v>10</v>
      </c>
      <c r="L8" s="1607">
        <v>3</v>
      </c>
      <c r="M8" s="1607">
        <v>7</v>
      </c>
    </row>
    <row r="9" spans="1:13" x14ac:dyDescent="0.2">
      <c r="A9" s="1607" t="s">
        <v>27</v>
      </c>
      <c r="B9" s="1607" t="s">
        <v>160</v>
      </c>
      <c r="C9" s="1607">
        <v>102</v>
      </c>
      <c r="D9" s="1607">
        <v>51360</v>
      </c>
      <c r="E9" s="1607">
        <v>3</v>
      </c>
      <c r="F9" s="1607">
        <v>31</v>
      </c>
      <c r="G9" s="1607">
        <v>2</v>
      </c>
      <c r="H9" s="1607">
        <v>2</v>
      </c>
      <c r="I9" s="1607"/>
      <c r="J9" s="1607">
        <v>12</v>
      </c>
      <c r="K9" s="1607">
        <v>22</v>
      </c>
      <c r="L9" s="1607">
        <v>6</v>
      </c>
      <c r="M9" s="1607">
        <v>24</v>
      </c>
    </row>
    <row r="10" spans="1:13" x14ac:dyDescent="0.2">
      <c r="A10" s="1607" t="s">
        <v>28</v>
      </c>
      <c r="B10" s="1607" t="s">
        <v>160</v>
      </c>
      <c r="C10" s="1607">
        <v>155</v>
      </c>
      <c r="D10" s="1607">
        <v>149670</v>
      </c>
      <c r="E10" s="1607">
        <v>8</v>
      </c>
      <c r="F10" s="1607">
        <v>64</v>
      </c>
      <c r="G10" s="1607"/>
      <c r="H10" s="1607">
        <v>11</v>
      </c>
      <c r="I10" s="1607">
        <v>3</v>
      </c>
      <c r="J10" s="1607">
        <v>8</v>
      </c>
      <c r="K10" s="1607">
        <v>24</v>
      </c>
      <c r="L10" s="1607">
        <v>5</v>
      </c>
      <c r="M10" s="1607">
        <v>32</v>
      </c>
    </row>
    <row r="11" spans="1:13" x14ac:dyDescent="0.2">
      <c r="A11" s="1607" t="s">
        <v>29</v>
      </c>
      <c r="B11" s="1607" t="s">
        <v>160</v>
      </c>
      <c r="C11" s="1607">
        <v>680</v>
      </c>
      <c r="D11" s="1607">
        <v>148210</v>
      </c>
      <c r="E11" s="1607">
        <v>28</v>
      </c>
      <c r="F11" s="1607">
        <v>211</v>
      </c>
      <c r="G11" s="1607">
        <v>5</v>
      </c>
      <c r="H11" s="1607">
        <v>15</v>
      </c>
      <c r="I11" s="1607">
        <v>3</v>
      </c>
      <c r="J11" s="1607">
        <v>74</v>
      </c>
      <c r="K11" s="1607">
        <v>212</v>
      </c>
      <c r="L11" s="1607">
        <v>35</v>
      </c>
      <c r="M11" s="1607">
        <v>97</v>
      </c>
    </row>
    <row r="12" spans="1:13" x14ac:dyDescent="0.2">
      <c r="A12" s="1607" t="s">
        <v>30</v>
      </c>
      <c r="B12" s="1607" t="s">
        <v>160</v>
      </c>
      <c r="C12" s="1607">
        <v>616</v>
      </c>
      <c r="D12" s="1607">
        <v>122060</v>
      </c>
      <c r="E12" s="1607">
        <v>12</v>
      </c>
      <c r="F12" s="1607">
        <v>216</v>
      </c>
      <c r="G12" s="1607">
        <v>3</v>
      </c>
      <c r="H12" s="1607">
        <v>12</v>
      </c>
      <c r="I12" s="1607">
        <v>4</v>
      </c>
      <c r="J12" s="1607">
        <v>65</v>
      </c>
      <c r="K12" s="1607">
        <v>124</v>
      </c>
      <c r="L12" s="1607">
        <v>34</v>
      </c>
      <c r="M12" s="1607">
        <v>146</v>
      </c>
    </row>
    <row r="13" spans="1:13" x14ac:dyDescent="0.2">
      <c r="A13" s="1607" t="s">
        <v>31</v>
      </c>
      <c r="B13" s="1607" t="s">
        <v>160</v>
      </c>
      <c r="C13" s="1607">
        <v>171</v>
      </c>
      <c r="D13" s="1607">
        <v>106960</v>
      </c>
      <c r="E13" s="1607">
        <v>4</v>
      </c>
      <c r="F13" s="1607">
        <v>56</v>
      </c>
      <c r="G13" s="1607">
        <v>3</v>
      </c>
      <c r="H13" s="1607">
        <v>5</v>
      </c>
      <c r="I13" s="1607">
        <v>1</v>
      </c>
      <c r="J13" s="1607">
        <v>31</v>
      </c>
      <c r="K13" s="1607">
        <v>21</v>
      </c>
      <c r="L13" s="1607">
        <v>7</v>
      </c>
      <c r="M13" s="1607">
        <v>43</v>
      </c>
    </row>
    <row r="14" spans="1:13" x14ac:dyDescent="0.2">
      <c r="A14" s="1607" t="s">
        <v>32</v>
      </c>
      <c r="B14" s="1607" t="s">
        <v>160</v>
      </c>
      <c r="C14" s="1607">
        <v>195</v>
      </c>
      <c r="D14" s="1607">
        <v>103050</v>
      </c>
      <c r="E14" s="1607">
        <v>4</v>
      </c>
      <c r="F14" s="1607">
        <v>69</v>
      </c>
      <c r="G14" s="1607">
        <v>8</v>
      </c>
      <c r="H14" s="1607">
        <v>6</v>
      </c>
      <c r="I14" s="1607">
        <v>1</v>
      </c>
      <c r="J14" s="1607">
        <v>41</v>
      </c>
      <c r="K14" s="1607">
        <v>34</v>
      </c>
      <c r="L14" s="1607">
        <v>5</v>
      </c>
      <c r="M14" s="1607">
        <v>27</v>
      </c>
    </row>
    <row r="15" spans="1:13" x14ac:dyDescent="0.2">
      <c r="A15" s="1607" t="s">
        <v>33</v>
      </c>
      <c r="B15" s="1607" t="s">
        <v>160</v>
      </c>
      <c r="C15" s="1607">
        <v>147</v>
      </c>
      <c r="D15" s="1607">
        <v>92940</v>
      </c>
      <c r="E15" s="1607">
        <v>6</v>
      </c>
      <c r="F15" s="1607">
        <v>41</v>
      </c>
      <c r="G15" s="1607">
        <v>1</v>
      </c>
      <c r="H15" s="1607">
        <v>10</v>
      </c>
      <c r="I15" s="1607"/>
      <c r="J15" s="1607">
        <v>27</v>
      </c>
      <c r="K15" s="1607">
        <v>26</v>
      </c>
      <c r="L15" s="1607">
        <v>8</v>
      </c>
      <c r="M15" s="1607">
        <v>28</v>
      </c>
    </row>
    <row r="16" spans="1:13" x14ac:dyDescent="0.2">
      <c r="A16" s="1607" t="s">
        <v>665</v>
      </c>
      <c r="B16" s="1607" t="s">
        <v>160</v>
      </c>
      <c r="C16" s="1607">
        <v>1893</v>
      </c>
      <c r="D16" s="1607">
        <v>498810</v>
      </c>
      <c r="E16" s="1607">
        <v>22</v>
      </c>
      <c r="F16" s="1607">
        <v>419</v>
      </c>
      <c r="G16" s="1607">
        <v>1</v>
      </c>
      <c r="H16" s="1607">
        <v>34</v>
      </c>
      <c r="I16" s="1607">
        <v>2</v>
      </c>
      <c r="J16" s="1607">
        <v>310</v>
      </c>
      <c r="K16" s="1607">
        <v>726</v>
      </c>
      <c r="L16" s="1607">
        <v>143</v>
      </c>
      <c r="M16" s="1607">
        <v>236</v>
      </c>
    </row>
    <row r="17" spans="1:13" x14ac:dyDescent="0.2">
      <c r="A17" s="1607" t="s">
        <v>34</v>
      </c>
      <c r="B17" s="1607" t="s">
        <v>160</v>
      </c>
      <c r="C17" s="1607">
        <v>343</v>
      </c>
      <c r="D17" s="1607">
        <v>158460</v>
      </c>
      <c r="E17" s="1607">
        <v>6</v>
      </c>
      <c r="F17" s="1607">
        <v>143</v>
      </c>
      <c r="G17" s="1607">
        <v>5</v>
      </c>
      <c r="H17" s="1607">
        <v>8</v>
      </c>
      <c r="I17" s="1607">
        <v>1</v>
      </c>
      <c r="J17" s="1607">
        <v>62</v>
      </c>
      <c r="K17" s="1607">
        <v>64</v>
      </c>
      <c r="L17" s="1607">
        <v>6</v>
      </c>
      <c r="M17" s="1607">
        <v>48</v>
      </c>
    </row>
    <row r="18" spans="1:13" x14ac:dyDescent="0.2">
      <c r="A18" s="1607" t="s">
        <v>35</v>
      </c>
      <c r="B18" s="1607" t="s">
        <v>160</v>
      </c>
      <c r="C18" s="1607">
        <v>740</v>
      </c>
      <c r="D18" s="1607">
        <v>368080</v>
      </c>
      <c r="E18" s="1607">
        <v>17</v>
      </c>
      <c r="F18" s="1607">
        <v>270</v>
      </c>
      <c r="G18" s="1607">
        <v>2</v>
      </c>
      <c r="H18" s="1607">
        <v>25</v>
      </c>
      <c r="I18" s="1607">
        <v>6</v>
      </c>
      <c r="J18" s="1607">
        <v>65</v>
      </c>
      <c r="K18" s="1607">
        <v>119</v>
      </c>
      <c r="L18" s="1607">
        <v>16</v>
      </c>
      <c r="M18" s="1607">
        <v>220</v>
      </c>
    </row>
    <row r="19" spans="1:13" x14ac:dyDescent="0.2">
      <c r="A19" s="1607" t="s">
        <v>36</v>
      </c>
      <c r="B19" s="1607" t="s">
        <v>160</v>
      </c>
      <c r="C19" s="1607">
        <v>2436</v>
      </c>
      <c r="D19" s="1607">
        <v>606340</v>
      </c>
      <c r="E19" s="1607">
        <v>72</v>
      </c>
      <c r="F19" s="1607">
        <v>499</v>
      </c>
      <c r="G19" s="1607">
        <v>3</v>
      </c>
      <c r="H19" s="1607">
        <v>45</v>
      </c>
      <c r="I19" s="1607">
        <v>9</v>
      </c>
      <c r="J19" s="1607">
        <v>301</v>
      </c>
      <c r="K19" s="1607">
        <v>793</v>
      </c>
      <c r="L19" s="1607">
        <v>76</v>
      </c>
      <c r="M19" s="1607">
        <v>638</v>
      </c>
    </row>
    <row r="20" spans="1:13" x14ac:dyDescent="0.2">
      <c r="A20" s="1607" t="s">
        <v>37</v>
      </c>
      <c r="B20" s="1607" t="s">
        <v>160</v>
      </c>
      <c r="C20" s="1607">
        <v>342</v>
      </c>
      <c r="D20" s="1607">
        <v>234110</v>
      </c>
      <c r="E20" s="1607">
        <v>9</v>
      </c>
      <c r="F20" s="1607">
        <v>214</v>
      </c>
      <c r="G20" s="1607">
        <v>2</v>
      </c>
      <c r="H20" s="1607">
        <v>12</v>
      </c>
      <c r="I20" s="1607">
        <v>1</v>
      </c>
      <c r="J20" s="1607">
        <v>24</v>
      </c>
      <c r="K20" s="1607">
        <v>46</v>
      </c>
      <c r="L20" s="1607">
        <v>2</v>
      </c>
      <c r="M20" s="1607">
        <v>32</v>
      </c>
    </row>
    <row r="21" spans="1:13" x14ac:dyDescent="0.2">
      <c r="A21" s="1607" t="s">
        <v>38</v>
      </c>
      <c r="B21" s="1607" t="s">
        <v>160</v>
      </c>
      <c r="C21" s="1607">
        <v>405</v>
      </c>
      <c r="D21" s="1607">
        <v>79500</v>
      </c>
      <c r="E21" s="1607">
        <v>16</v>
      </c>
      <c r="F21" s="1607">
        <v>161</v>
      </c>
      <c r="G21" s="1607"/>
      <c r="H21" s="1607">
        <v>8</v>
      </c>
      <c r="I21" s="1607"/>
      <c r="J21" s="1607">
        <v>50</v>
      </c>
      <c r="K21" s="1607">
        <v>66</v>
      </c>
      <c r="L21" s="1607">
        <v>19</v>
      </c>
      <c r="M21" s="1607">
        <v>85</v>
      </c>
    </row>
    <row r="22" spans="1:13" x14ac:dyDescent="0.2">
      <c r="A22" s="1607" t="s">
        <v>39</v>
      </c>
      <c r="B22" s="1607" t="s">
        <v>160</v>
      </c>
      <c r="C22" s="1607">
        <v>301</v>
      </c>
      <c r="D22" s="1607">
        <v>87390</v>
      </c>
      <c r="E22" s="1607">
        <v>4</v>
      </c>
      <c r="F22" s="1607">
        <v>112</v>
      </c>
      <c r="G22" s="1607">
        <v>6</v>
      </c>
      <c r="H22" s="1607">
        <v>6</v>
      </c>
      <c r="I22" s="1607"/>
      <c r="J22" s="1607">
        <v>49</v>
      </c>
      <c r="K22" s="1607">
        <v>53</v>
      </c>
      <c r="L22" s="1607">
        <v>18</v>
      </c>
      <c r="M22" s="1607">
        <v>53</v>
      </c>
    </row>
    <row r="23" spans="1:13" x14ac:dyDescent="0.2">
      <c r="A23" s="1607" t="s">
        <v>40</v>
      </c>
      <c r="B23" s="1607" t="s">
        <v>160</v>
      </c>
      <c r="C23" s="1607">
        <v>95</v>
      </c>
      <c r="D23" s="1607">
        <v>95510</v>
      </c>
      <c r="E23" s="1607">
        <v>3</v>
      </c>
      <c r="F23" s="1607">
        <v>46</v>
      </c>
      <c r="G23" s="1607">
        <v>1</v>
      </c>
      <c r="H23" s="1607"/>
      <c r="I23" s="1607">
        <v>1</v>
      </c>
      <c r="J23" s="1607">
        <v>2</v>
      </c>
      <c r="K23" s="1607">
        <v>12</v>
      </c>
      <c r="L23" s="1607"/>
      <c r="M23" s="1607">
        <v>30</v>
      </c>
    </row>
    <row r="24" spans="1:13" x14ac:dyDescent="0.2">
      <c r="A24" s="1607" t="s">
        <v>393</v>
      </c>
      <c r="B24" s="1607" t="s">
        <v>160</v>
      </c>
      <c r="C24" s="1607">
        <v>30</v>
      </c>
      <c r="D24" s="1607">
        <v>27070</v>
      </c>
      <c r="E24" s="1607"/>
      <c r="F24" s="1607">
        <v>26</v>
      </c>
      <c r="G24" s="1607"/>
      <c r="H24" s="1607"/>
      <c r="I24" s="1607"/>
      <c r="J24" s="1607">
        <v>1</v>
      </c>
      <c r="K24" s="1607"/>
      <c r="L24" s="1607">
        <v>2</v>
      </c>
      <c r="M24" s="1607">
        <v>1</v>
      </c>
    </row>
    <row r="25" spans="1:13" x14ac:dyDescent="0.2">
      <c r="A25" s="1607" t="s">
        <v>41</v>
      </c>
      <c r="B25" s="1607" t="s">
        <v>160</v>
      </c>
      <c r="C25" s="1607">
        <v>507</v>
      </c>
      <c r="D25" s="1607">
        <v>136130</v>
      </c>
      <c r="E25" s="1607">
        <v>11</v>
      </c>
      <c r="F25" s="1607">
        <v>180</v>
      </c>
      <c r="G25" s="1607">
        <v>1</v>
      </c>
      <c r="H25" s="1607">
        <v>10</v>
      </c>
      <c r="I25" s="1607"/>
      <c r="J25" s="1607">
        <v>98</v>
      </c>
      <c r="K25" s="1607">
        <v>106</v>
      </c>
      <c r="L25" s="1607">
        <v>18</v>
      </c>
      <c r="M25" s="1607">
        <v>83</v>
      </c>
    </row>
    <row r="26" spans="1:13" x14ac:dyDescent="0.2">
      <c r="A26" s="1607" t="s">
        <v>42</v>
      </c>
      <c r="B26" s="1607" t="s">
        <v>160</v>
      </c>
      <c r="C26" s="1607">
        <v>1540</v>
      </c>
      <c r="D26" s="1607">
        <v>338260</v>
      </c>
      <c r="E26" s="1607">
        <v>17</v>
      </c>
      <c r="F26" s="1607">
        <v>514</v>
      </c>
      <c r="G26" s="1607">
        <v>6</v>
      </c>
      <c r="H26" s="1607">
        <v>28</v>
      </c>
      <c r="I26" s="1607">
        <v>4</v>
      </c>
      <c r="J26" s="1607">
        <v>211</v>
      </c>
      <c r="K26" s="1607">
        <v>267</v>
      </c>
      <c r="L26" s="1607">
        <v>49</v>
      </c>
      <c r="M26" s="1607">
        <v>444</v>
      </c>
    </row>
    <row r="27" spans="1:13" x14ac:dyDescent="0.2">
      <c r="A27" s="1607" t="s">
        <v>43</v>
      </c>
      <c r="B27" s="1607" t="s">
        <v>160</v>
      </c>
      <c r="C27" s="1607">
        <v>13</v>
      </c>
      <c r="D27" s="1607">
        <v>21670</v>
      </c>
      <c r="E27" s="1607">
        <v>4</v>
      </c>
      <c r="F27" s="1607">
        <v>3</v>
      </c>
      <c r="G27" s="1607"/>
      <c r="H27" s="1607">
        <v>2</v>
      </c>
      <c r="I27" s="1607"/>
      <c r="J27" s="1607">
        <v>1</v>
      </c>
      <c r="K27" s="1607">
        <v>1</v>
      </c>
      <c r="L27" s="1607">
        <v>1</v>
      </c>
      <c r="M27" s="1607">
        <v>1</v>
      </c>
    </row>
    <row r="28" spans="1:13" x14ac:dyDescent="0.2">
      <c r="A28" s="1607" t="s">
        <v>44</v>
      </c>
      <c r="B28" s="1607" t="s">
        <v>160</v>
      </c>
      <c r="C28" s="1607">
        <v>144</v>
      </c>
      <c r="D28" s="1607">
        <v>149930</v>
      </c>
      <c r="E28" s="1607">
        <v>5</v>
      </c>
      <c r="F28" s="1607">
        <v>62</v>
      </c>
      <c r="G28" s="1607">
        <v>4</v>
      </c>
      <c r="H28" s="1607">
        <v>3</v>
      </c>
      <c r="I28" s="1607">
        <v>2</v>
      </c>
      <c r="J28" s="1607">
        <v>21</v>
      </c>
      <c r="K28" s="1607">
        <v>24</v>
      </c>
      <c r="L28" s="1607">
        <v>7</v>
      </c>
      <c r="M28" s="1607">
        <v>16</v>
      </c>
    </row>
    <row r="29" spans="1:13" x14ac:dyDescent="0.2">
      <c r="A29" s="1607" t="s">
        <v>45</v>
      </c>
      <c r="B29" s="1607" t="s">
        <v>160</v>
      </c>
      <c r="C29" s="1607">
        <v>566</v>
      </c>
      <c r="D29" s="1607">
        <v>174560</v>
      </c>
      <c r="E29" s="1607">
        <v>15</v>
      </c>
      <c r="F29" s="1607">
        <v>147</v>
      </c>
      <c r="G29" s="1607">
        <v>1</v>
      </c>
      <c r="H29" s="1607">
        <v>9</v>
      </c>
      <c r="I29" s="1607">
        <v>3</v>
      </c>
      <c r="J29" s="1607">
        <v>99</v>
      </c>
      <c r="K29" s="1607">
        <v>139</v>
      </c>
      <c r="L29" s="1607">
        <v>28</v>
      </c>
      <c r="M29" s="1607">
        <v>125</v>
      </c>
    </row>
    <row r="30" spans="1:13" x14ac:dyDescent="0.2">
      <c r="A30" s="1607" t="s">
        <v>46</v>
      </c>
      <c r="B30" s="1607" t="s">
        <v>160</v>
      </c>
      <c r="C30" s="1607">
        <v>92</v>
      </c>
      <c r="D30" s="1607">
        <v>114030</v>
      </c>
      <c r="E30" s="1607">
        <v>2</v>
      </c>
      <c r="F30" s="1607">
        <v>36</v>
      </c>
      <c r="G30" s="1607">
        <v>1</v>
      </c>
      <c r="H30" s="1607">
        <v>5</v>
      </c>
      <c r="I30" s="1607"/>
      <c r="J30" s="1607">
        <v>11</v>
      </c>
      <c r="K30" s="1607">
        <v>11</v>
      </c>
      <c r="L30" s="1607">
        <v>4</v>
      </c>
      <c r="M30" s="1607">
        <v>22</v>
      </c>
    </row>
    <row r="31" spans="1:13" x14ac:dyDescent="0.2">
      <c r="A31" s="1607" t="s">
        <v>47</v>
      </c>
      <c r="B31" s="1607" t="s">
        <v>160</v>
      </c>
      <c r="C31" s="1607">
        <v>11</v>
      </c>
      <c r="D31" s="1607">
        <v>23200</v>
      </c>
      <c r="E31" s="1607">
        <v>1</v>
      </c>
      <c r="F31" s="1607">
        <v>4</v>
      </c>
      <c r="G31" s="1607"/>
      <c r="H31" s="1607"/>
      <c r="I31" s="1607"/>
      <c r="J31" s="1607">
        <v>3</v>
      </c>
      <c r="K31" s="1607">
        <v>2</v>
      </c>
      <c r="L31" s="1607">
        <v>1</v>
      </c>
      <c r="M31" s="1607"/>
    </row>
    <row r="32" spans="1:13" x14ac:dyDescent="0.2">
      <c r="A32" s="1607" t="s">
        <v>48</v>
      </c>
      <c r="B32" s="1607" t="s">
        <v>160</v>
      </c>
      <c r="C32" s="1607">
        <v>211</v>
      </c>
      <c r="D32" s="1607">
        <v>112400</v>
      </c>
      <c r="E32" s="1607">
        <v>5</v>
      </c>
      <c r="F32" s="1607">
        <v>70</v>
      </c>
      <c r="G32" s="1607">
        <v>2</v>
      </c>
      <c r="H32" s="1607"/>
      <c r="I32" s="1607"/>
      <c r="J32" s="1607">
        <v>23</v>
      </c>
      <c r="K32" s="1607">
        <v>57</v>
      </c>
      <c r="L32" s="1607">
        <v>10</v>
      </c>
      <c r="M32" s="1607">
        <v>44</v>
      </c>
    </row>
    <row r="33" spans="1:13" x14ac:dyDescent="0.2">
      <c r="A33" s="1607" t="s">
        <v>49</v>
      </c>
      <c r="B33" s="1607" t="s">
        <v>160</v>
      </c>
      <c r="C33" s="1607">
        <v>906</v>
      </c>
      <c r="D33" s="1607">
        <v>316230</v>
      </c>
      <c r="E33" s="1607">
        <v>17</v>
      </c>
      <c r="F33" s="1607">
        <v>269</v>
      </c>
      <c r="G33" s="1607"/>
      <c r="H33" s="1607">
        <v>18</v>
      </c>
      <c r="I33" s="1607">
        <v>11</v>
      </c>
      <c r="J33" s="1607">
        <v>85</v>
      </c>
      <c r="K33" s="1607">
        <v>177</v>
      </c>
      <c r="L33" s="1607">
        <v>27</v>
      </c>
      <c r="M33" s="1607">
        <v>302</v>
      </c>
    </row>
    <row r="34" spans="1:13" x14ac:dyDescent="0.2">
      <c r="A34" s="1607" t="s">
        <v>50</v>
      </c>
      <c r="B34" s="1607" t="s">
        <v>160</v>
      </c>
      <c r="C34" s="1607">
        <v>209</v>
      </c>
      <c r="D34" s="1607">
        <v>92830</v>
      </c>
      <c r="E34" s="1607">
        <v>4</v>
      </c>
      <c r="F34" s="1607">
        <v>92</v>
      </c>
      <c r="G34" s="1607">
        <v>3</v>
      </c>
      <c r="H34" s="1607">
        <v>7</v>
      </c>
      <c r="I34" s="1607"/>
      <c r="J34" s="1607">
        <v>26</v>
      </c>
      <c r="K34" s="1607">
        <v>37</v>
      </c>
      <c r="L34" s="1607">
        <v>5</v>
      </c>
      <c r="M34" s="1607">
        <v>35</v>
      </c>
    </row>
    <row r="35" spans="1:13" x14ac:dyDescent="0.2">
      <c r="A35" s="1607" t="s">
        <v>51</v>
      </c>
      <c r="B35" s="1607" t="s">
        <v>160</v>
      </c>
      <c r="C35" s="1607">
        <v>312</v>
      </c>
      <c r="D35" s="1607">
        <v>89590</v>
      </c>
      <c r="E35" s="1607">
        <v>13</v>
      </c>
      <c r="F35" s="1607">
        <v>114</v>
      </c>
      <c r="G35" s="1607">
        <v>2</v>
      </c>
      <c r="H35" s="1607">
        <v>4</v>
      </c>
      <c r="I35" s="1607">
        <v>1</v>
      </c>
      <c r="J35" s="1607">
        <v>34</v>
      </c>
      <c r="K35" s="1607">
        <v>55</v>
      </c>
      <c r="L35" s="1607">
        <v>1</v>
      </c>
      <c r="M35" s="1607">
        <v>88</v>
      </c>
    </row>
    <row r="36" spans="1:13" x14ac:dyDescent="0.2">
      <c r="A36" s="1607" t="s">
        <v>52</v>
      </c>
      <c r="B36" s="1607" t="s">
        <v>160</v>
      </c>
      <c r="C36" s="1607">
        <v>730</v>
      </c>
      <c r="D36" s="1607">
        <v>178550</v>
      </c>
      <c r="E36" s="1607">
        <v>22</v>
      </c>
      <c r="F36" s="1607">
        <v>267</v>
      </c>
      <c r="G36" s="1607">
        <v>3</v>
      </c>
      <c r="H36" s="1607">
        <v>16</v>
      </c>
      <c r="I36" s="1607">
        <v>4</v>
      </c>
      <c r="J36" s="1607">
        <v>128</v>
      </c>
      <c r="K36" s="1607">
        <v>206</v>
      </c>
      <c r="L36" s="1607">
        <v>20</v>
      </c>
      <c r="M36" s="1607">
        <v>64</v>
      </c>
    </row>
    <row r="37" spans="1:13" x14ac:dyDescent="0.2">
      <c r="A37" s="1607" t="s">
        <v>23</v>
      </c>
      <c r="B37" s="1607" t="s">
        <v>379</v>
      </c>
      <c r="C37" s="1607">
        <v>315</v>
      </c>
      <c r="D37" s="1607">
        <v>229840</v>
      </c>
      <c r="E37" s="1607">
        <v>11</v>
      </c>
      <c r="F37" s="1607">
        <v>69</v>
      </c>
      <c r="G37" s="1607"/>
      <c r="H37" s="1607">
        <v>11</v>
      </c>
      <c r="I37" s="1607"/>
      <c r="J37" s="1607">
        <v>7</v>
      </c>
      <c r="K37" s="1607">
        <v>117</v>
      </c>
      <c r="L37" s="1607">
        <v>17</v>
      </c>
      <c r="M37" s="1607">
        <v>83</v>
      </c>
    </row>
    <row r="38" spans="1:13" x14ac:dyDescent="0.2">
      <c r="A38" s="1607" t="s">
        <v>24</v>
      </c>
      <c r="B38" s="1607" t="s">
        <v>379</v>
      </c>
      <c r="C38" s="1607">
        <v>264</v>
      </c>
      <c r="D38" s="1607">
        <v>262190</v>
      </c>
      <c r="E38" s="1607">
        <v>4</v>
      </c>
      <c r="F38" s="1607">
        <v>106</v>
      </c>
      <c r="G38" s="1607">
        <v>1</v>
      </c>
      <c r="H38" s="1607">
        <v>9</v>
      </c>
      <c r="I38" s="1607">
        <v>2</v>
      </c>
      <c r="J38" s="1607">
        <v>17</v>
      </c>
      <c r="K38" s="1607">
        <v>39</v>
      </c>
      <c r="L38" s="1607">
        <v>13</v>
      </c>
      <c r="M38" s="1607">
        <v>73</v>
      </c>
    </row>
    <row r="39" spans="1:13" x14ac:dyDescent="0.2">
      <c r="A39" s="1607" t="s">
        <v>25</v>
      </c>
      <c r="B39" s="1607" t="s">
        <v>379</v>
      </c>
      <c r="C39" s="1607">
        <v>126</v>
      </c>
      <c r="D39" s="1607">
        <v>116520</v>
      </c>
      <c r="E39" s="1607">
        <v>5</v>
      </c>
      <c r="F39" s="1607">
        <v>50</v>
      </c>
      <c r="G39" s="1607">
        <v>3</v>
      </c>
      <c r="H39" s="1607">
        <v>4</v>
      </c>
      <c r="I39" s="1607">
        <v>1</v>
      </c>
      <c r="J39" s="1607">
        <v>18</v>
      </c>
      <c r="K39" s="1607">
        <v>23</v>
      </c>
      <c r="L39" s="1607">
        <v>4</v>
      </c>
      <c r="M39" s="1607">
        <v>18</v>
      </c>
    </row>
    <row r="40" spans="1:13" x14ac:dyDescent="0.2">
      <c r="A40" s="1607" t="s">
        <v>26</v>
      </c>
      <c r="B40" s="1607" t="s">
        <v>379</v>
      </c>
      <c r="C40" s="1607">
        <v>122</v>
      </c>
      <c r="D40" s="1607">
        <v>87130</v>
      </c>
      <c r="E40" s="1607">
        <v>5</v>
      </c>
      <c r="F40" s="1607">
        <v>64</v>
      </c>
      <c r="G40" s="1607">
        <v>2</v>
      </c>
      <c r="H40" s="1607">
        <v>2</v>
      </c>
      <c r="I40" s="1607">
        <v>3</v>
      </c>
      <c r="J40" s="1607">
        <v>18</v>
      </c>
      <c r="K40" s="1607">
        <v>20</v>
      </c>
      <c r="L40" s="1607">
        <v>1</v>
      </c>
      <c r="M40" s="1607">
        <v>7</v>
      </c>
    </row>
    <row r="41" spans="1:13" x14ac:dyDescent="0.2">
      <c r="A41" s="1607" t="s">
        <v>27</v>
      </c>
      <c r="B41" s="1607" t="s">
        <v>379</v>
      </c>
      <c r="C41" s="1607">
        <v>84</v>
      </c>
      <c r="D41" s="1607">
        <v>51350</v>
      </c>
      <c r="E41" s="1607">
        <v>3</v>
      </c>
      <c r="F41" s="1607">
        <v>25</v>
      </c>
      <c r="G41" s="1607"/>
      <c r="H41" s="1607">
        <v>6</v>
      </c>
      <c r="I41" s="1607">
        <v>1</v>
      </c>
      <c r="J41" s="1607">
        <v>11</v>
      </c>
      <c r="K41" s="1607">
        <v>19</v>
      </c>
      <c r="L41" s="1607"/>
      <c r="M41" s="1607">
        <v>19</v>
      </c>
    </row>
    <row r="42" spans="1:13" x14ac:dyDescent="0.2">
      <c r="A42" s="1607" t="s">
        <v>28</v>
      </c>
      <c r="B42" s="1607" t="s">
        <v>379</v>
      </c>
      <c r="C42" s="1607">
        <v>169</v>
      </c>
      <c r="D42" s="1607">
        <v>149520</v>
      </c>
      <c r="E42" s="1607">
        <v>4</v>
      </c>
      <c r="F42" s="1607">
        <v>58</v>
      </c>
      <c r="G42" s="1607"/>
      <c r="H42" s="1607">
        <v>6</v>
      </c>
      <c r="I42" s="1607">
        <v>1</v>
      </c>
      <c r="J42" s="1607">
        <v>19</v>
      </c>
      <c r="K42" s="1607">
        <v>36</v>
      </c>
      <c r="L42" s="1607">
        <v>9</v>
      </c>
      <c r="M42" s="1607">
        <v>36</v>
      </c>
    </row>
    <row r="43" spans="1:13" x14ac:dyDescent="0.2">
      <c r="A43" s="1607" t="s">
        <v>29</v>
      </c>
      <c r="B43" s="1607" t="s">
        <v>379</v>
      </c>
      <c r="C43" s="1607">
        <v>818</v>
      </c>
      <c r="D43" s="1607">
        <v>148270</v>
      </c>
      <c r="E43" s="1607">
        <v>15</v>
      </c>
      <c r="F43" s="1607">
        <v>272</v>
      </c>
      <c r="G43" s="1607">
        <v>2</v>
      </c>
      <c r="H43" s="1607">
        <v>26</v>
      </c>
      <c r="I43" s="1607"/>
      <c r="J43" s="1607">
        <v>79</v>
      </c>
      <c r="K43" s="1607">
        <v>301</v>
      </c>
      <c r="L43" s="1607">
        <v>40</v>
      </c>
      <c r="M43" s="1607">
        <v>83</v>
      </c>
    </row>
    <row r="44" spans="1:13" x14ac:dyDescent="0.2">
      <c r="A44" s="1607" t="s">
        <v>30</v>
      </c>
      <c r="B44" s="1607" t="s">
        <v>379</v>
      </c>
      <c r="C44" s="1607">
        <v>640</v>
      </c>
      <c r="D44" s="1607">
        <v>122200</v>
      </c>
      <c r="E44" s="1607">
        <v>10</v>
      </c>
      <c r="F44" s="1607">
        <v>199</v>
      </c>
      <c r="G44" s="1607">
        <v>6</v>
      </c>
      <c r="H44" s="1607">
        <v>9</v>
      </c>
      <c r="I44" s="1607">
        <v>1</v>
      </c>
      <c r="J44" s="1607">
        <v>69</v>
      </c>
      <c r="K44" s="1607">
        <v>165</v>
      </c>
      <c r="L44" s="1607">
        <v>23</v>
      </c>
      <c r="M44" s="1607">
        <v>158</v>
      </c>
    </row>
    <row r="45" spans="1:13" x14ac:dyDescent="0.2">
      <c r="A45" s="1607" t="s">
        <v>31</v>
      </c>
      <c r="B45" s="1607" t="s">
        <v>379</v>
      </c>
      <c r="C45" s="1607">
        <v>180</v>
      </c>
      <c r="D45" s="1607">
        <v>107540</v>
      </c>
      <c r="E45" s="1607">
        <v>7</v>
      </c>
      <c r="F45" s="1607">
        <v>54</v>
      </c>
      <c r="G45" s="1607"/>
      <c r="H45" s="1607">
        <v>4</v>
      </c>
      <c r="I45" s="1607">
        <v>2</v>
      </c>
      <c r="J45" s="1607">
        <v>20</v>
      </c>
      <c r="K45" s="1607">
        <v>44</v>
      </c>
      <c r="L45" s="1607">
        <v>4</v>
      </c>
      <c r="M45" s="1607">
        <v>45</v>
      </c>
    </row>
    <row r="46" spans="1:13" x14ac:dyDescent="0.2">
      <c r="A46" s="1607" t="s">
        <v>32</v>
      </c>
      <c r="B46" s="1607" t="s">
        <v>379</v>
      </c>
      <c r="C46" s="1607">
        <v>255</v>
      </c>
      <c r="D46" s="1607">
        <v>104090</v>
      </c>
      <c r="E46" s="1607">
        <v>3</v>
      </c>
      <c r="F46" s="1607">
        <v>79</v>
      </c>
      <c r="G46" s="1607">
        <v>4</v>
      </c>
      <c r="H46" s="1607">
        <v>8</v>
      </c>
      <c r="I46" s="1607"/>
      <c r="J46" s="1607">
        <v>54</v>
      </c>
      <c r="K46" s="1607">
        <v>43</v>
      </c>
      <c r="L46" s="1607">
        <v>14</v>
      </c>
      <c r="M46" s="1607">
        <v>50</v>
      </c>
    </row>
    <row r="47" spans="1:13" x14ac:dyDescent="0.2">
      <c r="A47" s="1607" t="s">
        <v>33</v>
      </c>
      <c r="B47" s="1607" t="s">
        <v>379</v>
      </c>
      <c r="C47" s="1607">
        <v>152</v>
      </c>
      <c r="D47" s="1607">
        <v>93810</v>
      </c>
      <c r="E47" s="1607">
        <v>7</v>
      </c>
      <c r="F47" s="1607">
        <v>57</v>
      </c>
      <c r="G47" s="1607">
        <v>2</v>
      </c>
      <c r="H47" s="1607">
        <v>8</v>
      </c>
      <c r="I47" s="1607"/>
      <c r="J47" s="1607">
        <v>23</v>
      </c>
      <c r="K47" s="1607">
        <v>19</v>
      </c>
      <c r="L47" s="1607">
        <v>3</v>
      </c>
      <c r="M47" s="1607">
        <v>33</v>
      </c>
    </row>
    <row r="48" spans="1:13" x14ac:dyDescent="0.2">
      <c r="A48" s="1607" t="s">
        <v>665</v>
      </c>
      <c r="B48" s="1607" t="s">
        <v>379</v>
      </c>
      <c r="C48" s="1607">
        <v>1874</v>
      </c>
      <c r="D48" s="1607">
        <v>507170</v>
      </c>
      <c r="E48" s="1607">
        <v>9</v>
      </c>
      <c r="F48" s="1607">
        <v>387</v>
      </c>
      <c r="G48" s="1607"/>
      <c r="H48" s="1607">
        <v>46</v>
      </c>
      <c r="I48" s="1607">
        <v>3</v>
      </c>
      <c r="J48" s="1607">
        <v>324</v>
      </c>
      <c r="K48" s="1607">
        <v>710</v>
      </c>
      <c r="L48" s="1607">
        <v>120</v>
      </c>
      <c r="M48" s="1607">
        <v>275</v>
      </c>
    </row>
    <row r="49" spans="1:13" x14ac:dyDescent="0.2">
      <c r="A49" s="1607" t="s">
        <v>34</v>
      </c>
      <c r="B49" s="1607" t="s">
        <v>379</v>
      </c>
      <c r="C49" s="1607">
        <v>412</v>
      </c>
      <c r="D49" s="1607">
        <v>159380</v>
      </c>
      <c r="E49" s="1607">
        <v>7</v>
      </c>
      <c r="F49" s="1607">
        <v>179</v>
      </c>
      <c r="G49" s="1607"/>
      <c r="H49" s="1607">
        <v>6</v>
      </c>
      <c r="I49" s="1607"/>
      <c r="J49" s="1607">
        <v>58</v>
      </c>
      <c r="K49" s="1607">
        <v>79</v>
      </c>
      <c r="L49" s="1607">
        <v>20</v>
      </c>
      <c r="M49" s="1607">
        <v>63</v>
      </c>
    </row>
    <row r="50" spans="1:13" x14ac:dyDescent="0.2">
      <c r="A50" s="1607" t="s">
        <v>35</v>
      </c>
      <c r="B50" s="1607" t="s">
        <v>379</v>
      </c>
      <c r="C50" s="1607">
        <v>737</v>
      </c>
      <c r="D50" s="1607">
        <v>370330</v>
      </c>
      <c r="E50" s="1607">
        <v>17</v>
      </c>
      <c r="F50" s="1607">
        <v>287</v>
      </c>
      <c r="G50" s="1607">
        <v>5</v>
      </c>
      <c r="H50" s="1607">
        <v>23</v>
      </c>
      <c r="I50" s="1607">
        <v>2</v>
      </c>
      <c r="J50" s="1607">
        <v>84</v>
      </c>
      <c r="K50" s="1607">
        <v>116</v>
      </c>
      <c r="L50" s="1607">
        <v>22</v>
      </c>
      <c r="M50" s="1607">
        <v>181</v>
      </c>
    </row>
    <row r="51" spans="1:13" x14ac:dyDescent="0.2">
      <c r="A51" s="1607" t="s">
        <v>36</v>
      </c>
      <c r="B51" s="1607" t="s">
        <v>379</v>
      </c>
      <c r="C51" s="1607">
        <v>2559</v>
      </c>
      <c r="D51" s="1607">
        <v>615070</v>
      </c>
      <c r="E51" s="1607">
        <v>41</v>
      </c>
      <c r="F51" s="1607">
        <v>488</v>
      </c>
      <c r="G51" s="1607">
        <v>3</v>
      </c>
      <c r="H51" s="1607">
        <v>33</v>
      </c>
      <c r="I51" s="1607">
        <v>7</v>
      </c>
      <c r="J51" s="1607">
        <v>306</v>
      </c>
      <c r="K51" s="1607">
        <v>892</v>
      </c>
      <c r="L51" s="1607">
        <v>70</v>
      </c>
      <c r="M51" s="1607">
        <v>719</v>
      </c>
    </row>
    <row r="52" spans="1:13" x14ac:dyDescent="0.2">
      <c r="A52" s="1607" t="s">
        <v>37</v>
      </c>
      <c r="B52" s="1607" t="s">
        <v>379</v>
      </c>
      <c r="C52" s="1607">
        <v>360</v>
      </c>
      <c r="D52" s="1607">
        <v>234770</v>
      </c>
      <c r="E52" s="1607">
        <v>11</v>
      </c>
      <c r="F52" s="1607">
        <v>242</v>
      </c>
      <c r="G52" s="1607">
        <v>4</v>
      </c>
      <c r="H52" s="1607">
        <v>2</v>
      </c>
      <c r="I52" s="1607">
        <v>2</v>
      </c>
      <c r="J52" s="1607">
        <v>27</v>
      </c>
      <c r="K52" s="1607">
        <v>40</v>
      </c>
      <c r="L52" s="1607">
        <v>8</v>
      </c>
      <c r="M52" s="1607">
        <v>24</v>
      </c>
    </row>
    <row r="53" spans="1:13" x14ac:dyDescent="0.2">
      <c r="A53" s="1607" t="s">
        <v>38</v>
      </c>
      <c r="B53" s="1607" t="s">
        <v>379</v>
      </c>
      <c r="C53" s="1607">
        <v>569</v>
      </c>
      <c r="D53" s="1607">
        <v>79160</v>
      </c>
      <c r="E53" s="1607">
        <v>13</v>
      </c>
      <c r="F53" s="1607">
        <v>281</v>
      </c>
      <c r="G53" s="1607"/>
      <c r="H53" s="1607">
        <v>7</v>
      </c>
      <c r="I53" s="1607">
        <v>3</v>
      </c>
      <c r="J53" s="1607">
        <v>57</v>
      </c>
      <c r="K53" s="1607">
        <v>101</v>
      </c>
      <c r="L53" s="1607">
        <v>11</v>
      </c>
      <c r="M53" s="1607">
        <v>96</v>
      </c>
    </row>
    <row r="54" spans="1:13" x14ac:dyDescent="0.2">
      <c r="A54" s="1607" t="s">
        <v>39</v>
      </c>
      <c r="B54" s="1607" t="s">
        <v>379</v>
      </c>
      <c r="C54" s="1607">
        <v>371</v>
      </c>
      <c r="D54" s="1607">
        <v>88610</v>
      </c>
      <c r="E54" s="1607">
        <v>5</v>
      </c>
      <c r="F54" s="1607">
        <v>106</v>
      </c>
      <c r="G54" s="1607">
        <v>8</v>
      </c>
      <c r="H54" s="1607">
        <v>19</v>
      </c>
      <c r="I54" s="1607">
        <v>1</v>
      </c>
      <c r="J54" s="1607">
        <v>69</v>
      </c>
      <c r="K54" s="1607">
        <v>62</v>
      </c>
      <c r="L54" s="1607">
        <v>22</v>
      </c>
      <c r="M54" s="1607">
        <v>79</v>
      </c>
    </row>
    <row r="55" spans="1:13" x14ac:dyDescent="0.2">
      <c r="A55" s="1607" t="s">
        <v>40</v>
      </c>
      <c r="B55" s="1607" t="s">
        <v>379</v>
      </c>
      <c r="C55" s="1607">
        <v>127</v>
      </c>
      <c r="D55" s="1607">
        <v>96070</v>
      </c>
      <c r="E55" s="1607">
        <v>5</v>
      </c>
      <c r="F55" s="1607">
        <v>66</v>
      </c>
      <c r="G55" s="1607">
        <v>1</v>
      </c>
      <c r="H55" s="1607">
        <v>6</v>
      </c>
      <c r="I55" s="1607">
        <v>3</v>
      </c>
      <c r="J55" s="1607">
        <v>6</v>
      </c>
      <c r="K55" s="1607">
        <v>12</v>
      </c>
      <c r="L55" s="1607">
        <v>3</v>
      </c>
      <c r="M55" s="1607">
        <v>25</v>
      </c>
    </row>
    <row r="56" spans="1:13" x14ac:dyDescent="0.2">
      <c r="A56" s="1607" t="s">
        <v>393</v>
      </c>
      <c r="B56" s="1607" t="s">
        <v>379</v>
      </c>
      <c r="C56" s="1607">
        <v>52</v>
      </c>
      <c r="D56" s="1607">
        <v>26900</v>
      </c>
      <c r="E56" s="1607">
        <v>1</v>
      </c>
      <c r="F56" s="1607">
        <v>44</v>
      </c>
      <c r="G56" s="1607">
        <v>1</v>
      </c>
      <c r="H56" s="1607"/>
      <c r="I56" s="1607"/>
      <c r="J56" s="1607"/>
      <c r="K56" s="1607">
        <v>1</v>
      </c>
      <c r="L56" s="1607"/>
      <c r="M56" s="1607">
        <v>5</v>
      </c>
    </row>
    <row r="57" spans="1:13" x14ac:dyDescent="0.2">
      <c r="A57" s="1607" t="s">
        <v>41</v>
      </c>
      <c r="B57" s="1607" t="s">
        <v>379</v>
      </c>
      <c r="C57" s="1607">
        <v>621</v>
      </c>
      <c r="D57" s="1607">
        <v>135890</v>
      </c>
      <c r="E57" s="1607">
        <v>16</v>
      </c>
      <c r="F57" s="1607">
        <v>203</v>
      </c>
      <c r="G57" s="1607">
        <v>3</v>
      </c>
      <c r="H57" s="1607">
        <v>14</v>
      </c>
      <c r="I57" s="1607">
        <v>2</v>
      </c>
      <c r="J57" s="1607">
        <v>108</v>
      </c>
      <c r="K57" s="1607">
        <v>103</v>
      </c>
      <c r="L57" s="1607">
        <v>19</v>
      </c>
      <c r="M57" s="1607">
        <v>153</v>
      </c>
    </row>
    <row r="58" spans="1:13" x14ac:dyDescent="0.2">
      <c r="A58" s="1607" t="s">
        <v>42</v>
      </c>
      <c r="B58" s="1607" t="s">
        <v>379</v>
      </c>
      <c r="C58" s="1607">
        <v>1484</v>
      </c>
      <c r="D58" s="1607">
        <v>339390</v>
      </c>
      <c r="E58" s="1607">
        <v>14</v>
      </c>
      <c r="F58" s="1607">
        <v>479</v>
      </c>
      <c r="G58" s="1607">
        <v>2</v>
      </c>
      <c r="H58" s="1607">
        <v>20</v>
      </c>
      <c r="I58" s="1607">
        <v>3</v>
      </c>
      <c r="J58" s="1607">
        <v>216</v>
      </c>
      <c r="K58" s="1607">
        <v>208</v>
      </c>
      <c r="L58" s="1607">
        <v>47</v>
      </c>
      <c r="M58" s="1607">
        <v>495</v>
      </c>
    </row>
    <row r="59" spans="1:13" x14ac:dyDescent="0.2">
      <c r="A59" s="1607" t="s">
        <v>43</v>
      </c>
      <c r="B59" s="1607" t="s">
        <v>379</v>
      </c>
      <c r="C59" s="1607">
        <v>10</v>
      </c>
      <c r="D59" s="1607">
        <v>21850</v>
      </c>
      <c r="E59" s="1607"/>
      <c r="F59" s="1607">
        <v>5</v>
      </c>
      <c r="G59" s="1607"/>
      <c r="H59" s="1607">
        <v>1</v>
      </c>
      <c r="I59" s="1607"/>
      <c r="J59" s="1607">
        <v>1</v>
      </c>
      <c r="K59" s="1607">
        <v>2</v>
      </c>
      <c r="L59" s="1607"/>
      <c r="M59" s="1607">
        <v>1</v>
      </c>
    </row>
    <row r="60" spans="1:13" x14ac:dyDescent="0.2">
      <c r="A60" s="1607" t="s">
        <v>44</v>
      </c>
      <c r="B60" s="1607" t="s">
        <v>379</v>
      </c>
      <c r="C60" s="1607">
        <v>143</v>
      </c>
      <c r="D60" s="1607">
        <v>150680</v>
      </c>
      <c r="E60" s="1607">
        <v>3</v>
      </c>
      <c r="F60" s="1607">
        <v>70</v>
      </c>
      <c r="G60" s="1607"/>
      <c r="H60" s="1607">
        <v>9</v>
      </c>
      <c r="I60" s="1607">
        <v>3</v>
      </c>
      <c r="J60" s="1607">
        <v>14</v>
      </c>
      <c r="K60" s="1607">
        <v>23</v>
      </c>
      <c r="L60" s="1607">
        <v>4</v>
      </c>
      <c r="M60" s="1607">
        <v>17</v>
      </c>
    </row>
    <row r="61" spans="1:13" x14ac:dyDescent="0.2">
      <c r="A61" s="1607" t="s">
        <v>45</v>
      </c>
      <c r="B61" s="1607" t="s">
        <v>379</v>
      </c>
      <c r="C61" s="1607">
        <v>693</v>
      </c>
      <c r="D61" s="1607">
        <v>175930</v>
      </c>
      <c r="E61" s="1607">
        <v>30</v>
      </c>
      <c r="F61" s="1607">
        <v>205</v>
      </c>
      <c r="G61" s="1607">
        <v>3</v>
      </c>
      <c r="H61" s="1607">
        <v>13</v>
      </c>
      <c r="I61" s="1607">
        <v>7</v>
      </c>
      <c r="J61" s="1607">
        <v>110</v>
      </c>
      <c r="K61" s="1607">
        <v>142</v>
      </c>
      <c r="L61" s="1607">
        <v>12</v>
      </c>
      <c r="M61" s="1607">
        <v>171</v>
      </c>
    </row>
    <row r="62" spans="1:13" x14ac:dyDescent="0.2">
      <c r="A62" s="1607" t="s">
        <v>46</v>
      </c>
      <c r="B62" s="1607" t="s">
        <v>379</v>
      </c>
      <c r="C62" s="1607">
        <v>102</v>
      </c>
      <c r="D62" s="1607">
        <v>114530</v>
      </c>
      <c r="E62" s="1607">
        <v>3</v>
      </c>
      <c r="F62" s="1607">
        <v>43</v>
      </c>
      <c r="G62" s="1607">
        <v>2</v>
      </c>
      <c r="H62" s="1607">
        <v>8</v>
      </c>
      <c r="I62" s="1607"/>
      <c r="J62" s="1607">
        <v>14</v>
      </c>
      <c r="K62" s="1607">
        <v>6</v>
      </c>
      <c r="L62" s="1607">
        <v>8</v>
      </c>
      <c r="M62" s="1607">
        <v>18</v>
      </c>
    </row>
    <row r="63" spans="1:13" x14ac:dyDescent="0.2">
      <c r="A63" s="1607" t="s">
        <v>47</v>
      </c>
      <c r="B63" s="1607" t="s">
        <v>379</v>
      </c>
      <c r="C63" s="1607">
        <v>5</v>
      </c>
      <c r="D63" s="1607">
        <v>23200</v>
      </c>
      <c r="E63" s="1607"/>
      <c r="F63" s="1607">
        <v>3</v>
      </c>
      <c r="G63" s="1607"/>
      <c r="H63" s="1607">
        <v>1</v>
      </c>
      <c r="I63" s="1607"/>
      <c r="J63" s="1607"/>
      <c r="K63" s="1607"/>
      <c r="L63" s="1607">
        <v>1</v>
      </c>
      <c r="M63" s="1607"/>
    </row>
    <row r="64" spans="1:13" x14ac:dyDescent="0.2">
      <c r="A64" s="1607" t="s">
        <v>48</v>
      </c>
      <c r="B64" s="1607" t="s">
        <v>379</v>
      </c>
      <c r="C64" s="1607">
        <v>231</v>
      </c>
      <c r="D64" s="1607">
        <v>112470</v>
      </c>
      <c r="E64" s="1607">
        <v>1</v>
      </c>
      <c r="F64" s="1607">
        <v>58</v>
      </c>
      <c r="G64" s="1607">
        <v>2</v>
      </c>
      <c r="H64" s="1607">
        <v>5</v>
      </c>
      <c r="I64" s="1607">
        <v>3</v>
      </c>
      <c r="J64" s="1607">
        <v>38</v>
      </c>
      <c r="K64" s="1607">
        <v>71</v>
      </c>
      <c r="L64" s="1607">
        <v>8</v>
      </c>
      <c r="M64" s="1607">
        <v>45</v>
      </c>
    </row>
    <row r="65" spans="1:13" x14ac:dyDescent="0.2">
      <c r="A65" s="1607" t="s">
        <v>49</v>
      </c>
      <c r="B65" s="1607" t="s">
        <v>379</v>
      </c>
      <c r="C65" s="1607">
        <v>891</v>
      </c>
      <c r="D65" s="1607">
        <v>317100</v>
      </c>
      <c r="E65" s="1607">
        <v>16</v>
      </c>
      <c r="F65" s="1607">
        <v>241</v>
      </c>
      <c r="G65" s="1607">
        <v>3</v>
      </c>
      <c r="H65" s="1607">
        <v>20</v>
      </c>
      <c r="I65" s="1607">
        <v>6</v>
      </c>
      <c r="J65" s="1607">
        <v>82</v>
      </c>
      <c r="K65" s="1607">
        <v>213</v>
      </c>
      <c r="L65" s="1607">
        <v>22</v>
      </c>
      <c r="M65" s="1607">
        <v>288</v>
      </c>
    </row>
    <row r="66" spans="1:13" x14ac:dyDescent="0.2">
      <c r="A66" s="1607" t="s">
        <v>50</v>
      </c>
      <c r="B66" s="1607" t="s">
        <v>379</v>
      </c>
      <c r="C66" s="1607">
        <v>185</v>
      </c>
      <c r="D66" s="1607">
        <v>93750</v>
      </c>
      <c r="E66" s="1607">
        <v>3</v>
      </c>
      <c r="F66" s="1607">
        <v>94</v>
      </c>
      <c r="G66" s="1607"/>
      <c r="H66" s="1607">
        <v>4</v>
      </c>
      <c r="I66" s="1607">
        <v>1</v>
      </c>
      <c r="J66" s="1607">
        <v>24</v>
      </c>
      <c r="K66" s="1607">
        <v>25</v>
      </c>
      <c r="L66" s="1607">
        <v>8</v>
      </c>
      <c r="M66" s="1607">
        <v>26</v>
      </c>
    </row>
    <row r="67" spans="1:13" x14ac:dyDescent="0.2">
      <c r="A67" s="1607" t="s">
        <v>51</v>
      </c>
      <c r="B67" s="1607" t="s">
        <v>379</v>
      </c>
      <c r="C67" s="1607">
        <v>425</v>
      </c>
      <c r="D67" s="1607">
        <v>89860</v>
      </c>
      <c r="E67" s="1607">
        <v>18</v>
      </c>
      <c r="F67" s="1607">
        <v>138</v>
      </c>
      <c r="G67" s="1607">
        <v>2</v>
      </c>
      <c r="H67" s="1607">
        <v>8</v>
      </c>
      <c r="I67" s="1607">
        <v>1</v>
      </c>
      <c r="J67" s="1607">
        <v>47</v>
      </c>
      <c r="K67" s="1607">
        <v>95</v>
      </c>
      <c r="L67" s="1607">
        <v>4</v>
      </c>
      <c r="M67" s="1607">
        <v>112</v>
      </c>
    </row>
    <row r="68" spans="1:13" x14ac:dyDescent="0.2">
      <c r="A68" s="1607" t="s">
        <v>52</v>
      </c>
      <c r="B68" s="1607" t="s">
        <v>379</v>
      </c>
      <c r="C68" s="1607">
        <v>681</v>
      </c>
      <c r="D68" s="1607">
        <v>180130</v>
      </c>
      <c r="E68" s="1607">
        <v>17</v>
      </c>
      <c r="F68" s="1607">
        <v>271</v>
      </c>
      <c r="G68" s="1607">
        <v>1</v>
      </c>
      <c r="H68" s="1607">
        <v>15</v>
      </c>
      <c r="I68" s="1607">
        <v>4</v>
      </c>
      <c r="J68" s="1607">
        <v>101</v>
      </c>
      <c r="K68" s="1607">
        <v>176</v>
      </c>
      <c r="L68" s="1607">
        <v>19</v>
      </c>
      <c r="M68" s="1607">
        <v>77</v>
      </c>
    </row>
    <row r="69" spans="1:13" x14ac:dyDescent="0.2">
      <c r="A69" s="1607" t="s">
        <v>23</v>
      </c>
      <c r="B69" s="1607" t="s">
        <v>603</v>
      </c>
      <c r="C69" s="1607">
        <v>342</v>
      </c>
      <c r="D69" s="1607">
        <v>228800</v>
      </c>
      <c r="E69" s="1607">
        <v>4</v>
      </c>
      <c r="F69" s="1607">
        <v>107</v>
      </c>
      <c r="G69" s="1607"/>
      <c r="H69" s="1607">
        <v>13</v>
      </c>
      <c r="I69" s="1607">
        <v>1</v>
      </c>
      <c r="J69" s="1607">
        <v>11</v>
      </c>
      <c r="K69" s="1607">
        <v>126</v>
      </c>
      <c r="L69" s="1607">
        <v>14</v>
      </c>
      <c r="M69" s="1607">
        <v>66</v>
      </c>
    </row>
    <row r="70" spans="1:13" x14ac:dyDescent="0.2">
      <c r="A70" s="1607" t="s">
        <v>24</v>
      </c>
      <c r="B70" s="1607" t="s">
        <v>603</v>
      </c>
      <c r="C70" s="1607">
        <v>214</v>
      </c>
      <c r="D70" s="1607">
        <v>261800</v>
      </c>
      <c r="E70" s="1607">
        <v>8</v>
      </c>
      <c r="F70" s="1607">
        <v>106</v>
      </c>
      <c r="G70" s="1607">
        <v>1</v>
      </c>
      <c r="H70" s="1607">
        <v>5</v>
      </c>
      <c r="I70" s="1607">
        <v>1</v>
      </c>
      <c r="J70" s="1607">
        <v>17</v>
      </c>
      <c r="K70" s="1607">
        <v>26</v>
      </c>
      <c r="L70" s="1607">
        <v>6</v>
      </c>
      <c r="M70" s="1607">
        <v>44</v>
      </c>
    </row>
    <row r="71" spans="1:13" x14ac:dyDescent="0.2">
      <c r="A71" s="1607" t="s">
        <v>25</v>
      </c>
      <c r="B71" s="1607" t="s">
        <v>603</v>
      </c>
      <c r="C71" s="1607">
        <v>181</v>
      </c>
      <c r="D71" s="1607">
        <v>116280</v>
      </c>
      <c r="E71" s="1607">
        <v>8</v>
      </c>
      <c r="F71" s="1607">
        <v>74</v>
      </c>
      <c r="G71" s="1607">
        <v>3</v>
      </c>
      <c r="H71" s="1607">
        <v>5</v>
      </c>
      <c r="I71" s="1607"/>
      <c r="J71" s="1607">
        <v>27</v>
      </c>
      <c r="K71" s="1607">
        <v>34</v>
      </c>
      <c r="L71" s="1607">
        <v>5</v>
      </c>
      <c r="M71" s="1607">
        <v>25</v>
      </c>
    </row>
    <row r="72" spans="1:13" x14ac:dyDescent="0.2">
      <c r="A72" s="1607" t="s">
        <v>26</v>
      </c>
      <c r="B72" s="1607" t="s">
        <v>603</v>
      </c>
      <c r="C72" s="1607">
        <v>81</v>
      </c>
      <c r="D72" s="1607">
        <v>86810</v>
      </c>
      <c r="E72" s="1607">
        <v>6</v>
      </c>
      <c r="F72" s="1607">
        <v>42</v>
      </c>
      <c r="G72" s="1607">
        <v>1</v>
      </c>
      <c r="H72" s="1607">
        <v>5</v>
      </c>
      <c r="I72" s="1607">
        <v>3</v>
      </c>
      <c r="J72" s="1607">
        <v>4</v>
      </c>
      <c r="K72" s="1607">
        <v>14</v>
      </c>
      <c r="L72" s="1607">
        <v>2</v>
      </c>
      <c r="M72" s="1607">
        <v>4</v>
      </c>
    </row>
    <row r="73" spans="1:13" x14ac:dyDescent="0.2">
      <c r="A73" s="1607" t="s">
        <v>27</v>
      </c>
      <c r="B73" s="1607" t="s">
        <v>603</v>
      </c>
      <c r="C73" s="1607">
        <v>109</v>
      </c>
      <c r="D73" s="1607">
        <v>51450</v>
      </c>
      <c r="E73" s="1607">
        <v>5</v>
      </c>
      <c r="F73" s="1607">
        <v>56</v>
      </c>
      <c r="G73" s="1607">
        <v>2</v>
      </c>
      <c r="H73" s="1607">
        <v>3</v>
      </c>
      <c r="I73" s="1607"/>
      <c r="J73" s="1607">
        <v>14</v>
      </c>
      <c r="K73" s="1607">
        <v>9</v>
      </c>
      <c r="L73" s="1607">
        <v>1</v>
      </c>
      <c r="M73" s="1607">
        <v>19</v>
      </c>
    </row>
    <row r="74" spans="1:13" x14ac:dyDescent="0.2">
      <c r="A74" s="1607" t="s">
        <v>28</v>
      </c>
      <c r="B74" s="1607" t="s">
        <v>603</v>
      </c>
      <c r="C74" s="1607">
        <v>178</v>
      </c>
      <c r="D74" s="1607">
        <v>149200</v>
      </c>
      <c r="E74" s="1607">
        <v>4</v>
      </c>
      <c r="F74" s="1607">
        <v>74</v>
      </c>
      <c r="G74" s="1607">
        <v>2</v>
      </c>
      <c r="H74" s="1607">
        <v>5</v>
      </c>
      <c r="I74" s="1607">
        <v>1</v>
      </c>
      <c r="J74" s="1607">
        <v>24</v>
      </c>
      <c r="K74" s="1607">
        <v>27</v>
      </c>
      <c r="L74" s="1607">
        <v>3</v>
      </c>
      <c r="M74" s="1607">
        <v>38</v>
      </c>
    </row>
    <row r="75" spans="1:13" x14ac:dyDescent="0.2">
      <c r="A75" s="1607" t="s">
        <v>29</v>
      </c>
      <c r="B75" s="1607" t="s">
        <v>603</v>
      </c>
      <c r="C75" s="1607">
        <v>773</v>
      </c>
      <c r="D75" s="1607">
        <v>148710</v>
      </c>
      <c r="E75" s="1607">
        <v>13</v>
      </c>
      <c r="F75" s="1607">
        <v>270</v>
      </c>
      <c r="G75" s="1607">
        <v>1</v>
      </c>
      <c r="H75" s="1607">
        <v>19</v>
      </c>
      <c r="I75" s="1607">
        <v>3</v>
      </c>
      <c r="J75" s="1607">
        <v>78</v>
      </c>
      <c r="K75" s="1607">
        <v>262</v>
      </c>
      <c r="L75" s="1607">
        <v>53</v>
      </c>
      <c r="M75" s="1607">
        <v>74</v>
      </c>
    </row>
    <row r="76" spans="1:13" x14ac:dyDescent="0.2">
      <c r="A76" s="1607" t="s">
        <v>30</v>
      </c>
      <c r="B76" s="1607" t="s">
        <v>603</v>
      </c>
      <c r="C76" s="1607">
        <v>592</v>
      </c>
      <c r="D76" s="1607">
        <v>121940</v>
      </c>
      <c r="E76" s="1607">
        <v>10</v>
      </c>
      <c r="F76" s="1607">
        <v>224</v>
      </c>
      <c r="G76" s="1607">
        <v>1</v>
      </c>
      <c r="H76" s="1607">
        <v>17</v>
      </c>
      <c r="I76" s="1607">
        <v>3</v>
      </c>
      <c r="J76" s="1607">
        <v>65</v>
      </c>
      <c r="K76" s="1607">
        <v>132</v>
      </c>
      <c r="L76" s="1607">
        <v>15</v>
      </c>
      <c r="M76" s="1607">
        <v>125</v>
      </c>
    </row>
    <row r="77" spans="1:13" x14ac:dyDescent="0.2">
      <c r="A77" s="1607" t="s">
        <v>31</v>
      </c>
      <c r="B77" s="1607" t="s">
        <v>603</v>
      </c>
      <c r="C77" s="1607">
        <v>175</v>
      </c>
      <c r="D77" s="1607">
        <v>108130</v>
      </c>
      <c r="E77" s="1607">
        <v>4</v>
      </c>
      <c r="F77" s="1607">
        <v>58</v>
      </c>
      <c r="G77" s="1607">
        <v>2</v>
      </c>
      <c r="H77" s="1607">
        <v>5</v>
      </c>
      <c r="I77" s="1607"/>
      <c r="J77" s="1607">
        <v>16</v>
      </c>
      <c r="K77" s="1607">
        <v>39</v>
      </c>
      <c r="L77" s="1607">
        <v>11</v>
      </c>
      <c r="M77" s="1607">
        <v>40</v>
      </c>
    </row>
    <row r="78" spans="1:13" x14ac:dyDescent="0.2">
      <c r="A78" s="1607" t="s">
        <v>32</v>
      </c>
      <c r="B78" s="1607" t="s">
        <v>603</v>
      </c>
      <c r="C78" s="1607">
        <v>243</v>
      </c>
      <c r="D78" s="1607">
        <v>104840</v>
      </c>
      <c r="E78" s="1607">
        <v>2</v>
      </c>
      <c r="F78" s="1607">
        <v>118</v>
      </c>
      <c r="G78" s="1607">
        <v>2</v>
      </c>
      <c r="H78" s="1607">
        <v>5</v>
      </c>
      <c r="I78" s="1607">
        <v>1</v>
      </c>
      <c r="J78" s="1607">
        <v>53</v>
      </c>
      <c r="K78" s="1607">
        <v>25</v>
      </c>
      <c r="L78" s="1607">
        <v>13</v>
      </c>
      <c r="M78" s="1607">
        <v>24</v>
      </c>
    </row>
    <row r="79" spans="1:13" x14ac:dyDescent="0.2">
      <c r="A79" s="1607" t="s">
        <v>33</v>
      </c>
      <c r="B79" s="1607" t="s">
        <v>603</v>
      </c>
      <c r="C79" s="1607">
        <v>165</v>
      </c>
      <c r="D79" s="1607">
        <v>94760</v>
      </c>
      <c r="E79" s="1607">
        <v>6</v>
      </c>
      <c r="F79" s="1607">
        <v>37</v>
      </c>
      <c r="G79" s="1607">
        <v>1</v>
      </c>
      <c r="H79" s="1607">
        <v>8</v>
      </c>
      <c r="I79" s="1607"/>
      <c r="J79" s="1607">
        <v>24</v>
      </c>
      <c r="K79" s="1607">
        <v>40</v>
      </c>
      <c r="L79" s="1607">
        <v>6</v>
      </c>
      <c r="M79" s="1607">
        <v>43</v>
      </c>
    </row>
    <row r="80" spans="1:13" x14ac:dyDescent="0.2">
      <c r="A80" s="1607" t="s">
        <v>665</v>
      </c>
      <c r="B80" s="1607" t="s">
        <v>603</v>
      </c>
      <c r="C80" s="1607">
        <v>1786</v>
      </c>
      <c r="D80" s="1607">
        <v>513210</v>
      </c>
      <c r="E80" s="1607">
        <v>17</v>
      </c>
      <c r="F80" s="1607">
        <v>452</v>
      </c>
      <c r="G80" s="1607"/>
      <c r="H80" s="1607">
        <v>41</v>
      </c>
      <c r="I80" s="1607">
        <v>3</v>
      </c>
      <c r="J80" s="1607">
        <v>303</v>
      </c>
      <c r="K80" s="1607">
        <v>610</v>
      </c>
      <c r="L80" s="1607">
        <v>122</v>
      </c>
      <c r="M80" s="1607">
        <v>238</v>
      </c>
    </row>
    <row r="81" spans="1:13" x14ac:dyDescent="0.2">
      <c r="A81" s="1607" t="s">
        <v>34</v>
      </c>
      <c r="B81" s="1607" t="s">
        <v>603</v>
      </c>
      <c r="C81" s="1607">
        <v>428</v>
      </c>
      <c r="D81" s="1607">
        <v>160130</v>
      </c>
      <c r="E81" s="1607">
        <v>18</v>
      </c>
      <c r="F81" s="1607">
        <v>221</v>
      </c>
      <c r="G81" s="1607">
        <v>3</v>
      </c>
      <c r="H81" s="1607">
        <v>11</v>
      </c>
      <c r="I81" s="1607">
        <v>2</v>
      </c>
      <c r="J81" s="1607">
        <v>47</v>
      </c>
      <c r="K81" s="1607">
        <v>57</v>
      </c>
      <c r="L81" s="1607">
        <v>14</v>
      </c>
      <c r="M81" s="1607">
        <v>55</v>
      </c>
    </row>
    <row r="82" spans="1:13" x14ac:dyDescent="0.2">
      <c r="A82" s="1607" t="s">
        <v>35</v>
      </c>
      <c r="B82" s="1607" t="s">
        <v>603</v>
      </c>
      <c r="C82" s="1607">
        <v>944</v>
      </c>
      <c r="D82" s="1607">
        <v>371410</v>
      </c>
      <c r="E82" s="1607">
        <v>31</v>
      </c>
      <c r="F82" s="1607">
        <v>345</v>
      </c>
      <c r="G82" s="1607">
        <v>11</v>
      </c>
      <c r="H82" s="1607">
        <v>38</v>
      </c>
      <c r="I82" s="1607">
        <v>7</v>
      </c>
      <c r="J82" s="1607">
        <v>132</v>
      </c>
      <c r="K82" s="1607">
        <v>133</v>
      </c>
      <c r="L82" s="1607">
        <v>24</v>
      </c>
      <c r="M82" s="1607">
        <v>223</v>
      </c>
    </row>
    <row r="83" spans="1:13" x14ac:dyDescent="0.2">
      <c r="A83" s="1607" t="s">
        <v>36</v>
      </c>
      <c r="B83" s="1607" t="s">
        <v>603</v>
      </c>
      <c r="C83" s="1607">
        <v>2350</v>
      </c>
      <c r="D83" s="1607">
        <v>621020</v>
      </c>
      <c r="E83" s="1607">
        <v>49</v>
      </c>
      <c r="F83" s="1607">
        <v>419</v>
      </c>
      <c r="G83" s="1607">
        <v>7</v>
      </c>
      <c r="H83" s="1607">
        <v>55</v>
      </c>
      <c r="I83" s="1607">
        <v>4</v>
      </c>
      <c r="J83" s="1607">
        <v>287</v>
      </c>
      <c r="K83" s="1607">
        <v>829</v>
      </c>
      <c r="L83" s="1607">
        <v>71</v>
      </c>
      <c r="M83" s="1607">
        <v>629</v>
      </c>
    </row>
    <row r="84" spans="1:13" x14ac:dyDescent="0.2">
      <c r="A84" s="1607" t="s">
        <v>37</v>
      </c>
      <c r="B84" s="1607" t="s">
        <v>603</v>
      </c>
      <c r="C84" s="1607">
        <v>471</v>
      </c>
      <c r="D84" s="1607">
        <v>235180</v>
      </c>
      <c r="E84" s="1607">
        <v>11</v>
      </c>
      <c r="F84" s="1607">
        <v>321</v>
      </c>
      <c r="G84" s="1607">
        <v>2</v>
      </c>
      <c r="H84" s="1607">
        <v>10</v>
      </c>
      <c r="I84" s="1607">
        <v>6</v>
      </c>
      <c r="J84" s="1607">
        <v>36</v>
      </c>
      <c r="K84" s="1607">
        <v>48</v>
      </c>
      <c r="L84" s="1607">
        <v>8</v>
      </c>
      <c r="M84" s="1607">
        <v>29</v>
      </c>
    </row>
    <row r="85" spans="1:13" x14ac:dyDescent="0.2">
      <c r="A85" s="1607" t="s">
        <v>38</v>
      </c>
      <c r="B85" s="1607" t="s">
        <v>603</v>
      </c>
      <c r="C85" s="1607">
        <v>348</v>
      </c>
      <c r="D85" s="1607">
        <v>78760</v>
      </c>
      <c r="E85" s="1607">
        <v>5</v>
      </c>
      <c r="F85" s="1607">
        <v>197</v>
      </c>
      <c r="G85" s="1607">
        <v>1</v>
      </c>
      <c r="H85" s="1607">
        <v>3</v>
      </c>
      <c r="I85" s="1607">
        <v>1</v>
      </c>
      <c r="J85" s="1607">
        <v>29</v>
      </c>
      <c r="K85" s="1607">
        <v>42</v>
      </c>
      <c r="L85" s="1607">
        <v>2</v>
      </c>
      <c r="M85" s="1607">
        <v>68</v>
      </c>
    </row>
    <row r="86" spans="1:13" x14ac:dyDescent="0.2">
      <c r="A86" s="1607" t="s">
        <v>39</v>
      </c>
      <c r="B86" s="1607" t="s">
        <v>603</v>
      </c>
      <c r="C86" s="1607">
        <v>390</v>
      </c>
      <c r="D86" s="1607">
        <v>90090</v>
      </c>
      <c r="E86" s="1607">
        <v>6</v>
      </c>
      <c r="F86" s="1607">
        <v>171</v>
      </c>
      <c r="G86" s="1607">
        <v>5</v>
      </c>
      <c r="H86" s="1607">
        <v>11</v>
      </c>
      <c r="I86" s="1607">
        <v>1</v>
      </c>
      <c r="J86" s="1607">
        <v>84</v>
      </c>
      <c r="K86" s="1607">
        <v>46</v>
      </c>
      <c r="L86" s="1607">
        <v>13</v>
      </c>
      <c r="M86" s="1607">
        <v>53</v>
      </c>
    </row>
    <row r="87" spans="1:13" x14ac:dyDescent="0.2">
      <c r="A87" s="1607" t="s">
        <v>40</v>
      </c>
      <c r="B87" s="1607" t="s">
        <v>603</v>
      </c>
      <c r="C87" s="1607">
        <v>83</v>
      </c>
      <c r="D87" s="1607">
        <v>95780</v>
      </c>
      <c r="E87" s="1607">
        <v>5</v>
      </c>
      <c r="F87" s="1607">
        <v>48</v>
      </c>
      <c r="G87" s="1607">
        <v>1</v>
      </c>
      <c r="H87" s="1607">
        <v>4</v>
      </c>
      <c r="I87" s="1607"/>
      <c r="J87" s="1607">
        <v>9</v>
      </c>
      <c r="K87" s="1607">
        <v>9</v>
      </c>
      <c r="L87" s="1607"/>
      <c r="M87" s="1607">
        <v>7</v>
      </c>
    </row>
    <row r="88" spans="1:13" x14ac:dyDescent="0.2">
      <c r="A88" s="1607" t="s">
        <v>393</v>
      </c>
      <c r="B88" s="1607" t="s">
        <v>603</v>
      </c>
      <c r="C88" s="1607">
        <v>65</v>
      </c>
      <c r="D88" s="1607">
        <v>26950</v>
      </c>
      <c r="E88" s="1607"/>
      <c r="F88" s="1607">
        <v>61</v>
      </c>
      <c r="G88" s="1607"/>
      <c r="H88" s="1607">
        <v>1</v>
      </c>
      <c r="I88" s="1607"/>
      <c r="J88" s="1607">
        <v>1</v>
      </c>
      <c r="K88" s="1607">
        <v>1</v>
      </c>
      <c r="L88" s="1607"/>
      <c r="M88" s="1607">
        <v>1</v>
      </c>
    </row>
    <row r="89" spans="1:13" x14ac:dyDescent="0.2">
      <c r="A89" s="1607" t="s">
        <v>41</v>
      </c>
      <c r="B89" s="1607" t="s">
        <v>603</v>
      </c>
      <c r="C89" s="1607">
        <v>569</v>
      </c>
      <c r="D89" s="1607">
        <v>135790</v>
      </c>
      <c r="E89" s="1607">
        <v>16</v>
      </c>
      <c r="F89" s="1607">
        <v>218</v>
      </c>
      <c r="G89" s="1607">
        <v>3</v>
      </c>
      <c r="H89" s="1607">
        <v>7</v>
      </c>
      <c r="I89" s="1607">
        <v>1</v>
      </c>
      <c r="J89" s="1607">
        <v>124</v>
      </c>
      <c r="K89" s="1607">
        <v>89</v>
      </c>
      <c r="L89" s="1607">
        <v>11</v>
      </c>
      <c r="M89" s="1607">
        <v>100</v>
      </c>
    </row>
    <row r="90" spans="1:13" x14ac:dyDescent="0.2">
      <c r="A90" s="1607" t="s">
        <v>42</v>
      </c>
      <c r="B90" s="1607" t="s">
        <v>603</v>
      </c>
      <c r="C90" s="1607">
        <v>1206</v>
      </c>
      <c r="D90" s="1607">
        <v>339960</v>
      </c>
      <c r="E90" s="1607">
        <v>22</v>
      </c>
      <c r="F90" s="1607">
        <v>364</v>
      </c>
      <c r="G90" s="1607">
        <v>4</v>
      </c>
      <c r="H90" s="1607">
        <v>43</v>
      </c>
      <c r="I90" s="1607">
        <v>7</v>
      </c>
      <c r="J90" s="1607">
        <v>168</v>
      </c>
      <c r="K90" s="1607">
        <v>188</v>
      </c>
      <c r="L90" s="1607">
        <v>27</v>
      </c>
      <c r="M90" s="1607">
        <v>383</v>
      </c>
    </row>
    <row r="91" spans="1:13" x14ac:dyDescent="0.2">
      <c r="A91" s="1607" t="s">
        <v>43</v>
      </c>
      <c r="B91" s="1607" t="s">
        <v>603</v>
      </c>
      <c r="C91" s="1607">
        <v>9</v>
      </c>
      <c r="D91" s="1607">
        <v>22000</v>
      </c>
      <c r="E91" s="1607"/>
      <c r="F91" s="1607">
        <v>4</v>
      </c>
      <c r="G91" s="1607"/>
      <c r="H91" s="1607"/>
      <c r="I91" s="1607">
        <v>1</v>
      </c>
      <c r="J91" s="1607">
        <v>2</v>
      </c>
      <c r="K91" s="1607">
        <v>2</v>
      </c>
      <c r="L91" s="1607"/>
      <c r="M91" s="1607"/>
    </row>
    <row r="92" spans="1:13" x14ac:dyDescent="0.2">
      <c r="A92" s="1607" t="s">
        <v>44</v>
      </c>
      <c r="B92" s="1607" t="s">
        <v>603</v>
      </c>
      <c r="C92" s="1607">
        <v>177</v>
      </c>
      <c r="D92" s="1607">
        <v>151100</v>
      </c>
      <c r="E92" s="1607">
        <v>5</v>
      </c>
      <c r="F92" s="1607">
        <v>75</v>
      </c>
      <c r="G92" s="1607"/>
      <c r="H92" s="1607">
        <v>10</v>
      </c>
      <c r="I92" s="1607">
        <v>1</v>
      </c>
      <c r="J92" s="1607">
        <v>18</v>
      </c>
      <c r="K92" s="1607">
        <v>27</v>
      </c>
      <c r="L92" s="1607">
        <v>4</v>
      </c>
      <c r="M92" s="1607">
        <v>37</v>
      </c>
    </row>
    <row r="93" spans="1:13" x14ac:dyDescent="0.2">
      <c r="A93" s="1607" t="s">
        <v>45</v>
      </c>
      <c r="B93" s="1607" t="s">
        <v>603</v>
      </c>
      <c r="C93" s="1607">
        <v>503</v>
      </c>
      <c r="D93" s="1607">
        <v>176830</v>
      </c>
      <c r="E93" s="1607">
        <v>12</v>
      </c>
      <c r="F93" s="1607">
        <v>135</v>
      </c>
      <c r="G93" s="1607">
        <v>2</v>
      </c>
      <c r="H93" s="1607">
        <v>22</v>
      </c>
      <c r="I93" s="1607">
        <v>1</v>
      </c>
      <c r="J93" s="1607">
        <v>73</v>
      </c>
      <c r="K93" s="1607">
        <v>114</v>
      </c>
      <c r="L93" s="1607">
        <v>13</v>
      </c>
      <c r="M93" s="1607">
        <v>131</v>
      </c>
    </row>
    <row r="94" spans="1:13" x14ac:dyDescent="0.2">
      <c r="A94" s="1607" t="s">
        <v>46</v>
      </c>
      <c r="B94" s="1607" t="s">
        <v>603</v>
      </c>
      <c r="C94" s="1607">
        <v>133</v>
      </c>
      <c r="D94" s="1607">
        <v>115020</v>
      </c>
      <c r="E94" s="1607">
        <v>3</v>
      </c>
      <c r="F94" s="1607">
        <v>57</v>
      </c>
      <c r="G94" s="1607">
        <v>3</v>
      </c>
      <c r="H94" s="1607">
        <v>6</v>
      </c>
      <c r="I94" s="1607"/>
      <c r="J94" s="1607">
        <v>30</v>
      </c>
      <c r="K94" s="1607">
        <v>18</v>
      </c>
      <c r="L94" s="1607">
        <v>3</v>
      </c>
      <c r="M94" s="1607">
        <v>13</v>
      </c>
    </row>
    <row r="95" spans="1:13" x14ac:dyDescent="0.2">
      <c r="A95" s="1607" t="s">
        <v>47</v>
      </c>
      <c r="B95" s="1607" t="s">
        <v>603</v>
      </c>
      <c r="C95" s="1607">
        <v>11</v>
      </c>
      <c r="D95" s="1607">
        <v>23080</v>
      </c>
      <c r="E95" s="1607">
        <v>1</v>
      </c>
      <c r="F95" s="1607">
        <v>7</v>
      </c>
      <c r="G95" s="1607"/>
      <c r="H95" s="1607">
        <v>1</v>
      </c>
      <c r="I95" s="1607"/>
      <c r="J95" s="1607"/>
      <c r="K95" s="1607"/>
      <c r="L95" s="1607">
        <v>1</v>
      </c>
      <c r="M95" s="1607">
        <v>1</v>
      </c>
    </row>
    <row r="96" spans="1:13" x14ac:dyDescent="0.2">
      <c r="A96" s="1607" t="s">
        <v>48</v>
      </c>
      <c r="B96" s="1607" t="s">
        <v>603</v>
      </c>
      <c r="C96" s="1607">
        <v>250</v>
      </c>
      <c r="D96" s="1607">
        <v>112680</v>
      </c>
      <c r="E96" s="1607">
        <v>4</v>
      </c>
      <c r="F96" s="1607">
        <v>107</v>
      </c>
      <c r="G96" s="1607">
        <v>1</v>
      </c>
      <c r="H96" s="1607">
        <v>5</v>
      </c>
      <c r="I96" s="1607">
        <v>2</v>
      </c>
      <c r="J96" s="1607">
        <v>46</v>
      </c>
      <c r="K96" s="1607">
        <v>54</v>
      </c>
      <c r="L96" s="1607">
        <v>2</v>
      </c>
      <c r="M96" s="1607">
        <v>29</v>
      </c>
    </row>
    <row r="97" spans="1:13" x14ac:dyDescent="0.2">
      <c r="A97" s="1607" t="s">
        <v>49</v>
      </c>
      <c r="B97" s="1607" t="s">
        <v>603</v>
      </c>
      <c r="C97" s="1607">
        <v>796</v>
      </c>
      <c r="D97" s="1607">
        <v>318170</v>
      </c>
      <c r="E97" s="1607">
        <v>20</v>
      </c>
      <c r="F97" s="1607">
        <v>209</v>
      </c>
      <c r="G97" s="1607">
        <v>6</v>
      </c>
      <c r="H97" s="1607">
        <v>13</v>
      </c>
      <c r="I97" s="1607">
        <v>4</v>
      </c>
      <c r="J97" s="1607">
        <v>73</v>
      </c>
      <c r="K97" s="1607">
        <v>187</v>
      </c>
      <c r="L97" s="1607">
        <v>28</v>
      </c>
      <c r="M97" s="1607">
        <v>256</v>
      </c>
    </row>
    <row r="98" spans="1:13" x14ac:dyDescent="0.2">
      <c r="A98" s="1607" t="s">
        <v>50</v>
      </c>
      <c r="B98" s="1607" t="s">
        <v>603</v>
      </c>
      <c r="C98" s="1607">
        <v>167</v>
      </c>
      <c r="D98" s="1607">
        <v>94000</v>
      </c>
      <c r="E98" s="1607">
        <v>2</v>
      </c>
      <c r="F98" s="1607">
        <v>79</v>
      </c>
      <c r="G98" s="1607">
        <v>1</v>
      </c>
      <c r="H98" s="1607">
        <v>7</v>
      </c>
      <c r="I98" s="1607"/>
      <c r="J98" s="1607">
        <v>17</v>
      </c>
      <c r="K98" s="1607">
        <v>34</v>
      </c>
      <c r="L98" s="1607">
        <v>4</v>
      </c>
      <c r="M98" s="1607">
        <v>23</v>
      </c>
    </row>
    <row r="99" spans="1:13" x14ac:dyDescent="0.2">
      <c r="A99" s="1607" t="s">
        <v>51</v>
      </c>
      <c r="B99" s="1607" t="s">
        <v>603</v>
      </c>
      <c r="C99" s="1607">
        <v>241</v>
      </c>
      <c r="D99" s="1607">
        <v>89610</v>
      </c>
      <c r="E99" s="1607">
        <v>3</v>
      </c>
      <c r="F99" s="1607">
        <v>69</v>
      </c>
      <c r="G99" s="1607">
        <v>2</v>
      </c>
      <c r="H99" s="1607">
        <v>2</v>
      </c>
      <c r="I99" s="1607">
        <v>1</v>
      </c>
      <c r="J99" s="1607">
        <v>35</v>
      </c>
      <c r="K99" s="1607">
        <v>57</v>
      </c>
      <c r="L99" s="1607">
        <v>6</v>
      </c>
      <c r="M99" s="1607">
        <v>66</v>
      </c>
    </row>
    <row r="100" spans="1:13" x14ac:dyDescent="0.2">
      <c r="A100" s="1607" t="s">
        <v>52</v>
      </c>
      <c r="B100" s="1607" t="s">
        <v>603</v>
      </c>
      <c r="C100" s="1607">
        <v>718</v>
      </c>
      <c r="D100" s="1607">
        <v>181310</v>
      </c>
      <c r="E100" s="1607">
        <v>4</v>
      </c>
      <c r="F100" s="1607">
        <v>338</v>
      </c>
      <c r="G100" s="1607">
        <v>1</v>
      </c>
      <c r="H100" s="1607">
        <v>13</v>
      </c>
      <c r="I100" s="1607">
        <v>5</v>
      </c>
      <c r="J100" s="1607">
        <v>74</v>
      </c>
      <c r="K100" s="1607">
        <v>161</v>
      </c>
      <c r="L100" s="1607">
        <v>22</v>
      </c>
      <c r="M100" s="1607">
        <v>100</v>
      </c>
    </row>
  </sheetData>
  <pageMargins left="0.7" right="0.7" top="0.75" bottom="0.75" header="0.3" footer="0.3"/>
  <pageSetup paperSize="9" fitToHeight="50" orientation="landscape" r:id="rId1"/>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fitToPage="1"/>
  </sheetPr>
  <dimension ref="A1:G141"/>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customWidth="1"/>
    <col min="2" max="2" width="20.42578125" customWidth="1"/>
    <col min="3" max="3" width="7.140625" customWidth="1"/>
    <col min="4" max="4" width="9.7109375" bestFit="1" customWidth="1"/>
    <col min="5" max="5" width="9.28515625" customWidth="1"/>
    <col min="6" max="6" width="13.7109375" bestFit="1" customWidth="1"/>
    <col min="7" max="7" width="8.140625" bestFit="1" customWidth="1"/>
  </cols>
  <sheetData>
    <row r="1" spans="1:7" x14ac:dyDescent="0.2"/>
    <row r="4" spans="1:7" x14ac:dyDescent="0.2">
      <c r="A4" s="1606" t="s">
        <v>4</v>
      </c>
      <c r="B4" s="1606" t="s">
        <v>1211</v>
      </c>
      <c r="C4" s="1606" t="s">
        <v>1212</v>
      </c>
      <c r="D4" s="1606" t="s">
        <v>1082</v>
      </c>
      <c r="E4" s="1606" t="s">
        <v>1083</v>
      </c>
      <c r="F4" s="1606" t="s">
        <v>1084</v>
      </c>
      <c r="G4" s="1606" t="s">
        <v>1085</v>
      </c>
    </row>
    <row r="5" spans="1:7" x14ac:dyDescent="0.2">
      <c r="A5" s="1607" t="s">
        <v>160</v>
      </c>
      <c r="B5" s="1607" t="s">
        <v>62</v>
      </c>
      <c r="C5" s="1607">
        <v>8425</v>
      </c>
      <c r="D5" s="1607">
        <v>5072</v>
      </c>
      <c r="E5" s="1607">
        <v>1853</v>
      </c>
      <c r="F5" s="1607">
        <v>1164</v>
      </c>
      <c r="G5" s="1607">
        <v>336</v>
      </c>
    </row>
    <row r="6" spans="1:7" x14ac:dyDescent="0.2">
      <c r="A6" s="1607" t="s">
        <v>379</v>
      </c>
      <c r="B6" s="1607" t="s">
        <v>62</v>
      </c>
      <c r="C6" s="1607">
        <v>8209</v>
      </c>
      <c r="D6" s="1607">
        <v>4930</v>
      </c>
      <c r="E6" s="1607">
        <v>1722</v>
      </c>
      <c r="F6" s="1607">
        <v>1210</v>
      </c>
      <c r="G6" s="1607">
        <v>347</v>
      </c>
    </row>
    <row r="7" spans="1:7" x14ac:dyDescent="0.2">
      <c r="A7" s="1607" t="s">
        <v>603</v>
      </c>
      <c r="B7" s="1607" t="s">
        <v>62</v>
      </c>
      <c r="C7" s="1607">
        <v>7929</v>
      </c>
      <c r="D7" s="1607">
        <v>4752</v>
      </c>
      <c r="E7" s="1607">
        <v>1633</v>
      </c>
      <c r="F7" s="1607">
        <v>1149</v>
      </c>
      <c r="G7" s="1607">
        <v>395</v>
      </c>
    </row>
    <row r="8" spans="1:7" x14ac:dyDescent="0.2">
      <c r="A8" s="1607" t="s">
        <v>160</v>
      </c>
      <c r="B8" s="1607" t="s">
        <v>118</v>
      </c>
      <c r="C8" s="1607">
        <v>2588</v>
      </c>
      <c r="D8" s="1607">
        <v>605</v>
      </c>
      <c r="E8" s="1607">
        <v>644</v>
      </c>
      <c r="F8" s="1607">
        <v>801</v>
      </c>
      <c r="G8" s="1607">
        <v>538</v>
      </c>
    </row>
    <row r="9" spans="1:7" x14ac:dyDescent="0.2">
      <c r="A9" s="1607" t="s">
        <v>379</v>
      </c>
      <c r="B9" s="1607" t="s">
        <v>118</v>
      </c>
      <c r="C9" s="1607">
        <v>2695</v>
      </c>
      <c r="D9" s="1607">
        <v>618</v>
      </c>
      <c r="E9" s="1607">
        <v>557</v>
      </c>
      <c r="F9" s="1607">
        <v>909</v>
      </c>
      <c r="G9" s="1607">
        <v>611</v>
      </c>
    </row>
    <row r="10" spans="1:7" x14ac:dyDescent="0.2">
      <c r="A10" s="1607" t="s">
        <v>603</v>
      </c>
      <c r="B10" s="1607" t="s">
        <v>118</v>
      </c>
      <c r="C10" s="1607">
        <v>2725</v>
      </c>
      <c r="D10" s="1607">
        <v>558</v>
      </c>
      <c r="E10" s="1607">
        <v>648</v>
      </c>
      <c r="F10" s="1607">
        <v>859</v>
      </c>
      <c r="G10" s="1607">
        <v>660</v>
      </c>
    </row>
    <row r="15" spans="1:7" x14ac:dyDescent="0.2">
      <c r="A15" s="1608" t="s">
        <v>1211</v>
      </c>
      <c r="B15" s="1608" t="s">
        <v>4</v>
      </c>
      <c r="C15" s="1608" t="s">
        <v>1213</v>
      </c>
      <c r="D15" s="1608" t="s">
        <v>1082</v>
      </c>
      <c r="E15" s="1608" t="s">
        <v>1083</v>
      </c>
      <c r="F15" s="1608" t="s">
        <v>1084</v>
      </c>
      <c r="G15" s="1608" t="s">
        <v>1085</v>
      </c>
    </row>
    <row r="16" spans="1:7" x14ac:dyDescent="0.2">
      <c r="A16" s="1607" t="s">
        <v>62</v>
      </c>
      <c r="B16" s="1607" t="s">
        <v>160</v>
      </c>
      <c r="C16" s="1607">
        <v>36</v>
      </c>
      <c r="D16" s="1607">
        <v>33</v>
      </c>
      <c r="E16" s="1607">
        <v>2</v>
      </c>
      <c r="F16" s="1607">
        <v>1</v>
      </c>
      <c r="G16" s="1607"/>
    </row>
    <row r="17" spans="1:7" x14ac:dyDescent="0.2">
      <c r="A17" s="1607" t="s">
        <v>62</v>
      </c>
      <c r="B17" s="1607" t="s">
        <v>379</v>
      </c>
      <c r="C17" s="1607">
        <v>35</v>
      </c>
      <c r="D17" s="1607">
        <v>31</v>
      </c>
      <c r="E17" s="1607">
        <v>3</v>
      </c>
      <c r="F17" s="1607">
        <v>1</v>
      </c>
      <c r="G17" s="1607"/>
    </row>
    <row r="18" spans="1:7" x14ac:dyDescent="0.2">
      <c r="A18" s="1607" t="s">
        <v>62</v>
      </c>
      <c r="B18" s="1607" t="s">
        <v>603</v>
      </c>
      <c r="C18" s="1607">
        <v>42</v>
      </c>
      <c r="D18" s="1607">
        <v>35</v>
      </c>
      <c r="E18" s="1607">
        <v>3</v>
      </c>
      <c r="F18" s="1607">
        <v>3</v>
      </c>
      <c r="G18" s="1607">
        <v>1</v>
      </c>
    </row>
    <row r="19" spans="1:7" x14ac:dyDescent="0.2">
      <c r="A19" s="1607" t="s">
        <v>118</v>
      </c>
      <c r="B19" s="1607" t="s">
        <v>160</v>
      </c>
      <c r="C19" s="1607">
        <v>9</v>
      </c>
      <c r="D19" s="1607">
        <v>6</v>
      </c>
      <c r="E19" s="1607">
        <v>1</v>
      </c>
      <c r="F19" s="1607">
        <v>2</v>
      </c>
      <c r="G19" s="1607"/>
    </row>
    <row r="20" spans="1:7" x14ac:dyDescent="0.2">
      <c r="A20" s="1607" t="s">
        <v>118</v>
      </c>
      <c r="B20" s="1607" t="s">
        <v>379</v>
      </c>
      <c r="C20" s="1607">
        <v>9</v>
      </c>
      <c r="D20" s="1607">
        <v>5</v>
      </c>
      <c r="E20" s="1607"/>
      <c r="F20" s="1607">
        <v>4</v>
      </c>
      <c r="G20" s="1607"/>
    </row>
    <row r="21" spans="1:7" x14ac:dyDescent="0.2">
      <c r="A21" s="1607" t="s">
        <v>118</v>
      </c>
      <c r="B21" s="1607" t="s">
        <v>603</v>
      </c>
      <c r="C21" s="1607">
        <v>2</v>
      </c>
      <c r="D21" s="1607">
        <v>2</v>
      </c>
      <c r="E21" s="1607"/>
      <c r="F21" s="1607"/>
      <c r="G21" s="1607"/>
    </row>
    <row r="30" spans="1:7" x14ac:dyDescent="0.2">
      <c r="A30" s="1608" t="s">
        <v>1211</v>
      </c>
      <c r="B30" s="1608" t="s">
        <v>4</v>
      </c>
      <c r="C30" s="1608" t="s">
        <v>1214</v>
      </c>
      <c r="D30" s="1608" t="s">
        <v>1082</v>
      </c>
      <c r="E30" s="1608" t="s">
        <v>1083</v>
      </c>
      <c r="F30" s="1608" t="s">
        <v>1084</v>
      </c>
      <c r="G30" s="1608" t="s">
        <v>1085</v>
      </c>
    </row>
    <row r="31" spans="1:7" x14ac:dyDescent="0.2">
      <c r="A31" s="1607" t="s">
        <v>62</v>
      </c>
      <c r="B31" s="1607" t="s">
        <v>160</v>
      </c>
      <c r="C31" s="1607">
        <v>1093</v>
      </c>
      <c r="D31" s="1607">
        <v>925</v>
      </c>
      <c r="E31" s="1607">
        <v>94</v>
      </c>
      <c r="F31" s="1607">
        <v>57</v>
      </c>
      <c r="G31" s="1607">
        <v>17</v>
      </c>
    </row>
    <row r="32" spans="1:7" x14ac:dyDescent="0.2">
      <c r="A32" s="1607" t="s">
        <v>62</v>
      </c>
      <c r="B32" s="1607" t="s">
        <v>379</v>
      </c>
      <c r="C32" s="1607">
        <v>1053</v>
      </c>
      <c r="D32" s="1607">
        <v>940</v>
      </c>
      <c r="E32" s="1607">
        <v>55</v>
      </c>
      <c r="F32" s="1607">
        <v>38</v>
      </c>
      <c r="G32" s="1607">
        <v>20</v>
      </c>
    </row>
    <row r="33" spans="1:7" x14ac:dyDescent="0.2">
      <c r="A33" s="1607" t="s">
        <v>62</v>
      </c>
      <c r="B33" s="1607" t="s">
        <v>603</v>
      </c>
      <c r="C33" s="1607">
        <v>933</v>
      </c>
      <c r="D33" s="1607">
        <v>797</v>
      </c>
      <c r="E33" s="1607">
        <v>72</v>
      </c>
      <c r="F33" s="1607">
        <v>48</v>
      </c>
      <c r="G33" s="1607">
        <v>16</v>
      </c>
    </row>
    <row r="34" spans="1:7" x14ac:dyDescent="0.2">
      <c r="A34" s="1607" t="s">
        <v>118</v>
      </c>
      <c r="B34" s="1607" t="s">
        <v>160</v>
      </c>
      <c r="C34" s="1607">
        <v>183</v>
      </c>
      <c r="D34" s="1607">
        <v>138</v>
      </c>
      <c r="E34" s="1607">
        <v>23</v>
      </c>
      <c r="F34" s="1607">
        <v>4</v>
      </c>
      <c r="G34" s="1607">
        <v>18</v>
      </c>
    </row>
    <row r="35" spans="1:7" x14ac:dyDescent="0.2">
      <c r="A35" s="1607" t="s">
        <v>118</v>
      </c>
      <c r="B35" s="1607" t="s">
        <v>379</v>
      </c>
      <c r="C35" s="1607">
        <v>213</v>
      </c>
      <c r="D35" s="1607">
        <v>175</v>
      </c>
      <c r="E35" s="1607">
        <v>17</v>
      </c>
      <c r="F35" s="1607">
        <v>10</v>
      </c>
      <c r="G35" s="1607">
        <v>11</v>
      </c>
    </row>
    <row r="36" spans="1:7" x14ac:dyDescent="0.2">
      <c r="A36" s="1607" t="s">
        <v>118</v>
      </c>
      <c r="B36" s="1607" t="s">
        <v>603</v>
      </c>
      <c r="C36" s="1607">
        <v>180</v>
      </c>
      <c r="D36" s="1607">
        <v>124</v>
      </c>
      <c r="E36" s="1607">
        <v>45</v>
      </c>
      <c r="F36" s="1607">
        <v>3</v>
      </c>
      <c r="G36" s="1607">
        <v>8</v>
      </c>
    </row>
    <row r="45" spans="1:7" x14ac:dyDescent="0.2">
      <c r="A45" s="1608" t="s">
        <v>4</v>
      </c>
      <c r="B45" s="1608" t="s">
        <v>1081</v>
      </c>
      <c r="C45" s="1608" t="s">
        <v>1086</v>
      </c>
      <c r="D45" s="1608" t="s">
        <v>62</v>
      </c>
      <c r="E45" s="1608" t="s">
        <v>118</v>
      </c>
    </row>
    <row r="46" spans="1:7" x14ac:dyDescent="0.2">
      <c r="A46" s="1607" t="s">
        <v>160</v>
      </c>
      <c r="B46" s="1607" t="s">
        <v>23</v>
      </c>
      <c r="C46" s="1607">
        <v>230350</v>
      </c>
      <c r="D46" s="1607">
        <v>435</v>
      </c>
      <c r="E46" s="1607">
        <v>118</v>
      </c>
    </row>
    <row r="47" spans="1:7" x14ac:dyDescent="0.2">
      <c r="A47" s="1607" t="s">
        <v>160</v>
      </c>
      <c r="B47" s="1607" t="s">
        <v>24</v>
      </c>
      <c r="C47" s="1607">
        <v>261960</v>
      </c>
      <c r="D47" s="1607">
        <v>348</v>
      </c>
      <c r="E47" s="1607">
        <v>56</v>
      </c>
    </row>
    <row r="48" spans="1:7" x14ac:dyDescent="0.2">
      <c r="A48" s="1607" t="s">
        <v>160</v>
      </c>
      <c r="B48" s="1607" t="s">
        <v>25</v>
      </c>
      <c r="C48" s="1607">
        <v>116900</v>
      </c>
      <c r="D48" s="1607">
        <v>156</v>
      </c>
      <c r="E48" s="1607">
        <v>25</v>
      </c>
    </row>
    <row r="49" spans="1:5" x14ac:dyDescent="0.2">
      <c r="A49" s="1607" t="s">
        <v>160</v>
      </c>
      <c r="B49" s="1607" t="s">
        <v>26</v>
      </c>
      <c r="C49" s="1607">
        <v>86890</v>
      </c>
      <c r="D49" s="1607">
        <v>128</v>
      </c>
      <c r="E49" s="1607">
        <v>9</v>
      </c>
    </row>
    <row r="50" spans="1:5" x14ac:dyDescent="0.2">
      <c r="A50" s="1607" t="s">
        <v>160</v>
      </c>
      <c r="B50" s="1607" t="s">
        <v>27</v>
      </c>
      <c r="C50" s="1607">
        <v>51360</v>
      </c>
      <c r="D50" s="1607">
        <v>92</v>
      </c>
      <c r="E50" s="1607">
        <v>20</v>
      </c>
    </row>
    <row r="51" spans="1:5" x14ac:dyDescent="0.2">
      <c r="A51" s="1607" t="s">
        <v>160</v>
      </c>
      <c r="B51" s="1607" t="s">
        <v>28</v>
      </c>
      <c r="C51" s="1607">
        <v>149670</v>
      </c>
      <c r="D51" s="1607">
        <v>195</v>
      </c>
      <c r="E51" s="1607">
        <v>34</v>
      </c>
    </row>
    <row r="52" spans="1:5" x14ac:dyDescent="0.2">
      <c r="A52" s="1607" t="s">
        <v>160</v>
      </c>
      <c r="B52" s="1607" t="s">
        <v>29</v>
      </c>
      <c r="C52" s="1607">
        <v>148210</v>
      </c>
      <c r="D52" s="1607">
        <v>308</v>
      </c>
      <c r="E52" s="1607">
        <v>75</v>
      </c>
    </row>
    <row r="53" spans="1:5" x14ac:dyDescent="0.2">
      <c r="A53" s="1607" t="s">
        <v>160</v>
      </c>
      <c r="B53" s="1607" t="s">
        <v>30</v>
      </c>
      <c r="C53" s="1607">
        <v>122060</v>
      </c>
      <c r="D53" s="1607">
        <v>157</v>
      </c>
      <c r="E53" s="1607">
        <v>62</v>
      </c>
    </row>
    <row r="54" spans="1:5" x14ac:dyDescent="0.2">
      <c r="A54" s="1607" t="s">
        <v>160</v>
      </c>
      <c r="B54" s="1607" t="s">
        <v>31</v>
      </c>
      <c r="C54" s="1607">
        <v>106960</v>
      </c>
      <c r="D54" s="1607">
        <v>102</v>
      </c>
      <c r="E54" s="1607">
        <v>45</v>
      </c>
    </row>
    <row r="55" spans="1:5" x14ac:dyDescent="0.2">
      <c r="A55" s="1607" t="s">
        <v>160</v>
      </c>
      <c r="B55" s="1607" t="s">
        <v>32</v>
      </c>
      <c r="C55" s="1607">
        <v>103050</v>
      </c>
      <c r="D55" s="1607">
        <v>134</v>
      </c>
      <c r="E55" s="1607">
        <v>63</v>
      </c>
    </row>
    <row r="56" spans="1:5" x14ac:dyDescent="0.2">
      <c r="A56" s="1607" t="s">
        <v>160</v>
      </c>
      <c r="B56" s="1607" t="s">
        <v>33</v>
      </c>
      <c r="C56" s="1607">
        <v>92940</v>
      </c>
      <c r="D56" s="1607">
        <v>97</v>
      </c>
      <c r="E56" s="1607">
        <v>34</v>
      </c>
    </row>
    <row r="57" spans="1:5" x14ac:dyDescent="0.2">
      <c r="A57" s="1607" t="s">
        <v>160</v>
      </c>
      <c r="B57" s="1607" t="s">
        <v>665</v>
      </c>
      <c r="C57" s="1607">
        <v>498810</v>
      </c>
      <c r="D57" s="1607">
        <v>887</v>
      </c>
      <c r="E57" s="1607">
        <v>337</v>
      </c>
    </row>
    <row r="58" spans="1:5" x14ac:dyDescent="0.2">
      <c r="A58" s="1607" t="s">
        <v>160</v>
      </c>
      <c r="B58" s="1607" t="s">
        <v>34</v>
      </c>
      <c r="C58" s="1607">
        <v>158460</v>
      </c>
      <c r="D58" s="1607">
        <v>225</v>
      </c>
      <c r="E58" s="1607">
        <v>82</v>
      </c>
    </row>
    <row r="59" spans="1:5" x14ac:dyDescent="0.2">
      <c r="A59" s="1607" t="s">
        <v>160</v>
      </c>
      <c r="B59" s="1607" t="s">
        <v>35</v>
      </c>
      <c r="C59" s="1607">
        <v>368080</v>
      </c>
      <c r="D59" s="1607">
        <v>453</v>
      </c>
      <c r="E59" s="1607">
        <v>125</v>
      </c>
    </row>
    <row r="60" spans="1:5" x14ac:dyDescent="0.2">
      <c r="A60" s="1607" t="s">
        <v>160</v>
      </c>
      <c r="B60" s="1607" t="s">
        <v>36</v>
      </c>
      <c r="C60" s="1607">
        <v>606340</v>
      </c>
      <c r="D60" s="1607">
        <v>1298</v>
      </c>
      <c r="E60" s="1607">
        <v>440</v>
      </c>
    </row>
    <row r="61" spans="1:5" x14ac:dyDescent="0.2">
      <c r="A61" s="1607" t="s">
        <v>160</v>
      </c>
      <c r="B61" s="1607" t="s">
        <v>37</v>
      </c>
      <c r="C61" s="1607">
        <v>234110</v>
      </c>
      <c r="D61" s="1607">
        <v>329</v>
      </c>
      <c r="E61" s="1607">
        <v>48</v>
      </c>
    </row>
    <row r="62" spans="1:5" x14ac:dyDescent="0.2">
      <c r="A62" s="1607" t="s">
        <v>160</v>
      </c>
      <c r="B62" s="1607" t="s">
        <v>38</v>
      </c>
      <c r="C62" s="1607">
        <v>79500</v>
      </c>
      <c r="D62" s="1607">
        <v>153</v>
      </c>
      <c r="E62" s="1607">
        <v>62</v>
      </c>
    </row>
    <row r="63" spans="1:5" x14ac:dyDescent="0.2">
      <c r="A63" s="1607" t="s">
        <v>160</v>
      </c>
      <c r="B63" s="1607" t="s">
        <v>39</v>
      </c>
      <c r="C63" s="1607">
        <v>87390</v>
      </c>
      <c r="D63" s="1607">
        <v>105</v>
      </c>
      <c r="E63" s="1607">
        <v>65</v>
      </c>
    </row>
    <row r="64" spans="1:5" x14ac:dyDescent="0.2">
      <c r="A64" s="1607" t="s">
        <v>160</v>
      </c>
      <c r="B64" s="1607" t="s">
        <v>40</v>
      </c>
      <c r="C64" s="1607">
        <v>95510</v>
      </c>
      <c r="D64" s="1607">
        <v>109</v>
      </c>
      <c r="E64" s="1607">
        <v>16</v>
      </c>
    </row>
    <row r="65" spans="1:5" x14ac:dyDescent="0.2">
      <c r="A65" s="1607" t="s">
        <v>160</v>
      </c>
      <c r="B65" s="1607" t="s">
        <v>393</v>
      </c>
      <c r="C65" s="1607">
        <v>27070</v>
      </c>
      <c r="D65" s="1607">
        <v>38</v>
      </c>
      <c r="E65" s="1607">
        <v>3</v>
      </c>
    </row>
    <row r="66" spans="1:5" x14ac:dyDescent="0.2">
      <c r="A66" s="1607" t="s">
        <v>160</v>
      </c>
      <c r="B66" s="1607" t="s">
        <v>41</v>
      </c>
      <c r="C66" s="1607">
        <v>136130</v>
      </c>
      <c r="D66" s="1607">
        <v>232</v>
      </c>
      <c r="E66" s="1607">
        <v>52</v>
      </c>
    </row>
    <row r="67" spans="1:5" x14ac:dyDescent="0.2">
      <c r="A67" s="1607" t="s">
        <v>160</v>
      </c>
      <c r="B67" s="1607" t="s">
        <v>42</v>
      </c>
      <c r="C67" s="1607">
        <v>338260</v>
      </c>
      <c r="D67" s="1607">
        <v>439</v>
      </c>
      <c r="E67" s="1607">
        <v>216</v>
      </c>
    </row>
    <row r="68" spans="1:5" x14ac:dyDescent="0.2">
      <c r="A68" s="1607" t="s">
        <v>160</v>
      </c>
      <c r="B68" s="1607" t="s">
        <v>43</v>
      </c>
      <c r="C68" s="1607">
        <v>21670</v>
      </c>
      <c r="D68" s="1607">
        <v>37</v>
      </c>
      <c r="E68" s="1607"/>
    </row>
    <row r="69" spans="1:5" x14ac:dyDescent="0.2">
      <c r="A69" s="1607" t="s">
        <v>160</v>
      </c>
      <c r="B69" s="1607" t="s">
        <v>44</v>
      </c>
      <c r="C69" s="1607">
        <v>149930</v>
      </c>
      <c r="D69" s="1607">
        <v>238</v>
      </c>
      <c r="E69" s="1607">
        <v>32</v>
      </c>
    </row>
    <row r="70" spans="1:5" x14ac:dyDescent="0.2">
      <c r="A70" s="1607" t="s">
        <v>160</v>
      </c>
      <c r="B70" s="1607" t="s">
        <v>45</v>
      </c>
      <c r="C70" s="1607">
        <v>174560</v>
      </c>
      <c r="D70" s="1607">
        <v>305</v>
      </c>
      <c r="E70" s="1607">
        <v>101</v>
      </c>
    </row>
    <row r="71" spans="1:5" x14ac:dyDescent="0.2">
      <c r="A71" s="1607" t="s">
        <v>160</v>
      </c>
      <c r="B71" s="1607" t="s">
        <v>46</v>
      </c>
      <c r="C71" s="1607">
        <v>114030</v>
      </c>
      <c r="D71" s="1607">
        <v>184</v>
      </c>
      <c r="E71" s="1607">
        <v>42</v>
      </c>
    </row>
    <row r="72" spans="1:5" x14ac:dyDescent="0.2">
      <c r="A72" s="1607" t="s">
        <v>160</v>
      </c>
      <c r="B72" s="1607" t="s">
        <v>47</v>
      </c>
      <c r="C72" s="1607">
        <v>23200</v>
      </c>
      <c r="D72" s="1607">
        <v>34</v>
      </c>
      <c r="E72" s="1607">
        <v>3</v>
      </c>
    </row>
    <row r="73" spans="1:5" x14ac:dyDescent="0.2">
      <c r="A73" s="1607" t="s">
        <v>160</v>
      </c>
      <c r="B73" s="1607" t="s">
        <v>48</v>
      </c>
      <c r="C73" s="1607">
        <v>112400</v>
      </c>
      <c r="D73" s="1607">
        <v>153</v>
      </c>
      <c r="E73" s="1607">
        <v>36</v>
      </c>
    </row>
    <row r="74" spans="1:5" x14ac:dyDescent="0.2">
      <c r="A74" s="1607" t="s">
        <v>160</v>
      </c>
      <c r="B74" s="1607" t="s">
        <v>49</v>
      </c>
      <c r="C74" s="1607">
        <v>316230</v>
      </c>
      <c r="D74" s="1607">
        <v>416</v>
      </c>
      <c r="E74" s="1607">
        <v>123</v>
      </c>
    </row>
    <row r="75" spans="1:5" x14ac:dyDescent="0.2">
      <c r="A75" s="1607" t="s">
        <v>160</v>
      </c>
      <c r="B75" s="1607" t="s">
        <v>50</v>
      </c>
      <c r="C75" s="1607">
        <v>92830</v>
      </c>
      <c r="D75" s="1607">
        <v>183</v>
      </c>
      <c r="E75" s="1607">
        <v>49</v>
      </c>
    </row>
    <row r="76" spans="1:5" x14ac:dyDescent="0.2">
      <c r="A76" s="1607" t="s">
        <v>160</v>
      </c>
      <c r="B76" s="1607" t="s">
        <v>51</v>
      </c>
      <c r="C76" s="1607">
        <v>89590</v>
      </c>
      <c r="D76" s="1607">
        <v>208</v>
      </c>
      <c r="E76" s="1607">
        <v>62</v>
      </c>
    </row>
    <row r="77" spans="1:5" x14ac:dyDescent="0.2">
      <c r="A77" s="1607" t="s">
        <v>160</v>
      </c>
      <c r="B77" s="1607" t="s">
        <v>52</v>
      </c>
      <c r="C77" s="1607">
        <v>178550</v>
      </c>
      <c r="D77" s="1607">
        <v>247</v>
      </c>
      <c r="E77" s="1607">
        <v>153</v>
      </c>
    </row>
    <row r="78" spans="1:5" x14ac:dyDescent="0.2">
      <c r="A78" s="1607" t="s">
        <v>379</v>
      </c>
      <c r="B78" s="1607" t="s">
        <v>23</v>
      </c>
      <c r="C78" s="1607">
        <v>229840</v>
      </c>
      <c r="D78" s="1607">
        <v>439</v>
      </c>
      <c r="E78" s="1607">
        <v>125</v>
      </c>
    </row>
    <row r="79" spans="1:5" x14ac:dyDescent="0.2">
      <c r="A79" s="1607" t="s">
        <v>379</v>
      </c>
      <c r="B79" s="1607" t="s">
        <v>24</v>
      </c>
      <c r="C79" s="1607">
        <v>262190</v>
      </c>
      <c r="D79" s="1607">
        <v>344</v>
      </c>
      <c r="E79" s="1607">
        <v>55</v>
      </c>
    </row>
    <row r="80" spans="1:5" x14ac:dyDescent="0.2">
      <c r="A80" s="1607" t="s">
        <v>379</v>
      </c>
      <c r="B80" s="1607" t="s">
        <v>25</v>
      </c>
      <c r="C80" s="1607">
        <v>116520</v>
      </c>
      <c r="D80" s="1607">
        <v>163</v>
      </c>
      <c r="E80" s="1607">
        <v>23</v>
      </c>
    </row>
    <row r="81" spans="1:5" x14ac:dyDescent="0.2">
      <c r="A81" s="1607" t="s">
        <v>379</v>
      </c>
      <c r="B81" s="1607" t="s">
        <v>26</v>
      </c>
      <c r="C81" s="1607">
        <v>87130</v>
      </c>
      <c r="D81" s="1607">
        <v>141</v>
      </c>
      <c r="E81" s="1607">
        <v>9</v>
      </c>
    </row>
    <row r="82" spans="1:5" x14ac:dyDescent="0.2">
      <c r="A82" s="1607" t="s">
        <v>379</v>
      </c>
      <c r="B82" s="1607" t="s">
        <v>27</v>
      </c>
      <c r="C82" s="1607">
        <v>51350</v>
      </c>
      <c r="D82" s="1607">
        <v>96</v>
      </c>
      <c r="E82" s="1607">
        <v>13</v>
      </c>
    </row>
    <row r="83" spans="1:5" x14ac:dyDescent="0.2">
      <c r="A83" s="1607" t="s">
        <v>379</v>
      </c>
      <c r="B83" s="1607" t="s">
        <v>28</v>
      </c>
      <c r="C83" s="1607">
        <v>149520</v>
      </c>
      <c r="D83" s="1607">
        <v>203</v>
      </c>
      <c r="E83" s="1607">
        <v>44</v>
      </c>
    </row>
    <row r="84" spans="1:5" x14ac:dyDescent="0.2">
      <c r="A84" s="1607" t="s">
        <v>379</v>
      </c>
      <c r="B84" s="1607" t="s">
        <v>29</v>
      </c>
      <c r="C84" s="1607">
        <v>148270</v>
      </c>
      <c r="D84" s="1607">
        <v>311</v>
      </c>
      <c r="E84" s="1607">
        <v>71</v>
      </c>
    </row>
    <row r="85" spans="1:5" x14ac:dyDescent="0.2">
      <c r="A85" s="1607" t="s">
        <v>379</v>
      </c>
      <c r="B85" s="1607" t="s">
        <v>30</v>
      </c>
      <c r="C85" s="1607">
        <v>122200</v>
      </c>
      <c r="D85" s="1607">
        <v>202</v>
      </c>
      <c r="E85" s="1607">
        <v>53</v>
      </c>
    </row>
    <row r="86" spans="1:5" x14ac:dyDescent="0.2">
      <c r="A86" s="1607" t="s">
        <v>379</v>
      </c>
      <c r="B86" s="1607" t="s">
        <v>31</v>
      </c>
      <c r="C86" s="1607">
        <v>107540</v>
      </c>
      <c r="D86" s="1607">
        <v>117</v>
      </c>
      <c r="E86" s="1607">
        <v>49</v>
      </c>
    </row>
    <row r="87" spans="1:5" x14ac:dyDescent="0.2">
      <c r="A87" s="1607" t="s">
        <v>379</v>
      </c>
      <c r="B87" s="1607" t="s">
        <v>32</v>
      </c>
      <c r="C87" s="1607">
        <v>104090</v>
      </c>
      <c r="D87" s="1607">
        <v>116</v>
      </c>
      <c r="E87" s="1607">
        <v>39</v>
      </c>
    </row>
    <row r="88" spans="1:5" x14ac:dyDescent="0.2">
      <c r="A88" s="1607" t="s">
        <v>379</v>
      </c>
      <c r="B88" s="1607" t="s">
        <v>33</v>
      </c>
      <c r="C88" s="1607">
        <v>93810</v>
      </c>
      <c r="D88" s="1607">
        <v>80</v>
      </c>
      <c r="E88" s="1607">
        <v>26</v>
      </c>
    </row>
    <row r="89" spans="1:5" x14ac:dyDescent="0.2">
      <c r="A89" s="1607" t="s">
        <v>379</v>
      </c>
      <c r="B89" s="1607" t="s">
        <v>665</v>
      </c>
      <c r="C89" s="1607">
        <v>507170</v>
      </c>
      <c r="D89" s="1607">
        <v>793</v>
      </c>
      <c r="E89" s="1607">
        <v>378</v>
      </c>
    </row>
    <row r="90" spans="1:5" x14ac:dyDescent="0.2">
      <c r="A90" s="1607" t="s">
        <v>379</v>
      </c>
      <c r="B90" s="1607" t="s">
        <v>34</v>
      </c>
      <c r="C90" s="1607">
        <v>159380</v>
      </c>
      <c r="D90" s="1607">
        <v>202</v>
      </c>
      <c r="E90" s="1607">
        <v>79</v>
      </c>
    </row>
    <row r="91" spans="1:5" x14ac:dyDescent="0.2">
      <c r="A91" s="1607" t="s">
        <v>379</v>
      </c>
      <c r="B91" s="1607" t="s">
        <v>35</v>
      </c>
      <c r="C91" s="1607">
        <v>370330</v>
      </c>
      <c r="D91" s="1607">
        <v>451</v>
      </c>
      <c r="E91" s="1607">
        <v>180</v>
      </c>
    </row>
    <row r="92" spans="1:5" x14ac:dyDescent="0.2">
      <c r="A92" s="1607" t="s">
        <v>379</v>
      </c>
      <c r="B92" s="1607" t="s">
        <v>36</v>
      </c>
      <c r="C92" s="1607">
        <v>615070</v>
      </c>
      <c r="D92" s="1607">
        <v>1256</v>
      </c>
      <c r="E92" s="1607">
        <v>452</v>
      </c>
    </row>
    <row r="93" spans="1:5" x14ac:dyDescent="0.2">
      <c r="A93" s="1607" t="s">
        <v>379</v>
      </c>
      <c r="B93" s="1607" t="s">
        <v>37</v>
      </c>
      <c r="C93" s="1607">
        <v>234770</v>
      </c>
      <c r="D93" s="1607">
        <v>345</v>
      </c>
      <c r="E93" s="1607">
        <v>32</v>
      </c>
    </row>
    <row r="94" spans="1:5" x14ac:dyDescent="0.2">
      <c r="A94" s="1607" t="s">
        <v>379</v>
      </c>
      <c r="B94" s="1607" t="s">
        <v>38</v>
      </c>
      <c r="C94" s="1607">
        <v>79160</v>
      </c>
      <c r="D94" s="1607">
        <v>162</v>
      </c>
      <c r="E94" s="1607">
        <v>53</v>
      </c>
    </row>
    <row r="95" spans="1:5" x14ac:dyDescent="0.2">
      <c r="A95" s="1607" t="s">
        <v>379</v>
      </c>
      <c r="B95" s="1607" t="s">
        <v>39</v>
      </c>
      <c r="C95" s="1607">
        <v>88610</v>
      </c>
      <c r="D95" s="1607">
        <v>127</v>
      </c>
      <c r="E95" s="1607">
        <v>78</v>
      </c>
    </row>
    <row r="96" spans="1:5" x14ac:dyDescent="0.2">
      <c r="A96" s="1607" t="s">
        <v>379</v>
      </c>
      <c r="B96" s="1607" t="s">
        <v>40</v>
      </c>
      <c r="C96" s="1607">
        <v>96070</v>
      </c>
      <c r="D96" s="1607">
        <v>110</v>
      </c>
      <c r="E96" s="1607">
        <v>18</v>
      </c>
    </row>
    <row r="97" spans="1:5" x14ac:dyDescent="0.2">
      <c r="A97" s="1607" t="s">
        <v>379</v>
      </c>
      <c r="B97" s="1607" t="s">
        <v>393</v>
      </c>
      <c r="C97" s="1607">
        <v>26900</v>
      </c>
      <c r="D97" s="1607">
        <v>35</v>
      </c>
      <c r="E97" s="1607">
        <v>1</v>
      </c>
    </row>
    <row r="98" spans="1:5" x14ac:dyDescent="0.2">
      <c r="A98" s="1607" t="s">
        <v>379</v>
      </c>
      <c r="B98" s="1607" t="s">
        <v>41</v>
      </c>
      <c r="C98" s="1607">
        <v>135890</v>
      </c>
      <c r="D98" s="1607">
        <v>220</v>
      </c>
      <c r="E98" s="1607">
        <v>49</v>
      </c>
    </row>
    <row r="99" spans="1:5" x14ac:dyDescent="0.2">
      <c r="A99" s="1607" t="s">
        <v>379</v>
      </c>
      <c r="B99" s="1607" t="s">
        <v>42</v>
      </c>
      <c r="C99" s="1607">
        <v>339390</v>
      </c>
      <c r="D99" s="1607">
        <v>463</v>
      </c>
      <c r="E99" s="1607">
        <v>224</v>
      </c>
    </row>
    <row r="100" spans="1:5" x14ac:dyDescent="0.2">
      <c r="A100" s="1607" t="s">
        <v>379</v>
      </c>
      <c r="B100" s="1607" t="s">
        <v>43</v>
      </c>
      <c r="C100" s="1607">
        <v>21850</v>
      </c>
      <c r="D100" s="1607">
        <v>21</v>
      </c>
      <c r="E100" s="1607">
        <v>2</v>
      </c>
    </row>
    <row r="101" spans="1:5" x14ac:dyDescent="0.2">
      <c r="A101" s="1607" t="s">
        <v>379</v>
      </c>
      <c r="B101" s="1607" t="s">
        <v>44</v>
      </c>
      <c r="C101" s="1607">
        <v>150680</v>
      </c>
      <c r="D101" s="1607">
        <v>255</v>
      </c>
      <c r="E101" s="1607">
        <v>33</v>
      </c>
    </row>
    <row r="102" spans="1:5" x14ac:dyDescent="0.2">
      <c r="A102" s="1607" t="s">
        <v>379</v>
      </c>
      <c r="B102" s="1607" t="s">
        <v>45</v>
      </c>
      <c r="C102" s="1607">
        <v>175930</v>
      </c>
      <c r="D102" s="1607">
        <v>276</v>
      </c>
      <c r="E102" s="1607">
        <v>109</v>
      </c>
    </row>
    <row r="103" spans="1:5" x14ac:dyDescent="0.2">
      <c r="A103" s="1607" t="s">
        <v>379</v>
      </c>
      <c r="B103" s="1607" t="s">
        <v>46</v>
      </c>
      <c r="C103" s="1607">
        <v>114530</v>
      </c>
      <c r="D103" s="1607">
        <v>162</v>
      </c>
      <c r="E103" s="1607">
        <v>33</v>
      </c>
    </row>
    <row r="104" spans="1:5" x14ac:dyDescent="0.2">
      <c r="A104" s="1607" t="s">
        <v>379</v>
      </c>
      <c r="B104" s="1607" t="s">
        <v>47</v>
      </c>
      <c r="C104" s="1607">
        <v>23200</v>
      </c>
      <c r="D104" s="1607">
        <v>24</v>
      </c>
      <c r="E104" s="1607">
        <v>2</v>
      </c>
    </row>
    <row r="105" spans="1:5" x14ac:dyDescent="0.2">
      <c r="A105" s="1607" t="s">
        <v>379</v>
      </c>
      <c r="B105" s="1607" t="s">
        <v>48</v>
      </c>
      <c r="C105" s="1607">
        <v>112470</v>
      </c>
      <c r="D105" s="1607">
        <v>152</v>
      </c>
      <c r="E105" s="1607">
        <v>36</v>
      </c>
    </row>
    <row r="106" spans="1:5" x14ac:dyDescent="0.2">
      <c r="A106" s="1607" t="s">
        <v>379</v>
      </c>
      <c r="B106" s="1607" t="s">
        <v>49</v>
      </c>
      <c r="C106" s="1607">
        <v>317100</v>
      </c>
      <c r="D106" s="1607">
        <v>388</v>
      </c>
      <c r="E106" s="1607">
        <v>169</v>
      </c>
    </row>
    <row r="107" spans="1:5" x14ac:dyDescent="0.2">
      <c r="A107" s="1607" t="s">
        <v>379</v>
      </c>
      <c r="B107" s="1607" t="s">
        <v>50</v>
      </c>
      <c r="C107" s="1607">
        <v>93750</v>
      </c>
      <c r="D107" s="1607">
        <v>150</v>
      </c>
      <c r="E107" s="1607">
        <v>53</v>
      </c>
    </row>
    <row r="108" spans="1:5" x14ac:dyDescent="0.2">
      <c r="A108" s="1607" t="s">
        <v>379</v>
      </c>
      <c r="B108" s="1607" t="s">
        <v>51</v>
      </c>
      <c r="C108" s="1607">
        <v>89860</v>
      </c>
      <c r="D108" s="1607">
        <v>179</v>
      </c>
      <c r="E108" s="1607">
        <v>81</v>
      </c>
    </row>
    <row r="109" spans="1:5" x14ac:dyDescent="0.2">
      <c r="A109" s="1607" t="s">
        <v>379</v>
      </c>
      <c r="B109" s="1607" t="s">
        <v>52</v>
      </c>
      <c r="C109" s="1607">
        <v>180130</v>
      </c>
      <c r="D109" s="1607">
        <v>226</v>
      </c>
      <c r="E109" s="1607">
        <v>126</v>
      </c>
    </row>
    <row r="110" spans="1:5" x14ac:dyDescent="0.2">
      <c r="A110" s="1607" t="s">
        <v>603</v>
      </c>
      <c r="B110" s="1607" t="s">
        <v>23</v>
      </c>
      <c r="C110" s="1607">
        <v>228800</v>
      </c>
      <c r="D110" s="1607">
        <v>355</v>
      </c>
      <c r="E110" s="1607">
        <v>100</v>
      </c>
    </row>
    <row r="111" spans="1:5" x14ac:dyDescent="0.2">
      <c r="A111" s="1607" t="s">
        <v>603</v>
      </c>
      <c r="B111" s="1607" t="s">
        <v>24</v>
      </c>
      <c r="C111" s="1607">
        <v>261800</v>
      </c>
      <c r="D111" s="1607">
        <v>344</v>
      </c>
      <c r="E111" s="1607">
        <v>50</v>
      </c>
    </row>
    <row r="112" spans="1:5" x14ac:dyDescent="0.2">
      <c r="A112" s="1607" t="s">
        <v>603</v>
      </c>
      <c r="B112" s="1607" t="s">
        <v>25</v>
      </c>
      <c r="C112" s="1607">
        <v>116280</v>
      </c>
      <c r="D112" s="1607">
        <v>133</v>
      </c>
      <c r="E112" s="1607">
        <v>30</v>
      </c>
    </row>
    <row r="113" spans="1:5" x14ac:dyDescent="0.2">
      <c r="A113" s="1607" t="s">
        <v>603</v>
      </c>
      <c r="B113" s="1607" t="s">
        <v>26</v>
      </c>
      <c r="C113" s="1607">
        <v>86810</v>
      </c>
      <c r="D113" s="1607">
        <v>159</v>
      </c>
      <c r="E113" s="1607">
        <v>25</v>
      </c>
    </row>
    <row r="114" spans="1:5" x14ac:dyDescent="0.2">
      <c r="A114" s="1607" t="s">
        <v>603</v>
      </c>
      <c r="B114" s="1607" t="s">
        <v>27</v>
      </c>
      <c r="C114" s="1607">
        <v>51450</v>
      </c>
      <c r="D114" s="1607">
        <v>69</v>
      </c>
      <c r="E114" s="1607">
        <v>24</v>
      </c>
    </row>
    <row r="115" spans="1:5" x14ac:dyDescent="0.2">
      <c r="A115" s="1607" t="s">
        <v>603</v>
      </c>
      <c r="B115" s="1607" t="s">
        <v>28</v>
      </c>
      <c r="C115" s="1607">
        <v>149200</v>
      </c>
      <c r="D115" s="1607">
        <v>199</v>
      </c>
      <c r="E115" s="1607">
        <v>37</v>
      </c>
    </row>
    <row r="116" spans="1:5" x14ac:dyDescent="0.2">
      <c r="A116" s="1607" t="s">
        <v>603</v>
      </c>
      <c r="B116" s="1607" t="s">
        <v>29</v>
      </c>
      <c r="C116" s="1607">
        <v>148710</v>
      </c>
      <c r="D116" s="1607">
        <v>271</v>
      </c>
      <c r="E116" s="1607">
        <v>73</v>
      </c>
    </row>
    <row r="117" spans="1:5" x14ac:dyDescent="0.2">
      <c r="A117" s="1607" t="s">
        <v>603</v>
      </c>
      <c r="B117" s="1607" t="s">
        <v>30</v>
      </c>
      <c r="C117" s="1607">
        <v>121940</v>
      </c>
      <c r="D117" s="1607">
        <v>133</v>
      </c>
      <c r="E117" s="1607">
        <v>47</v>
      </c>
    </row>
    <row r="118" spans="1:5" x14ac:dyDescent="0.2">
      <c r="A118" s="1607" t="s">
        <v>603</v>
      </c>
      <c r="B118" s="1607" t="s">
        <v>31</v>
      </c>
      <c r="C118" s="1607">
        <v>108130</v>
      </c>
      <c r="D118" s="1607">
        <v>101</v>
      </c>
      <c r="E118" s="1607">
        <v>57</v>
      </c>
    </row>
    <row r="119" spans="1:5" x14ac:dyDescent="0.2">
      <c r="A119" s="1607" t="s">
        <v>603</v>
      </c>
      <c r="B119" s="1607" t="s">
        <v>32</v>
      </c>
      <c r="C119" s="1607">
        <v>104840</v>
      </c>
      <c r="D119" s="1607">
        <v>130</v>
      </c>
      <c r="E119" s="1607">
        <v>59</v>
      </c>
    </row>
    <row r="120" spans="1:5" x14ac:dyDescent="0.2">
      <c r="A120" s="1607" t="s">
        <v>603</v>
      </c>
      <c r="B120" s="1607" t="s">
        <v>33</v>
      </c>
      <c r="C120" s="1607">
        <v>94760</v>
      </c>
      <c r="D120" s="1607">
        <v>111</v>
      </c>
      <c r="E120" s="1607">
        <v>19</v>
      </c>
    </row>
    <row r="121" spans="1:5" x14ac:dyDescent="0.2">
      <c r="A121" s="1607" t="s">
        <v>603</v>
      </c>
      <c r="B121" s="1607" t="s">
        <v>665</v>
      </c>
      <c r="C121" s="1607">
        <v>513210</v>
      </c>
      <c r="D121" s="1607">
        <v>742</v>
      </c>
      <c r="E121" s="1607">
        <v>296</v>
      </c>
    </row>
    <row r="122" spans="1:5" x14ac:dyDescent="0.2">
      <c r="A122" s="1607" t="s">
        <v>603</v>
      </c>
      <c r="B122" s="1607" t="s">
        <v>34</v>
      </c>
      <c r="C122" s="1607">
        <v>160130</v>
      </c>
      <c r="D122" s="1607">
        <v>199</v>
      </c>
      <c r="E122" s="1607">
        <v>144</v>
      </c>
    </row>
    <row r="123" spans="1:5" x14ac:dyDescent="0.2">
      <c r="A123" s="1607" t="s">
        <v>603</v>
      </c>
      <c r="B123" s="1607" t="s">
        <v>35</v>
      </c>
      <c r="C123" s="1607">
        <v>371410</v>
      </c>
      <c r="D123" s="1607">
        <v>508</v>
      </c>
      <c r="E123" s="1607">
        <v>153</v>
      </c>
    </row>
    <row r="124" spans="1:5" x14ac:dyDescent="0.2">
      <c r="A124" s="1607" t="s">
        <v>603</v>
      </c>
      <c r="B124" s="1607" t="s">
        <v>36</v>
      </c>
      <c r="C124" s="1607">
        <v>621020</v>
      </c>
      <c r="D124" s="1607">
        <v>1261</v>
      </c>
      <c r="E124" s="1607">
        <v>448</v>
      </c>
    </row>
    <row r="125" spans="1:5" x14ac:dyDescent="0.2">
      <c r="A125" s="1607" t="s">
        <v>603</v>
      </c>
      <c r="B125" s="1607" t="s">
        <v>37</v>
      </c>
      <c r="C125" s="1607">
        <v>235180</v>
      </c>
      <c r="D125" s="1607">
        <v>337</v>
      </c>
      <c r="E125" s="1607">
        <v>23</v>
      </c>
    </row>
    <row r="126" spans="1:5" x14ac:dyDescent="0.2">
      <c r="A126" s="1607" t="s">
        <v>603</v>
      </c>
      <c r="B126" s="1607" t="s">
        <v>38</v>
      </c>
      <c r="C126" s="1607">
        <v>78760</v>
      </c>
      <c r="D126" s="1607">
        <v>123</v>
      </c>
      <c r="E126" s="1607">
        <v>66</v>
      </c>
    </row>
    <row r="127" spans="1:5" x14ac:dyDescent="0.2">
      <c r="A127" s="1607" t="s">
        <v>603</v>
      </c>
      <c r="B127" s="1607" t="s">
        <v>39</v>
      </c>
      <c r="C127" s="1607">
        <v>90090</v>
      </c>
      <c r="D127" s="1607">
        <v>116</v>
      </c>
      <c r="E127" s="1607">
        <v>95</v>
      </c>
    </row>
    <row r="128" spans="1:5" x14ac:dyDescent="0.2">
      <c r="A128" s="1607" t="s">
        <v>603</v>
      </c>
      <c r="B128" s="1607" t="s">
        <v>40</v>
      </c>
      <c r="C128" s="1607">
        <v>95780</v>
      </c>
      <c r="D128" s="1607">
        <v>89</v>
      </c>
      <c r="E128" s="1607">
        <v>25</v>
      </c>
    </row>
    <row r="129" spans="1:5" x14ac:dyDescent="0.2">
      <c r="A129" s="1607" t="s">
        <v>603</v>
      </c>
      <c r="B129" s="1607" t="s">
        <v>393</v>
      </c>
      <c r="C129" s="1607">
        <v>26950</v>
      </c>
      <c r="D129" s="1607">
        <v>36</v>
      </c>
      <c r="E129" s="1607">
        <v>3</v>
      </c>
    </row>
    <row r="130" spans="1:5" x14ac:dyDescent="0.2">
      <c r="A130" s="1607" t="s">
        <v>603</v>
      </c>
      <c r="B130" s="1607" t="s">
        <v>41</v>
      </c>
      <c r="C130" s="1607">
        <v>135790</v>
      </c>
      <c r="D130" s="1607">
        <v>222</v>
      </c>
      <c r="E130" s="1607">
        <v>50</v>
      </c>
    </row>
    <row r="131" spans="1:5" x14ac:dyDescent="0.2">
      <c r="A131" s="1607" t="s">
        <v>603</v>
      </c>
      <c r="B131" s="1607" t="s">
        <v>42</v>
      </c>
      <c r="C131" s="1607">
        <v>339960</v>
      </c>
      <c r="D131" s="1607">
        <v>448</v>
      </c>
      <c r="E131" s="1607">
        <v>209</v>
      </c>
    </row>
    <row r="132" spans="1:5" x14ac:dyDescent="0.2">
      <c r="A132" s="1607" t="s">
        <v>603</v>
      </c>
      <c r="B132" s="1607" t="s">
        <v>43</v>
      </c>
      <c r="C132" s="1607">
        <v>22000</v>
      </c>
      <c r="D132" s="1607">
        <v>15</v>
      </c>
      <c r="E132" s="1607"/>
    </row>
    <row r="133" spans="1:5" x14ac:dyDescent="0.2">
      <c r="A133" s="1607" t="s">
        <v>603</v>
      </c>
      <c r="B133" s="1607" t="s">
        <v>44</v>
      </c>
      <c r="C133" s="1607">
        <v>151100</v>
      </c>
      <c r="D133" s="1607">
        <v>207</v>
      </c>
      <c r="E133" s="1607">
        <v>27</v>
      </c>
    </row>
    <row r="134" spans="1:5" x14ac:dyDescent="0.2">
      <c r="A134" s="1607" t="s">
        <v>603</v>
      </c>
      <c r="B134" s="1607" t="s">
        <v>45</v>
      </c>
      <c r="C134" s="1607">
        <v>176830</v>
      </c>
      <c r="D134" s="1607">
        <v>283</v>
      </c>
      <c r="E134" s="1607">
        <v>113</v>
      </c>
    </row>
    <row r="135" spans="1:5" x14ac:dyDescent="0.2">
      <c r="A135" s="1607" t="s">
        <v>603</v>
      </c>
      <c r="B135" s="1607" t="s">
        <v>46</v>
      </c>
      <c r="C135" s="1607">
        <v>115020</v>
      </c>
      <c r="D135" s="1607">
        <v>148</v>
      </c>
      <c r="E135" s="1607">
        <v>56</v>
      </c>
    </row>
    <row r="136" spans="1:5" x14ac:dyDescent="0.2">
      <c r="A136" s="1607" t="s">
        <v>603</v>
      </c>
      <c r="B136" s="1607" t="s">
        <v>47</v>
      </c>
      <c r="C136" s="1607">
        <v>23080</v>
      </c>
      <c r="D136" s="1607">
        <v>32</v>
      </c>
      <c r="E136" s="1607">
        <v>1</v>
      </c>
    </row>
    <row r="137" spans="1:5" x14ac:dyDescent="0.2">
      <c r="A137" s="1607" t="s">
        <v>603</v>
      </c>
      <c r="B137" s="1607" t="s">
        <v>48</v>
      </c>
      <c r="C137" s="1607">
        <v>112680</v>
      </c>
      <c r="D137" s="1607">
        <v>164</v>
      </c>
      <c r="E137" s="1607">
        <v>40</v>
      </c>
    </row>
    <row r="138" spans="1:5" x14ac:dyDescent="0.2">
      <c r="A138" s="1607" t="s">
        <v>603</v>
      </c>
      <c r="B138" s="1607" t="s">
        <v>49</v>
      </c>
      <c r="C138" s="1607">
        <v>318170</v>
      </c>
      <c r="D138" s="1607">
        <v>401</v>
      </c>
      <c r="E138" s="1607">
        <v>182</v>
      </c>
    </row>
    <row r="139" spans="1:5" x14ac:dyDescent="0.2">
      <c r="A139" s="1607" t="s">
        <v>603</v>
      </c>
      <c r="B139" s="1607" t="s">
        <v>50</v>
      </c>
      <c r="C139" s="1607">
        <v>94000</v>
      </c>
      <c r="D139" s="1607">
        <v>136</v>
      </c>
      <c r="E139" s="1607">
        <v>39</v>
      </c>
    </row>
    <row r="140" spans="1:5" x14ac:dyDescent="0.2">
      <c r="A140" s="1607" t="s">
        <v>603</v>
      </c>
      <c r="B140" s="1607" t="s">
        <v>51</v>
      </c>
      <c r="C140" s="1607">
        <v>89610</v>
      </c>
      <c r="D140" s="1607">
        <v>199</v>
      </c>
      <c r="E140" s="1607">
        <v>70</v>
      </c>
    </row>
    <row r="141" spans="1:5" x14ac:dyDescent="0.2">
      <c r="A141" s="1607" t="s">
        <v>603</v>
      </c>
      <c r="B141" s="1607" t="s">
        <v>52</v>
      </c>
      <c r="C141" s="1607">
        <v>181310</v>
      </c>
      <c r="D141" s="1607">
        <v>258</v>
      </c>
      <c r="E141" s="1607">
        <v>164</v>
      </c>
    </row>
  </sheetData>
  <pageMargins left="0.7" right="0.7" top="0.75" bottom="0.75" header="0.3" footer="0.3"/>
  <pageSetup paperSize="9" fitToHeight="50" orientation="landscape" r:id="rId1"/>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fitToPage="1"/>
  </sheetPr>
  <dimension ref="A1:F194"/>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3.5703125" bestFit="1" customWidth="1"/>
    <col min="2" max="2" width="7.85546875" bestFit="1" customWidth="1"/>
    <col min="3" max="3" width="20.42578125" bestFit="1" customWidth="1"/>
    <col min="4" max="4" width="6.42578125" bestFit="1" customWidth="1"/>
    <col min="5" max="5" width="6.140625" bestFit="1" customWidth="1"/>
    <col min="6" max="6" width="9.28515625" bestFit="1" customWidth="1"/>
  </cols>
  <sheetData>
    <row r="1" spans="1:6" x14ac:dyDescent="0.2"/>
    <row r="4" spans="1:6" x14ac:dyDescent="0.2">
      <c r="A4" s="1606" t="s">
        <v>1211</v>
      </c>
      <c r="B4" s="1606" t="s">
        <v>4</v>
      </c>
      <c r="C4" s="1606" t="s">
        <v>1081</v>
      </c>
      <c r="D4" s="1606" t="s">
        <v>1215</v>
      </c>
      <c r="E4" s="1606" t="s">
        <v>1216</v>
      </c>
      <c r="F4" s="1606" t="s">
        <v>1217</v>
      </c>
    </row>
    <row r="5" spans="1:6" x14ac:dyDescent="0.2">
      <c r="A5" s="1607" t="s">
        <v>62</v>
      </c>
      <c r="B5" s="1607" t="s">
        <v>160</v>
      </c>
      <c r="C5" s="1607" t="s">
        <v>23</v>
      </c>
      <c r="D5" s="1607">
        <v>435</v>
      </c>
      <c r="E5" s="1607">
        <v>1</v>
      </c>
      <c r="F5" s="1607">
        <v>59</v>
      </c>
    </row>
    <row r="6" spans="1:6" x14ac:dyDescent="0.2">
      <c r="A6" s="1607" t="s">
        <v>62</v>
      </c>
      <c r="B6" s="1607" t="s">
        <v>160</v>
      </c>
      <c r="C6" s="1607" t="s">
        <v>24</v>
      </c>
      <c r="D6" s="1607">
        <v>348</v>
      </c>
      <c r="E6" s="1607"/>
      <c r="F6" s="1607">
        <v>37</v>
      </c>
    </row>
    <row r="7" spans="1:6" x14ac:dyDescent="0.2">
      <c r="A7" s="1607" t="s">
        <v>62</v>
      </c>
      <c r="B7" s="1607" t="s">
        <v>160</v>
      </c>
      <c r="C7" s="1607" t="s">
        <v>25</v>
      </c>
      <c r="D7" s="1607">
        <v>156</v>
      </c>
      <c r="E7" s="1607">
        <v>1</v>
      </c>
      <c r="F7" s="1607">
        <v>29</v>
      </c>
    </row>
    <row r="8" spans="1:6" x14ac:dyDescent="0.2">
      <c r="A8" s="1607" t="s">
        <v>62</v>
      </c>
      <c r="B8" s="1607" t="s">
        <v>160</v>
      </c>
      <c r="C8" s="1607" t="s">
        <v>26</v>
      </c>
      <c r="D8" s="1607">
        <v>128</v>
      </c>
      <c r="E8" s="1607">
        <v>1</v>
      </c>
      <c r="F8" s="1607">
        <v>16</v>
      </c>
    </row>
    <row r="9" spans="1:6" x14ac:dyDescent="0.2">
      <c r="A9" s="1607" t="s">
        <v>62</v>
      </c>
      <c r="B9" s="1607" t="s">
        <v>160</v>
      </c>
      <c r="C9" s="1607" t="s">
        <v>27</v>
      </c>
      <c r="D9" s="1607">
        <v>92</v>
      </c>
      <c r="E9" s="1607"/>
      <c r="F9" s="1607">
        <v>10</v>
      </c>
    </row>
    <row r="10" spans="1:6" x14ac:dyDescent="0.2">
      <c r="A10" s="1607" t="s">
        <v>62</v>
      </c>
      <c r="B10" s="1607" t="s">
        <v>160</v>
      </c>
      <c r="C10" s="1607" t="s">
        <v>28</v>
      </c>
      <c r="D10" s="1607">
        <v>195</v>
      </c>
      <c r="E10" s="1607">
        <v>1</v>
      </c>
      <c r="F10" s="1607">
        <v>13</v>
      </c>
    </row>
    <row r="11" spans="1:6" x14ac:dyDescent="0.2">
      <c r="A11" s="1607" t="s">
        <v>62</v>
      </c>
      <c r="B11" s="1607" t="s">
        <v>160</v>
      </c>
      <c r="C11" s="1607" t="s">
        <v>29</v>
      </c>
      <c r="D11" s="1607">
        <v>308</v>
      </c>
      <c r="E11" s="1607">
        <v>2</v>
      </c>
      <c r="F11" s="1607">
        <v>76</v>
      </c>
    </row>
    <row r="12" spans="1:6" x14ac:dyDescent="0.2">
      <c r="A12" s="1607" t="s">
        <v>62</v>
      </c>
      <c r="B12" s="1607" t="s">
        <v>160</v>
      </c>
      <c r="C12" s="1607" t="s">
        <v>30</v>
      </c>
      <c r="D12" s="1607">
        <v>157</v>
      </c>
      <c r="E12" s="1607"/>
      <c r="F12" s="1607">
        <v>38</v>
      </c>
    </row>
    <row r="13" spans="1:6" x14ac:dyDescent="0.2">
      <c r="A13" s="1607" t="s">
        <v>62</v>
      </c>
      <c r="B13" s="1607" t="s">
        <v>160</v>
      </c>
      <c r="C13" s="1607" t="s">
        <v>31</v>
      </c>
      <c r="D13" s="1607">
        <v>102</v>
      </c>
      <c r="E13" s="1607"/>
      <c r="F13" s="1607">
        <v>12</v>
      </c>
    </row>
    <row r="14" spans="1:6" x14ac:dyDescent="0.2">
      <c r="A14" s="1607" t="s">
        <v>62</v>
      </c>
      <c r="B14" s="1607" t="s">
        <v>160</v>
      </c>
      <c r="C14" s="1607" t="s">
        <v>32</v>
      </c>
      <c r="D14" s="1607">
        <v>134</v>
      </c>
      <c r="E14" s="1607">
        <v>1</v>
      </c>
      <c r="F14" s="1607">
        <v>8</v>
      </c>
    </row>
    <row r="15" spans="1:6" x14ac:dyDescent="0.2">
      <c r="A15" s="1607" t="s">
        <v>62</v>
      </c>
      <c r="B15" s="1607" t="s">
        <v>160</v>
      </c>
      <c r="C15" s="1607" t="s">
        <v>33</v>
      </c>
      <c r="D15" s="1607">
        <v>97</v>
      </c>
      <c r="E15" s="1607">
        <v>1</v>
      </c>
      <c r="F15" s="1607">
        <v>12</v>
      </c>
    </row>
    <row r="16" spans="1:6" x14ac:dyDescent="0.2">
      <c r="A16" s="1607" t="s">
        <v>62</v>
      </c>
      <c r="B16" s="1607" t="s">
        <v>160</v>
      </c>
      <c r="C16" s="1607" t="s">
        <v>665</v>
      </c>
      <c r="D16" s="1607">
        <v>887</v>
      </c>
      <c r="E16" s="1607">
        <v>4</v>
      </c>
      <c r="F16" s="1607">
        <v>91</v>
      </c>
    </row>
    <row r="17" spans="1:6" x14ac:dyDescent="0.2">
      <c r="A17" s="1607" t="s">
        <v>62</v>
      </c>
      <c r="B17" s="1607" t="s">
        <v>160</v>
      </c>
      <c r="C17" s="1607" t="s">
        <v>34</v>
      </c>
      <c r="D17" s="1607">
        <v>225</v>
      </c>
      <c r="E17" s="1607">
        <v>2</v>
      </c>
      <c r="F17" s="1607">
        <v>29</v>
      </c>
    </row>
    <row r="18" spans="1:6" x14ac:dyDescent="0.2">
      <c r="A18" s="1607" t="s">
        <v>62</v>
      </c>
      <c r="B18" s="1607" t="s">
        <v>160</v>
      </c>
      <c r="C18" s="1607" t="s">
        <v>35</v>
      </c>
      <c r="D18" s="1607">
        <v>453</v>
      </c>
      <c r="E18" s="1607">
        <v>1</v>
      </c>
      <c r="F18" s="1607">
        <v>30</v>
      </c>
    </row>
    <row r="19" spans="1:6" x14ac:dyDescent="0.2">
      <c r="A19" s="1607" t="s">
        <v>62</v>
      </c>
      <c r="B19" s="1607" t="s">
        <v>160</v>
      </c>
      <c r="C19" s="1607" t="s">
        <v>36</v>
      </c>
      <c r="D19" s="1607">
        <v>1298</v>
      </c>
      <c r="E19" s="1607">
        <v>3</v>
      </c>
      <c r="F19" s="1607">
        <v>166</v>
      </c>
    </row>
    <row r="20" spans="1:6" x14ac:dyDescent="0.2">
      <c r="A20" s="1607" t="s">
        <v>62</v>
      </c>
      <c r="B20" s="1607" t="s">
        <v>160</v>
      </c>
      <c r="C20" s="1607" t="s">
        <v>37</v>
      </c>
      <c r="D20" s="1607">
        <v>329</v>
      </c>
      <c r="E20" s="1607">
        <v>6</v>
      </c>
      <c r="F20" s="1607">
        <v>53</v>
      </c>
    </row>
    <row r="21" spans="1:6" x14ac:dyDescent="0.2">
      <c r="A21" s="1607" t="s">
        <v>62</v>
      </c>
      <c r="B21" s="1607" t="s">
        <v>160</v>
      </c>
      <c r="C21" s="1607" t="s">
        <v>38</v>
      </c>
      <c r="D21" s="1607">
        <v>153</v>
      </c>
      <c r="E21" s="1607">
        <v>1</v>
      </c>
      <c r="F21" s="1607">
        <v>39</v>
      </c>
    </row>
    <row r="22" spans="1:6" x14ac:dyDescent="0.2">
      <c r="A22" s="1607" t="s">
        <v>62</v>
      </c>
      <c r="B22" s="1607" t="s">
        <v>160</v>
      </c>
      <c r="C22" s="1607" t="s">
        <v>39</v>
      </c>
      <c r="D22" s="1607">
        <v>105</v>
      </c>
      <c r="E22" s="1607"/>
      <c r="F22" s="1607">
        <v>10</v>
      </c>
    </row>
    <row r="23" spans="1:6" x14ac:dyDescent="0.2">
      <c r="A23" s="1607" t="s">
        <v>62</v>
      </c>
      <c r="B23" s="1607" t="s">
        <v>160</v>
      </c>
      <c r="C23" s="1607" t="s">
        <v>40</v>
      </c>
      <c r="D23" s="1607">
        <v>109</v>
      </c>
      <c r="E23" s="1607"/>
      <c r="F23" s="1607">
        <v>16</v>
      </c>
    </row>
    <row r="24" spans="1:6" x14ac:dyDescent="0.2">
      <c r="A24" s="1607" t="s">
        <v>62</v>
      </c>
      <c r="B24" s="1607" t="s">
        <v>160</v>
      </c>
      <c r="C24" s="1607" t="s">
        <v>393</v>
      </c>
      <c r="D24" s="1607">
        <v>38</v>
      </c>
      <c r="E24" s="1607"/>
      <c r="F24" s="1607">
        <v>8</v>
      </c>
    </row>
    <row r="25" spans="1:6" x14ac:dyDescent="0.2">
      <c r="A25" s="1607" t="s">
        <v>62</v>
      </c>
      <c r="B25" s="1607" t="s">
        <v>160</v>
      </c>
      <c r="C25" s="1607" t="s">
        <v>41</v>
      </c>
      <c r="D25" s="1607">
        <v>232</v>
      </c>
      <c r="E25" s="1607">
        <v>1</v>
      </c>
      <c r="F25" s="1607">
        <v>42</v>
      </c>
    </row>
    <row r="26" spans="1:6" x14ac:dyDescent="0.2">
      <c r="A26" s="1607" t="s">
        <v>62</v>
      </c>
      <c r="B26" s="1607" t="s">
        <v>160</v>
      </c>
      <c r="C26" s="1607" t="s">
        <v>42</v>
      </c>
      <c r="D26" s="1607">
        <v>439</v>
      </c>
      <c r="E26" s="1607">
        <v>4</v>
      </c>
      <c r="F26" s="1607">
        <v>65</v>
      </c>
    </row>
    <row r="27" spans="1:6" x14ac:dyDescent="0.2">
      <c r="A27" s="1607" t="s">
        <v>62</v>
      </c>
      <c r="B27" s="1607" t="s">
        <v>160</v>
      </c>
      <c r="C27" s="1607" t="s">
        <v>43</v>
      </c>
      <c r="D27" s="1607">
        <v>37</v>
      </c>
      <c r="E27" s="1607"/>
      <c r="F27" s="1607">
        <v>2</v>
      </c>
    </row>
    <row r="28" spans="1:6" x14ac:dyDescent="0.2">
      <c r="A28" s="1607" t="s">
        <v>62</v>
      </c>
      <c r="B28" s="1607" t="s">
        <v>160</v>
      </c>
      <c r="C28" s="1607" t="s">
        <v>44</v>
      </c>
      <c r="D28" s="1607">
        <v>238</v>
      </c>
      <c r="E28" s="1607"/>
      <c r="F28" s="1607">
        <v>31</v>
      </c>
    </row>
    <row r="29" spans="1:6" x14ac:dyDescent="0.2">
      <c r="A29" s="1607" t="s">
        <v>62</v>
      </c>
      <c r="B29" s="1607" t="s">
        <v>160</v>
      </c>
      <c r="C29" s="1607" t="s">
        <v>45</v>
      </c>
      <c r="D29" s="1607">
        <v>305</v>
      </c>
      <c r="E29" s="1607"/>
      <c r="F29" s="1607">
        <v>31</v>
      </c>
    </row>
    <row r="30" spans="1:6" x14ac:dyDescent="0.2">
      <c r="A30" s="1607" t="s">
        <v>62</v>
      </c>
      <c r="B30" s="1607" t="s">
        <v>160</v>
      </c>
      <c r="C30" s="1607" t="s">
        <v>46</v>
      </c>
      <c r="D30" s="1607">
        <v>184</v>
      </c>
      <c r="E30" s="1607">
        <v>1</v>
      </c>
      <c r="F30" s="1607">
        <v>16</v>
      </c>
    </row>
    <row r="31" spans="1:6" x14ac:dyDescent="0.2">
      <c r="A31" s="1607" t="s">
        <v>62</v>
      </c>
      <c r="B31" s="1607" t="s">
        <v>160</v>
      </c>
      <c r="C31" s="1607" t="s">
        <v>47</v>
      </c>
      <c r="D31" s="1607">
        <v>34</v>
      </c>
      <c r="E31" s="1607"/>
      <c r="F31" s="1607">
        <v>2</v>
      </c>
    </row>
    <row r="32" spans="1:6" x14ac:dyDescent="0.2">
      <c r="A32" s="1607" t="s">
        <v>62</v>
      </c>
      <c r="B32" s="1607" t="s">
        <v>160</v>
      </c>
      <c r="C32" s="1607" t="s">
        <v>48</v>
      </c>
      <c r="D32" s="1607">
        <v>153</v>
      </c>
      <c r="E32" s="1607"/>
      <c r="F32" s="1607">
        <v>24</v>
      </c>
    </row>
    <row r="33" spans="1:6" x14ac:dyDescent="0.2">
      <c r="A33" s="1607" t="s">
        <v>62</v>
      </c>
      <c r="B33" s="1607" t="s">
        <v>160</v>
      </c>
      <c r="C33" s="1607" t="s">
        <v>49</v>
      </c>
      <c r="D33" s="1607">
        <v>416</v>
      </c>
      <c r="E33" s="1607">
        <v>4</v>
      </c>
      <c r="F33" s="1607">
        <v>61</v>
      </c>
    </row>
    <row r="34" spans="1:6" x14ac:dyDescent="0.2">
      <c r="A34" s="1607" t="s">
        <v>62</v>
      </c>
      <c r="B34" s="1607" t="s">
        <v>160</v>
      </c>
      <c r="C34" s="1607" t="s">
        <v>50</v>
      </c>
      <c r="D34" s="1607">
        <v>183</v>
      </c>
      <c r="E34" s="1607">
        <v>1</v>
      </c>
      <c r="F34" s="1607">
        <v>10</v>
      </c>
    </row>
    <row r="35" spans="1:6" x14ac:dyDescent="0.2">
      <c r="A35" s="1607" t="s">
        <v>62</v>
      </c>
      <c r="B35" s="1607" t="s">
        <v>160</v>
      </c>
      <c r="C35" s="1607" t="s">
        <v>51</v>
      </c>
      <c r="D35" s="1607">
        <v>208</v>
      </c>
      <c r="E35" s="1607"/>
      <c r="F35" s="1607">
        <v>25</v>
      </c>
    </row>
    <row r="36" spans="1:6" x14ac:dyDescent="0.2">
      <c r="A36" s="1607" t="s">
        <v>62</v>
      </c>
      <c r="B36" s="1607" t="s">
        <v>160</v>
      </c>
      <c r="C36" s="1607" t="s">
        <v>52</v>
      </c>
      <c r="D36" s="1607">
        <v>247</v>
      </c>
      <c r="E36" s="1607"/>
      <c r="F36" s="1607">
        <v>32</v>
      </c>
    </row>
    <row r="37" spans="1:6" x14ac:dyDescent="0.2">
      <c r="A37" s="1607" t="s">
        <v>62</v>
      </c>
      <c r="B37" s="1607" t="s">
        <v>379</v>
      </c>
      <c r="C37" s="1607" t="s">
        <v>23</v>
      </c>
      <c r="D37" s="1607">
        <v>439</v>
      </c>
      <c r="E37" s="1607">
        <v>2</v>
      </c>
      <c r="F37" s="1607">
        <v>34</v>
      </c>
    </row>
    <row r="38" spans="1:6" x14ac:dyDescent="0.2">
      <c r="A38" s="1607" t="s">
        <v>62</v>
      </c>
      <c r="B38" s="1607" t="s">
        <v>379</v>
      </c>
      <c r="C38" s="1607" t="s">
        <v>24</v>
      </c>
      <c r="D38" s="1607">
        <v>344</v>
      </c>
      <c r="E38" s="1607">
        <v>2</v>
      </c>
      <c r="F38" s="1607">
        <v>24</v>
      </c>
    </row>
    <row r="39" spans="1:6" x14ac:dyDescent="0.2">
      <c r="A39" s="1607" t="s">
        <v>62</v>
      </c>
      <c r="B39" s="1607" t="s">
        <v>379</v>
      </c>
      <c r="C39" s="1607" t="s">
        <v>25</v>
      </c>
      <c r="D39" s="1607">
        <v>163</v>
      </c>
      <c r="E39" s="1607"/>
      <c r="F39" s="1607">
        <v>21</v>
      </c>
    </row>
    <row r="40" spans="1:6" x14ac:dyDescent="0.2">
      <c r="A40" s="1607" t="s">
        <v>62</v>
      </c>
      <c r="B40" s="1607" t="s">
        <v>379</v>
      </c>
      <c r="C40" s="1607" t="s">
        <v>26</v>
      </c>
      <c r="D40" s="1607">
        <v>141</v>
      </c>
      <c r="E40" s="1607"/>
      <c r="F40" s="1607">
        <v>9</v>
      </c>
    </row>
    <row r="41" spans="1:6" x14ac:dyDescent="0.2">
      <c r="A41" s="1607" t="s">
        <v>62</v>
      </c>
      <c r="B41" s="1607" t="s">
        <v>379</v>
      </c>
      <c r="C41" s="1607" t="s">
        <v>27</v>
      </c>
      <c r="D41" s="1607">
        <v>96</v>
      </c>
      <c r="E41" s="1607"/>
      <c r="F41" s="1607">
        <v>22</v>
      </c>
    </row>
    <row r="42" spans="1:6" x14ac:dyDescent="0.2">
      <c r="A42" s="1607" t="s">
        <v>62</v>
      </c>
      <c r="B42" s="1607" t="s">
        <v>379</v>
      </c>
      <c r="C42" s="1607" t="s">
        <v>28</v>
      </c>
      <c r="D42" s="1607">
        <v>203</v>
      </c>
      <c r="E42" s="1607"/>
      <c r="F42" s="1607">
        <v>8</v>
      </c>
    </row>
    <row r="43" spans="1:6" x14ac:dyDescent="0.2">
      <c r="A43" s="1607" t="s">
        <v>62</v>
      </c>
      <c r="B43" s="1607" t="s">
        <v>379</v>
      </c>
      <c r="C43" s="1607" t="s">
        <v>29</v>
      </c>
      <c r="D43" s="1607">
        <v>311</v>
      </c>
      <c r="E43" s="1607"/>
      <c r="F43" s="1607">
        <v>50</v>
      </c>
    </row>
    <row r="44" spans="1:6" x14ac:dyDescent="0.2">
      <c r="A44" s="1607" t="s">
        <v>62</v>
      </c>
      <c r="B44" s="1607" t="s">
        <v>379</v>
      </c>
      <c r="C44" s="1607" t="s">
        <v>30</v>
      </c>
      <c r="D44" s="1607">
        <v>202</v>
      </c>
      <c r="E44" s="1607">
        <v>2</v>
      </c>
      <c r="F44" s="1607">
        <v>29</v>
      </c>
    </row>
    <row r="45" spans="1:6" x14ac:dyDescent="0.2">
      <c r="A45" s="1607" t="s">
        <v>62</v>
      </c>
      <c r="B45" s="1607" t="s">
        <v>379</v>
      </c>
      <c r="C45" s="1607" t="s">
        <v>31</v>
      </c>
      <c r="D45" s="1607">
        <v>117</v>
      </c>
      <c r="E45" s="1607">
        <v>1</v>
      </c>
      <c r="F45" s="1607">
        <v>21</v>
      </c>
    </row>
    <row r="46" spans="1:6" x14ac:dyDescent="0.2">
      <c r="A46" s="1607" t="s">
        <v>62</v>
      </c>
      <c r="B46" s="1607" t="s">
        <v>379</v>
      </c>
      <c r="C46" s="1607" t="s">
        <v>32</v>
      </c>
      <c r="D46" s="1607">
        <v>116</v>
      </c>
      <c r="E46" s="1607"/>
      <c r="F46" s="1607">
        <v>6</v>
      </c>
    </row>
    <row r="47" spans="1:6" x14ac:dyDescent="0.2">
      <c r="A47" s="1607" t="s">
        <v>62</v>
      </c>
      <c r="B47" s="1607" t="s">
        <v>379</v>
      </c>
      <c r="C47" s="1607" t="s">
        <v>33</v>
      </c>
      <c r="D47" s="1607">
        <v>80</v>
      </c>
      <c r="E47" s="1607"/>
      <c r="F47" s="1607">
        <v>6</v>
      </c>
    </row>
    <row r="48" spans="1:6" x14ac:dyDescent="0.2">
      <c r="A48" s="1607" t="s">
        <v>62</v>
      </c>
      <c r="B48" s="1607" t="s">
        <v>379</v>
      </c>
      <c r="C48" s="1607" t="s">
        <v>665</v>
      </c>
      <c r="D48" s="1607">
        <v>793</v>
      </c>
      <c r="E48" s="1607">
        <v>3</v>
      </c>
      <c r="F48" s="1607">
        <v>111</v>
      </c>
    </row>
    <row r="49" spans="1:6" x14ac:dyDescent="0.2">
      <c r="A49" s="1607" t="s">
        <v>62</v>
      </c>
      <c r="B49" s="1607" t="s">
        <v>379</v>
      </c>
      <c r="C49" s="1607" t="s">
        <v>34</v>
      </c>
      <c r="D49" s="1607">
        <v>202</v>
      </c>
      <c r="E49" s="1607">
        <v>1</v>
      </c>
      <c r="F49" s="1607">
        <v>32</v>
      </c>
    </row>
    <row r="50" spans="1:6" x14ac:dyDescent="0.2">
      <c r="A50" s="1607" t="s">
        <v>62</v>
      </c>
      <c r="B50" s="1607" t="s">
        <v>379</v>
      </c>
      <c r="C50" s="1607" t="s">
        <v>35</v>
      </c>
      <c r="D50" s="1607">
        <v>451</v>
      </c>
      <c r="E50" s="1607">
        <v>4</v>
      </c>
      <c r="F50" s="1607">
        <v>64</v>
      </c>
    </row>
    <row r="51" spans="1:6" x14ac:dyDescent="0.2">
      <c r="A51" s="1607" t="s">
        <v>62</v>
      </c>
      <c r="B51" s="1607" t="s">
        <v>379</v>
      </c>
      <c r="C51" s="1607" t="s">
        <v>36</v>
      </c>
      <c r="D51" s="1607">
        <v>1256</v>
      </c>
      <c r="E51" s="1607">
        <v>7</v>
      </c>
      <c r="F51" s="1607">
        <v>176</v>
      </c>
    </row>
    <row r="52" spans="1:6" x14ac:dyDescent="0.2">
      <c r="A52" s="1607" t="s">
        <v>62</v>
      </c>
      <c r="B52" s="1607" t="s">
        <v>379</v>
      </c>
      <c r="C52" s="1607" t="s">
        <v>37</v>
      </c>
      <c r="D52" s="1607">
        <v>345</v>
      </c>
      <c r="E52" s="1607">
        <v>2</v>
      </c>
      <c r="F52" s="1607">
        <v>59</v>
      </c>
    </row>
    <row r="53" spans="1:6" x14ac:dyDescent="0.2">
      <c r="A53" s="1607" t="s">
        <v>62</v>
      </c>
      <c r="B53" s="1607" t="s">
        <v>379</v>
      </c>
      <c r="C53" s="1607" t="s">
        <v>38</v>
      </c>
      <c r="D53" s="1607">
        <v>162</v>
      </c>
      <c r="E53" s="1607">
        <v>1</v>
      </c>
      <c r="F53" s="1607">
        <v>38</v>
      </c>
    </row>
    <row r="54" spans="1:6" x14ac:dyDescent="0.2">
      <c r="A54" s="1607" t="s">
        <v>62</v>
      </c>
      <c r="B54" s="1607" t="s">
        <v>379</v>
      </c>
      <c r="C54" s="1607" t="s">
        <v>39</v>
      </c>
      <c r="D54" s="1607">
        <v>127</v>
      </c>
      <c r="E54" s="1607">
        <v>1</v>
      </c>
      <c r="F54" s="1607">
        <v>16</v>
      </c>
    </row>
    <row r="55" spans="1:6" x14ac:dyDescent="0.2">
      <c r="A55" s="1607" t="s">
        <v>62</v>
      </c>
      <c r="B55" s="1607" t="s">
        <v>379</v>
      </c>
      <c r="C55" s="1607" t="s">
        <v>40</v>
      </c>
      <c r="D55" s="1607">
        <v>110</v>
      </c>
      <c r="E55" s="1607">
        <v>1</v>
      </c>
      <c r="F55" s="1607">
        <v>16</v>
      </c>
    </row>
    <row r="56" spans="1:6" x14ac:dyDescent="0.2">
      <c r="A56" s="1607" t="s">
        <v>62</v>
      </c>
      <c r="B56" s="1607" t="s">
        <v>379</v>
      </c>
      <c r="C56" s="1607" t="s">
        <v>393</v>
      </c>
      <c r="D56" s="1607">
        <v>35</v>
      </c>
      <c r="E56" s="1607">
        <v>3</v>
      </c>
      <c r="F56" s="1607">
        <v>8</v>
      </c>
    </row>
    <row r="57" spans="1:6" x14ac:dyDescent="0.2">
      <c r="A57" s="1607" t="s">
        <v>62</v>
      </c>
      <c r="B57" s="1607" t="s">
        <v>379</v>
      </c>
      <c r="C57" s="1607" t="s">
        <v>41</v>
      </c>
      <c r="D57" s="1607">
        <v>220</v>
      </c>
      <c r="E57" s="1607"/>
      <c r="F57" s="1607">
        <v>25</v>
      </c>
    </row>
    <row r="58" spans="1:6" x14ac:dyDescent="0.2">
      <c r="A58" s="1607" t="s">
        <v>62</v>
      </c>
      <c r="B58" s="1607" t="s">
        <v>379</v>
      </c>
      <c r="C58" s="1607" t="s">
        <v>42</v>
      </c>
      <c r="D58" s="1607">
        <v>463</v>
      </c>
      <c r="E58" s="1607">
        <v>1</v>
      </c>
      <c r="F58" s="1607">
        <v>65</v>
      </c>
    </row>
    <row r="59" spans="1:6" x14ac:dyDescent="0.2">
      <c r="A59" s="1607" t="s">
        <v>62</v>
      </c>
      <c r="B59" s="1607" t="s">
        <v>379</v>
      </c>
      <c r="C59" s="1607" t="s">
        <v>43</v>
      </c>
      <c r="D59" s="1607">
        <v>21</v>
      </c>
      <c r="E59" s="1607"/>
      <c r="F59" s="1607">
        <v>5</v>
      </c>
    </row>
    <row r="60" spans="1:6" x14ac:dyDescent="0.2">
      <c r="A60" s="1607" t="s">
        <v>62</v>
      </c>
      <c r="B60" s="1607" t="s">
        <v>379</v>
      </c>
      <c r="C60" s="1607" t="s">
        <v>44</v>
      </c>
      <c r="D60" s="1607">
        <v>255</v>
      </c>
      <c r="E60" s="1607">
        <v>1</v>
      </c>
      <c r="F60" s="1607">
        <v>23</v>
      </c>
    </row>
    <row r="61" spans="1:6" x14ac:dyDescent="0.2">
      <c r="A61" s="1607" t="s">
        <v>62</v>
      </c>
      <c r="B61" s="1607" t="s">
        <v>379</v>
      </c>
      <c r="C61" s="1607" t="s">
        <v>45</v>
      </c>
      <c r="D61" s="1607">
        <v>276</v>
      </c>
      <c r="E61" s="1607">
        <v>1</v>
      </c>
      <c r="F61" s="1607">
        <v>27</v>
      </c>
    </row>
    <row r="62" spans="1:6" x14ac:dyDescent="0.2">
      <c r="A62" s="1607" t="s">
        <v>62</v>
      </c>
      <c r="B62" s="1607" t="s">
        <v>379</v>
      </c>
      <c r="C62" s="1607" t="s">
        <v>46</v>
      </c>
      <c r="D62" s="1607">
        <v>162</v>
      </c>
      <c r="E62" s="1607">
        <v>1</v>
      </c>
      <c r="F62" s="1607">
        <v>26</v>
      </c>
    </row>
    <row r="63" spans="1:6" x14ac:dyDescent="0.2">
      <c r="A63" s="1607" t="s">
        <v>62</v>
      </c>
      <c r="B63" s="1607" t="s">
        <v>379</v>
      </c>
      <c r="C63" s="1607" t="s">
        <v>47</v>
      </c>
      <c r="D63" s="1607">
        <v>24</v>
      </c>
      <c r="E63" s="1607"/>
      <c r="F63" s="1607">
        <v>4</v>
      </c>
    </row>
    <row r="64" spans="1:6" x14ac:dyDescent="0.2">
      <c r="A64" s="1607" t="s">
        <v>62</v>
      </c>
      <c r="B64" s="1607" t="s">
        <v>379</v>
      </c>
      <c r="C64" s="1607" t="s">
        <v>48</v>
      </c>
      <c r="D64" s="1607">
        <v>152</v>
      </c>
      <c r="E64" s="1607"/>
      <c r="F64" s="1607">
        <v>23</v>
      </c>
    </row>
    <row r="65" spans="1:6" x14ac:dyDescent="0.2">
      <c r="A65" s="1607" t="s">
        <v>62</v>
      </c>
      <c r="B65" s="1607" t="s">
        <v>379</v>
      </c>
      <c r="C65" s="1607" t="s">
        <v>49</v>
      </c>
      <c r="D65" s="1607">
        <v>388</v>
      </c>
      <c r="E65" s="1607"/>
      <c r="F65" s="1607">
        <v>44</v>
      </c>
    </row>
    <row r="66" spans="1:6" x14ac:dyDescent="0.2">
      <c r="A66" s="1607" t="s">
        <v>62</v>
      </c>
      <c r="B66" s="1607" t="s">
        <v>379</v>
      </c>
      <c r="C66" s="1607" t="s">
        <v>50</v>
      </c>
      <c r="D66" s="1607">
        <v>150</v>
      </c>
      <c r="E66" s="1607">
        <v>1</v>
      </c>
      <c r="F66" s="1607">
        <v>13</v>
      </c>
    </row>
    <row r="67" spans="1:6" x14ac:dyDescent="0.2">
      <c r="A67" s="1607" t="s">
        <v>62</v>
      </c>
      <c r="B67" s="1607" t="s">
        <v>379</v>
      </c>
      <c r="C67" s="1607" t="s">
        <v>51</v>
      </c>
      <c r="D67" s="1607">
        <v>179</v>
      </c>
      <c r="E67" s="1607"/>
      <c r="F67" s="1607">
        <v>20</v>
      </c>
    </row>
    <row r="68" spans="1:6" x14ac:dyDescent="0.2">
      <c r="A68" s="1607" t="s">
        <v>62</v>
      </c>
      <c r="B68" s="1607" t="s">
        <v>379</v>
      </c>
      <c r="C68" s="1607" t="s">
        <v>52</v>
      </c>
      <c r="D68" s="1607">
        <v>226</v>
      </c>
      <c r="E68" s="1607"/>
      <c r="F68" s="1607">
        <v>28</v>
      </c>
    </row>
    <row r="69" spans="1:6" x14ac:dyDescent="0.2">
      <c r="A69" s="1607" t="s">
        <v>62</v>
      </c>
      <c r="B69" s="1607" t="s">
        <v>603</v>
      </c>
      <c r="C69" s="1607" t="s">
        <v>23</v>
      </c>
      <c r="D69" s="1607">
        <v>355</v>
      </c>
      <c r="E69" s="1607">
        <v>3</v>
      </c>
      <c r="F69" s="1607">
        <v>23</v>
      </c>
    </row>
    <row r="70" spans="1:6" x14ac:dyDescent="0.2">
      <c r="A70" s="1607" t="s">
        <v>62</v>
      </c>
      <c r="B70" s="1607" t="s">
        <v>603</v>
      </c>
      <c r="C70" s="1607" t="s">
        <v>24</v>
      </c>
      <c r="D70" s="1607">
        <v>344</v>
      </c>
      <c r="E70" s="1607">
        <v>1</v>
      </c>
      <c r="F70" s="1607">
        <v>44</v>
      </c>
    </row>
    <row r="71" spans="1:6" x14ac:dyDescent="0.2">
      <c r="A71" s="1607" t="s">
        <v>62</v>
      </c>
      <c r="B71" s="1607" t="s">
        <v>603</v>
      </c>
      <c r="C71" s="1607" t="s">
        <v>25</v>
      </c>
      <c r="D71" s="1607">
        <v>133</v>
      </c>
      <c r="E71" s="1607"/>
      <c r="F71" s="1607">
        <v>20</v>
      </c>
    </row>
    <row r="72" spans="1:6" x14ac:dyDescent="0.2">
      <c r="A72" s="1607" t="s">
        <v>62</v>
      </c>
      <c r="B72" s="1607" t="s">
        <v>603</v>
      </c>
      <c r="C72" s="1607" t="s">
        <v>26</v>
      </c>
      <c r="D72" s="1607">
        <v>159</v>
      </c>
      <c r="E72" s="1607">
        <v>1</v>
      </c>
      <c r="F72" s="1607">
        <v>18</v>
      </c>
    </row>
    <row r="73" spans="1:6" x14ac:dyDescent="0.2">
      <c r="A73" s="1607" t="s">
        <v>62</v>
      </c>
      <c r="B73" s="1607" t="s">
        <v>603</v>
      </c>
      <c r="C73" s="1607" t="s">
        <v>27</v>
      </c>
      <c r="D73" s="1607">
        <v>69</v>
      </c>
      <c r="E73" s="1607"/>
      <c r="F73" s="1607">
        <v>8</v>
      </c>
    </row>
    <row r="74" spans="1:6" x14ac:dyDescent="0.2">
      <c r="A74" s="1607" t="s">
        <v>62</v>
      </c>
      <c r="B74" s="1607" t="s">
        <v>603</v>
      </c>
      <c r="C74" s="1607" t="s">
        <v>28</v>
      </c>
      <c r="D74" s="1607">
        <v>199</v>
      </c>
      <c r="E74" s="1607">
        <v>5</v>
      </c>
      <c r="F74" s="1607">
        <v>5</v>
      </c>
    </row>
    <row r="75" spans="1:6" x14ac:dyDescent="0.2">
      <c r="A75" s="1607" t="s">
        <v>62</v>
      </c>
      <c r="B75" s="1607" t="s">
        <v>603</v>
      </c>
      <c r="C75" s="1607" t="s">
        <v>29</v>
      </c>
      <c r="D75" s="1607">
        <v>271</v>
      </c>
      <c r="E75" s="1607"/>
      <c r="F75" s="1607">
        <v>34</v>
      </c>
    </row>
    <row r="76" spans="1:6" x14ac:dyDescent="0.2">
      <c r="A76" s="1607" t="s">
        <v>62</v>
      </c>
      <c r="B76" s="1607" t="s">
        <v>603</v>
      </c>
      <c r="C76" s="1607" t="s">
        <v>30</v>
      </c>
      <c r="D76" s="1607">
        <v>133</v>
      </c>
      <c r="E76" s="1607">
        <v>1</v>
      </c>
      <c r="F76" s="1607">
        <v>24</v>
      </c>
    </row>
    <row r="77" spans="1:6" x14ac:dyDescent="0.2">
      <c r="A77" s="1607" t="s">
        <v>62</v>
      </c>
      <c r="B77" s="1607" t="s">
        <v>603</v>
      </c>
      <c r="C77" s="1607" t="s">
        <v>31</v>
      </c>
      <c r="D77" s="1607">
        <v>101</v>
      </c>
      <c r="E77" s="1607"/>
      <c r="F77" s="1607">
        <v>16</v>
      </c>
    </row>
    <row r="78" spans="1:6" x14ac:dyDescent="0.2">
      <c r="A78" s="1607" t="s">
        <v>62</v>
      </c>
      <c r="B78" s="1607" t="s">
        <v>603</v>
      </c>
      <c r="C78" s="1607" t="s">
        <v>32</v>
      </c>
      <c r="D78" s="1607">
        <v>130</v>
      </c>
      <c r="E78" s="1607">
        <v>2</v>
      </c>
      <c r="F78" s="1607">
        <v>12</v>
      </c>
    </row>
    <row r="79" spans="1:6" x14ac:dyDescent="0.2">
      <c r="A79" s="1607" t="s">
        <v>62</v>
      </c>
      <c r="B79" s="1607" t="s">
        <v>603</v>
      </c>
      <c r="C79" s="1607" t="s">
        <v>33</v>
      </c>
      <c r="D79" s="1607">
        <v>111</v>
      </c>
      <c r="E79" s="1607"/>
      <c r="F79" s="1607">
        <v>7</v>
      </c>
    </row>
    <row r="80" spans="1:6" x14ac:dyDescent="0.2">
      <c r="A80" s="1607" t="s">
        <v>62</v>
      </c>
      <c r="B80" s="1607" t="s">
        <v>603</v>
      </c>
      <c r="C80" s="1607" t="s">
        <v>665</v>
      </c>
      <c r="D80" s="1607">
        <v>742</v>
      </c>
      <c r="E80" s="1607">
        <v>1</v>
      </c>
      <c r="F80" s="1607">
        <v>78</v>
      </c>
    </row>
    <row r="81" spans="1:6" x14ac:dyDescent="0.2">
      <c r="A81" s="1607" t="s">
        <v>62</v>
      </c>
      <c r="B81" s="1607" t="s">
        <v>603</v>
      </c>
      <c r="C81" s="1607" t="s">
        <v>34</v>
      </c>
      <c r="D81" s="1607">
        <v>199</v>
      </c>
      <c r="E81" s="1607">
        <v>2</v>
      </c>
      <c r="F81" s="1607">
        <v>21</v>
      </c>
    </row>
    <row r="82" spans="1:6" x14ac:dyDescent="0.2">
      <c r="A82" s="1607" t="s">
        <v>62</v>
      </c>
      <c r="B82" s="1607" t="s">
        <v>603</v>
      </c>
      <c r="C82" s="1607" t="s">
        <v>35</v>
      </c>
      <c r="D82" s="1607">
        <v>508</v>
      </c>
      <c r="E82" s="1607">
        <v>2</v>
      </c>
      <c r="F82" s="1607">
        <v>37</v>
      </c>
    </row>
    <row r="83" spans="1:6" x14ac:dyDescent="0.2">
      <c r="A83" s="1607" t="s">
        <v>62</v>
      </c>
      <c r="B83" s="1607" t="s">
        <v>603</v>
      </c>
      <c r="C83" s="1607" t="s">
        <v>36</v>
      </c>
      <c r="D83" s="1607">
        <v>1261</v>
      </c>
      <c r="E83" s="1607">
        <v>4</v>
      </c>
      <c r="F83" s="1607">
        <v>172</v>
      </c>
    </row>
    <row r="84" spans="1:6" x14ac:dyDescent="0.2">
      <c r="A84" s="1607" t="s">
        <v>62</v>
      </c>
      <c r="B84" s="1607" t="s">
        <v>603</v>
      </c>
      <c r="C84" s="1607" t="s">
        <v>37</v>
      </c>
      <c r="D84" s="1607">
        <v>337</v>
      </c>
      <c r="E84" s="1607">
        <v>2</v>
      </c>
      <c r="F84" s="1607">
        <v>40</v>
      </c>
    </row>
    <row r="85" spans="1:6" x14ac:dyDescent="0.2">
      <c r="A85" s="1607" t="s">
        <v>62</v>
      </c>
      <c r="B85" s="1607" t="s">
        <v>603</v>
      </c>
      <c r="C85" s="1607" t="s">
        <v>38</v>
      </c>
      <c r="D85" s="1607">
        <v>123</v>
      </c>
      <c r="E85" s="1607"/>
      <c r="F85" s="1607">
        <v>14</v>
      </c>
    </row>
    <row r="86" spans="1:6" x14ac:dyDescent="0.2">
      <c r="A86" s="1607" t="s">
        <v>62</v>
      </c>
      <c r="B86" s="1607" t="s">
        <v>603</v>
      </c>
      <c r="C86" s="1607" t="s">
        <v>39</v>
      </c>
      <c r="D86" s="1607">
        <v>116</v>
      </c>
      <c r="E86" s="1607"/>
      <c r="F86" s="1607">
        <v>14</v>
      </c>
    </row>
    <row r="87" spans="1:6" x14ac:dyDescent="0.2">
      <c r="A87" s="1607" t="s">
        <v>62</v>
      </c>
      <c r="B87" s="1607" t="s">
        <v>603</v>
      </c>
      <c r="C87" s="1607" t="s">
        <v>40</v>
      </c>
      <c r="D87" s="1607">
        <v>89</v>
      </c>
      <c r="E87" s="1607">
        <v>1</v>
      </c>
      <c r="F87" s="1607">
        <v>17</v>
      </c>
    </row>
    <row r="88" spans="1:6" x14ac:dyDescent="0.2">
      <c r="A88" s="1607" t="s">
        <v>62</v>
      </c>
      <c r="B88" s="1607" t="s">
        <v>603</v>
      </c>
      <c r="C88" s="1607" t="s">
        <v>393</v>
      </c>
      <c r="D88" s="1607">
        <v>36</v>
      </c>
      <c r="E88" s="1607"/>
      <c r="F88" s="1607">
        <v>2</v>
      </c>
    </row>
    <row r="89" spans="1:6" x14ac:dyDescent="0.2">
      <c r="A89" s="1607" t="s">
        <v>62</v>
      </c>
      <c r="B89" s="1607" t="s">
        <v>603</v>
      </c>
      <c r="C89" s="1607" t="s">
        <v>41</v>
      </c>
      <c r="D89" s="1607">
        <v>222</v>
      </c>
      <c r="E89" s="1607"/>
      <c r="F89" s="1607">
        <v>20</v>
      </c>
    </row>
    <row r="90" spans="1:6" x14ac:dyDescent="0.2">
      <c r="A90" s="1607" t="s">
        <v>62</v>
      </c>
      <c r="B90" s="1607" t="s">
        <v>603</v>
      </c>
      <c r="C90" s="1607" t="s">
        <v>42</v>
      </c>
      <c r="D90" s="1607">
        <v>448</v>
      </c>
      <c r="E90" s="1607">
        <v>2</v>
      </c>
      <c r="F90" s="1607">
        <v>87</v>
      </c>
    </row>
    <row r="91" spans="1:6" x14ac:dyDescent="0.2">
      <c r="A91" s="1607" t="s">
        <v>62</v>
      </c>
      <c r="B91" s="1607" t="s">
        <v>603</v>
      </c>
      <c r="C91" s="1607" t="s">
        <v>43</v>
      </c>
      <c r="D91" s="1607">
        <v>15</v>
      </c>
      <c r="E91" s="1607"/>
      <c r="F91" s="1607">
        <v>4</v>
      </c>
    </row>
    <row r="92" spans="1:6" x14ac:dyDescent="0.2">
      <c r="A92" s="1607" t="s">
        <v>62</v>
      </c>
      <c r="B92" s="1607" t="s">
        <v>603</v>
      </c>
      <c r="C92" s="1607" t="s">
        <v>44</v>
      </c>
      <c r="D92" s="1607">
        <v>207</v>
      </c>
      <c r="E92" s="1607"/>
      <c r="F92" s="1607">
        <v>22</v>
      </c>
    </row>
    <row r="93" spans="1:6" x14ac:dyDescent="0.2">
      <c r="A93" s="1607" t="s">
        <v>62</v>
      </c>
      <c r="B93" s="1607" t="s">
        <v>603</v>
      </c>
      <c r="C93" s="1607" t="s">
        <v>45</v>
      </c>
      <c r="D93" s="1607">
        <v>283</v>
      </c>
      <c r="E93" s="1607">
        <v>1</v>
      </c>
      <c r="F93" s="1607">
        <v>31</v>
      </c>
    </row>
    <row r="94" spans="1:6" x14ac:dyDescent="0.2">
      <c r="A94" s="1607" t="s">
        <v>62</v>
      </c>
      <c r="B94" s="1607" t="s">
        <v>603</v>
      </c>
      <c r="C94" s="1607" t="s">
        <v>46</v>
      </c>
      <c r="D94" s="1607">
        <v>148</v>
      </c>
      <c r="E94" s="1607">
        <v>1</v>
      </c>
      <c r="F94" s="1607">
        <v>15</v>
      </c>
    </row>
    <row r="95" spans="1:6" x14ac:dyDescent="0.2">
      <c r="A95" s="1607" t="s">
        <v>62</v>
      </c>
      <c r="B95" s="1607" t="s">
        <v>603</v>
      </c>
      <c r="C95" s="1607" t="s">
        <v>47</v>
      </c>
      <c r="D95" s="1607">
        <v>32</v>
      </c>
      <c r="E95" s="1607"/>
      <c r="F95" s="1607">
        <v>6</v>
      </c>
    </row>
    <row r="96" spans="1:6" x14ac:dyDescent="0.2">
      <c r="A96" s="1607" t="s">
        <v>62</v>
      </c>
      <c r="B96" s="1607" t="s">
        <v>603</v>
      </c>
      <c r="C96" s="1607" t="s">
        <v>48</v>
      </c>
      <c r="D96" s="1607">
        <v>164</v>
      </c>
      <c r="E96" s="1607">
        <v>4</v>
      </c>
      <c r="F96" s="1607">
        <v>24</v>
      </c>
    </row>
    <row r="97" spans="1:6" x14ac:dyDescent="0.2">
      <c r="A97" s="1607" t="s">
        <v>62</v>
      </c>
      <c r="B97" s="1607" t="s">
        <v>603</v>
      </c>
      <c r="C97" s="1607" t="s">
        <v>49</v>
      </c>
      <c r="D97" s="1607">
        <v>401</v>
      </c>
      <c r="E97" s="1607">
        <v>4</v>
      </c>
      <c r="F97" s="1607">
        <v>51</v>
      </c>
    </row>
    <row r="98" spans="1:6" x14ac:dyDescent="0.2">
      <c r="A98" s="1607" t="s">
        <v>62</v>
      </c>
      <c r="B98" s="1607" t="s">
        <v>603</v>
      </c>
      <c r="C98" s="1607" t="s">
        <v>50</v>
      </c>
      <c r="D98" s="1607">
        <v>136</v>
      </c>
      <c r="E98" s="1607">
        <v>2</v>
      </c>
      <c r="F98" s="1607">
        <v>20</v>
      </c>
    </row>
    <row r="99" spans="1:6" x14ac:dyDescent="0.2">
      <c r="A99" s="1607" t="s">
        <v>62</v>
      </c>
      <c r="B99" s="1607" t="s">
        <v>603</v>
      </c>
      <c r="C99" s="1607" t="s">
        <v>51</v>
      </c>
      <c r="D99" s="1607">
        <v>199</v>
      </c>
      <c r="E99" s="1607">
        <v>3</v>
      </c>
      <c r="F99" s="1607">
        <v>18</v>
      </c>
    </row>
    <row r="100" spans="1:6" x14ac:dyDescent="0.2">
      <c r="A100" s="1607" t="s">
        <v>62</v>
      </c>
      <c r="B100" s="1607" t="s">
        <v>603</v>
      </c>
      <c r="C100" s="1607" t="s">
        <v>52</v>
      </c>
      <c r="D100" s="1607">
        <v>258</v>
      </c>
      <c r="E100" s="1607"/>
      <c r="F100" s="1607">
        <v>29</v>
      </c>
    </row>
    <row r="101" spans="1:6" x14ac:dyDescent="0.2">
      <c r="A101" s="1607" t="s">
        <v>118</v>
      </c>
      <c r="B101" s="1607" t="s">
        <v>160</v>
      </c>
      <c r="C101" s="1607" t="s">
        <v>23</v>
      </c>
      <c r="D101" s="1607">
        <v>118</v>
      </c>
      <c r="E101" s="1607"/>
      <c r="F101" s="1607">
        <v>12</v>
      </c>
    </row>
    <row r="102" spans="1:6" x14ac:dyDescent="0.2">
      <c r="A102" s="1607" t="s">
        <v>118</v>
      </c>
      <c r="B102" s="1607" t="s">
        <v>160</v>
      </c>
      <c r="C102" s="1607" t="s">
        <v>24</v>
      </c>
      <c r="D102" s="1607">
        <v>56</v>
      </c>
      <c r="E102" s="1607">
        <v>2</v>
      </c>
      <c r="F102" s="1607">
        <v>3</v>
      </c>
    </row>
    <row r="103" spans="1:6" x14ac:dyDescent="0.2">
      <c r="A103" s="1607" t="s">
        <v>118</v>
      </c>
      <c r="B103" s="1607" t="s">
        <v>160</v>
      </c>
      <c r="C103" s="1607" t="s">
        <v>25</v>
      </c>
      <c r="D103" s="1607">
        <v>25</v>
      </c>
      <c r="E103" s="1607"/>
      <c r="F103" s="1607">
        <v>9</v>
      </c>
    </row>
    <row r="104" spans="1:6" x14ac:dyDescent="0.2">
      <c r="A104" s="1607" t="s">
        <v>118</v>
      </c>
      <c r="B104" s="1607" t="s">
        <v>160</v>
      </c>
      <c r="C104" s="1607" t="s">
        <v>26</v>
      </c>
      <c r="D104" s="1607">
        <v>9</v>
      </c>
      <c r="E104" s="1607"/>
      <c r="F104" s="1607"/>
    </row>
    <row r="105" spans="1:6" x14ac:dyDescent="0.2">
      <c r="A105" s="1607" t="s">
        <v>118</v>
      </c>
      <c r="B105" s="1607" t="s">
        <v>160</v>
      </c>
      <c r="C105" s="1607" t="s">
        <v>27</v>
      </c>
      <c r="D105" s="1607">
        <v>20</v>
      </c>
      <c r="E105" s="1607"/>
      <c r="F105" s="1607">
        <v>3</v>
      </c>
    </row>
    <row r="106" spans="1:6" x14ac:dyDescent="0.2">
      <c r="A106" s="1607" t="s">
        <v>118</v>
      </c>
      <c r="B106" s="1607" t="s">
        <v>160</v>
      </c>
      <c r="C106" s="1607" t="s">
        <v>28</v>
      </c>
      <c r="D106" s="1607">
        <v>34</v>
      </c>
      <c r="E106" s="1607">
        <v>2</v>
      </c>
      <c r="F106" s="1607"/>
    </row>
    <row r="107" spans="1:6" x14ac:dyDescent="0.2">
      <c r="A107" s="1607" t="s">
        <v>118</v>
      </c>
      <c r="B107" s="1607" t="s">
        <v>160</v>
      </c>
      <c r="C107" s="1607" t="s">
        <v>29</v>
      </c>
      <c r="D107" s="1607">
        <v>75</v>
      </c>
      <c r="E107" s="1607"/>
      <c r="F107" s="1607">
        <v>1</v>
      </c>
    </row>
    <row r="108" spans="1:6" x14ac:dyDescent="0.2">
      <c r="A108" s="1607" t="s">
        <v>118</v>
      </c>
      <c r="B108" s="1607" t="s">
        <v>160</v>
      </c>
      <c r="C108" s="1607" t="s">
        <v>30</v>
      </c>
      <c r="D108" s="1607">
        <v>62</v>
      </c>
      <c r="E108" s="1607"/>
      <c r="F108" s="1607">
        <v>3</v>
      </c>
    </row>
    <row r="109" spans="1:6" x14ac:dyDescent="0.2">
      <c r="A109" s="1607" t="s">
        <v>118</v>
      </c>
      <c r="B109" s="1607" t="s">
        <v>160</v>
      </c>
      <c r="C109" s="1607" t="s">
        <v>31</v>
      </c>
      <c r="D109" s="1607">
        <v>45</v>
      </c>
      <c r="E109" s="1607"/>
      <c r="F109" s="1607">
        <v>2</v>
      </c>
    </row>
    <row r="110" spans="1:6" x14ac:dyDescent="0.2">
      <c r="A110" s="1607" t="s">
        <v>118</v>
      </c>
      <c r="B110" s="1607" t="s">
        <v>160</v>
      </c>
      <c r="C110" s="1607" t="s">
        <v>32</v>
      </c>
      <c r="D110" s="1607">
        <v>63</v>
      </c>
      <c r="E110" s="1607"/>
      <c r="F110" s="1607">
        <v>1</v>
      </c>
    </row>
    <row r="111" spans="1:6" x14ac:dyDescent="0.2">
      <c r="A111" s="1607" t="s">
        <v>118</v>
      </c>
      <c r="B111" s="1607" t="s">
        <v>160</v>
      </c>
      <c r="C111" s="1607" t="s">
        <v>33</v>
      </c>
      <c r="D111" s="1607">
        <v>34</v>
      </c>
      <c r="E111" s="1607">
        <v>1</v>
      </c>
      <c r="F111" s="1607">
        <v>1</v>
      </c>
    </row>
    <row r="112" spans="1:6" x14ac:dyDescent="0.2">
      <c r="A112" s="1607" t="s">
        <v>118</v>
      </c>
      <c r="B112" s="1607" t="s">
        <v>160</v>
      </c>
      <c r="C112" s="1607" t="s">
        <v>665</v>
      </c>
      <c r="D112" s="1607">
        <v>337</v>
      </c>
      <c r="E112" s="1607"/>
      <c r="F112" s="1607">
        <v>25</v>
      </c>
    </row>
    <row r="113" spans="1:6" x14ac:dyDescent="0.2">
      <c r="A113" s="1607" t="s">
        <v>118</v>
      </c>
      <c r="B113" s="1607" t="s">
        <v>160</v>
      </c>
      <c r="C113" s="1607" t="s">
        <v>34</v>
      </c>
      <c r="D113" s="1607">
        <v>82</v>
      </c>
      <c r="E113" s="1607"/>
      <c r="F113" s="1607">
        <v>5</v>
      </c>
    </row>
    <row r="114" spans="1:6" x14ac:dyDescent="0.2">
      <c r="A114" s="1607" t="s">
        <v>118</v>
      </c>
      <c r="B114" s="1607" t="s">
        <v>160</v>
      </c>
      <c r="C114" s="1607" t="s">
        <v>35</v>
      </c>
      <c r="D114" s="1607">
        <v>125</v>
      </c>
      <c r="E114" s="1607"/>
      <c r="F114" s="1607">
        <v>4</v>
      </c>
    </row>
    <row r="115" spans="1:6" x14ac:dyDescent="0.2">
      <c r="A115" s="1607" t="s">
        <v>118</v>
      </c>
      <c r="B115" s="1607" t="s">
        <v>160</v>
      </c>
      <c r="C115" s="1607" t="s">
        <v>36</v>
      </c>
      <c r="D115" s="1607">
        <v>440</v>
      </c>
      <c r="E115" s="1607">
        <v>1</v>
      </c>
      <c r="F115" s="1607">
        <v>35</v>
      </c>
    </row>
    <row r="116" spans="1:6" x14ac:dyDescent="0.2">
      <c r="A116" s="1607" t="s">
        <v>118</v>
      </c>
      <c r="B116" s="1607" t="s">
        <v>160</v>
      </c>
      <c r="C116" s="1607" t="s">
        <v>37</v>
      </c>
      <c r="D116" s="1607">
        <v>48</v>
      </c>
      <c r="E116" s="1607"/>
      <c r="F116" s="1607">
        <v>2</v>
      </c>
    </row>
    <row r="117" spans="1:6" x14ac:dyDescent="0.2">
      <c r="A117" s="1607" t="s">
        <v>118</v>
      </c>
      <c r="B117" s="1607" t="s">
        <v>160</v>
      </c>
      <c r="C117" s="1607" t="s">
        <v>38</v>
      </c>
      <c r="D117" s="1607">
        <v>62</v>
      </c>
      <c r="E117" s="1607"/>
      <c r="F117" s="1607">
        <v>6</v>
      </c>
    </row>
    <row r="118" spans="1:6" x14ac:dyDescent="0.2">
      <c r="A118" s="1607" t="s">
        <v>118</v>
      </c>
      <c r="B118" s="1607" t="s">
        <v>160</v>
      </c>
      <c r="C118" s="1607" t="s">
        <v>39</v>
      </c>
      <c r="D118" s="1607">
        <v>65</v>
      </c>
      <c r="E118" s="1607"/>
      <c r="F118" s="1607"/>
    </row>
    <row r="119" spans="1:6" x14ac:dyDescent="0.2">
      <c r="A119" s="1607" t="s">
        <v>118</v>
      </c>
      <c r="B119" s="1607" t="s">
        <v>160</v>
      </c>
      <c r="C119" s="1607" t="s">
        <v>40</v>
      </c>
      <c r="D119" s="1607">
        <v>16</v>
      </c>
      <c r="E119" s="1607"/>
      <c r="F119" s="1607"/>
    </row>
    <row r="120" spans="1:6" x14ac:dyDescent="0.2">
      <c r="A120" s="1607" t="s">
        <v>118</v>
      </c>
      <c r="B120" s="1607" t="s">
        <v>160</v>
      </c>
      <c r="C120" s="1607" t="s">
        <v>393</v>
      </c>
      <c r="D120" s="1607">
        <v>3</v>
      </c>
      <c r="E120" s="1607"/>
      <c r="F120" s="1607"/>
    </row>
    <row r="121" spans="1:6" x14ac:dyDescent="0.2">
      <c r="A121" s="1607" t="s">
        <v>118</v>
      </c>
      <c r="B121" s="1607" t="s">
        <v>160</v>
      </c>
      <c r="C121" s="1607" t="s">
        <v>41</v>
      </c>
      <c r="D121" s="1607">
        <v>52</v>
      </c>
      <c r="E121" s="1607"/>
      <c r="F121" s="1607">
        <v>6</v>
      </c>
    </row>
    <row r="122" spans="1:6" x14ac:dyDescent="0.2">
      <c r="A122" s="1607" t="s">
        <v>118</v>
      </c>
      <c r="B122" s="1607" t="s">
        <v>160</v>
      </c>
      <c r="C122" s="1607" t="s">
        <v>42</v>
      </c>
      <c r="D122" s="1607">
        <v>216</v>
      </c>
      <c r="E122" s="1607"/>
      <c r="F122" s="1607">
        <v>20</v>
      </c>
    </row>
    <row r="123" spans="1:6" x14ac:dyDescent="0.2">
      <c r="A123" s="1607" t="s">
        <v>118</v>
      </c>
      <c r="B123" s="1607" t="s">
        <v>160</v>
      </c>
      <c r="C123" s="1607" t="s">
        <v>44</v>
      </c>
      <c r="D123" s="1607">
        <v>32</v>
      </c>
      <c r="E123" s="1607"/>
      <c r="F123" s="1607">
        <v>2</v>
      </c>
    </row>
    <row r="124" spans="1:6" x14ac:dyDescent="0.2">
      <c r="A124" s="1607" t="s">
        <v>118</v>
      </c>
      <c r="B124" s="1607" t="s">
        <v>160</v>
      </c>
      <c r="C124" s="1607" t="s">
        <v>45</v>
      </c>
      <c r="D124" s="1607">
        <v>101</v>
      </c>
      <c r="E124" s="1607"/>
      <c r="F124" s="1607">
        <v>8</v>
      </c>
    </row>
    <row r="125" spans="1:6" x14ac:dyDescent="0.2">
      <c r="A125" s="1607" t="s">
        <v>118</v>
      </c>
      <c r="B125" s="1607" t="s">
        <v>160</v>
      </c>
      <c r="C125" s="1607" t="s">
        <v>46</v>
      </c>
      <c r="D125" s="1607">
        <v>42</v>
      </c>
      <c r="E125" s="1607"/>
      <c r="F125" s="1607">
        <v>1</v>
      </c>
    </row>
    <row r="126" spans="1:6" x14ac:dyDescent="0.2">
      <c r="A126" s="1607" t="s">
        <v>118</v>
      </c>
      <c r="B126" s="1607" t="s">
        <v>160</v>
      </c>
      <c r="C126" s="1607" t="s">
        <v>47</v>
      </c>
      <c r="D126" s="1607">
        <v>3</v>
      </c>
      <c r="E126" s="1607">
        <v>1</v>
      </c>
      <c r="F126" s="1607"/>
    </row>
    <row r="127" spans="1:6" x14ac:dyDescent="0.2">
      <c r="A127" s="1607" t="s">
        <v>118</v>
      </c>
      <c r="B127" s="1607" t="s">
        <v>160</v>
      </c>
      <c r="C127" s="1607" t="s">
        <v>48</v>
      </c>
      <c r="D127" s="1607">
        <v>36</v>
      </c>
      <c r="E127" s="1607">
        <v>1</v>
      </c>
      <c r="F127" s="1607"/>
    </row>
    <row r="128" spans="1:6" x14ac:dyDescent="0.2">
      <c r="A128" s="1607" t="s">
        <v>118</v>
      </c>
      <c r="B128" s="1607" t="s">
        <v>160</v>
      </c>
      <c r="C128" s="1607" t="s">
        <v>49</v>
      </c>
      <c r="D128" s="1607">
        <v>123</v>
      </c>
      <c r="E128" s="1607"/>
      <c r="F128" s="1607">
        <v>12</v>
      </c>
    </row>
    <row r="129" spans="1:6" x14ac:dyDescent="0.2">
      <c r="A129" s="1607" t="s">
        <v>118</v>
      </c>
      <c r="B129" s="1607" t="s">
        <v>160</v>
      </c>
      <c r="C129" s="1607" t="s">
        <v>50</v>
      </c>
      <c r="D129" s="1607">
        <v>49</v>
      </c>
      <c r="E129" s="1607"/>
      <c r="F129" s="1607">
        <v>7</v>
      </c>
    </row>
    <row r="130" spans="1:6" x14ac:dyDescent="0.2">
      <c r="A130" s="1607" t="s">
        <v>118</v>
      </c>
      <c r="B130" s="1607" t="s">
        <v>160</v>
      </c>
      <c r="C130" s="1607" t="s">
        <v>51</v>
      </c>
      <c r="D130" s="1607">
        <v>62</v>
      </c>
      <c r="E130" s="1607"/>
      <c r="F130" s="1607">
        <v>10</v>
      </c>
    </row>
    <row r="131" spans="1:6" x14ac:dyDescent="0.2">
      <c r="A131" s="1607" t="s">
        <v>118</v>
      </c>
      <c r="B131" s="1607" t="s">
        <v>160</v>
      </c>
      <c r="C131" s="1607" t="s">
        <v>52</v>
      </c>
      <c r="D131" s="1607">
        <v>153</v>
      </c>
      <c r="E131" s="1607">
        <v>1</v>
      </c>
      <c r="F131" s="1607">
        <v>5</v>
      </c>
    </row>
    <row r="132" spans="1:6" x14ac:dyDescent="0.2">
      <c r="A132" s="1607" t="s">
        <v>118</v>
      </c>
      <c r="B132" s="1607" t="s">
        <v>379</v>
      </c>
      <c r="C132" s="1607" t="s">
        <v>23</v>
      </c>
      <c r="D132" s="1607">
        <v>125</v>
      </c>
      <c r="E132" s="1607"/>
      <c r="F132" s="1607">
        <v>4</v>
      </c>
    </row>
    <row r="133" spans="1:6" x14ac:dyDescent="0.2">
      <c r="A133" s="1607" t="s">
        <v>118</v>
      </c>
      <c r="B133" s="1607" t="s">
        <v>379</v>
      </c>
      <c r="C133" s="1607" t="s">
        <v>24</v>
      </c>
      <c r="D133" s="1607">
        <v>55</v>
      </c>
      <c r="E133" s="1607"/>
      <c r="F133" s="1607">
        <v>3</v>
      </c>
    </row>
    <row r="134" spans="1:6" x14ac:dyDescent="0.2">
      <c r="A134" s="1607" t="s">
        <v>118</v>
      </c>
      <c r="B134" s="1607" t="s">
        <v>379</v>
      </c>
      <c r="C134" s="1607" t="s">
        <v>25</v>
      </c>
      <c r="D134" s="1607">
        <v>23</v>
      </c>
      <c r="E134" s="1607"/>
      <c r="F134" s="1607"/>
    </row>
    <row r="135" spans="1:6" x14ac:dyDescent="0.2">
      <c r="A135" s="1607" t="s">
        <v>118</v>
      </c>
      <c r="B135" s="1607" t="s">
        <v>379</v>
      </c>
      <c r="C135" s="1607" t="s">
        <v>26</v>
      </c>
      <c r="D135" s="1607">
        <v>9</v>
      </c>
      <c r="E135" s="1607"/>
      <c r="F135" s="1607">
        <v>5</v>
      </c>
    </row>
    <row r="136" spans="1:6" x14ac:dyDescent="0.2">
      <c r="A136" s="1607" t="s">
        <v>118</v>
      </c>
      <c r="B136" s="1607" t="s">
        <v>379</v>
      </c>
      <c r="C136" s="1607" t="s">
        <v>27</v>
      </c>
      <c r="D136" s="1607">
        <v>13</v>
      </c>
      <c r="E136" s="1607"/>
      <c r="F136" s="1607"/>
    </row>
    <row r="137" spans="1:6" x14ac:dyDescent="0.2">
      <c r="A137" s="1607" t="s">
        <v>118</v>
      </c>
      <c r="B137" s="1607" t="s">
        <v>379</v>
      </c>
      <c r="C137" s="1607" t="s">
        <v>28</v>
      </c>
      <c r="D137" s="1607">
        <v>44</v>
      </c>
      <c r="E137" s="1607">
        <v>1</v>
      </c>
      <c r="F137" s="1607"/>
    </row>
    <row r="138" spans="1:6" x14ac:dyDescent="0.2">
      <c r="A138" s="1607" t="s">
        <v>118</v>
      </c>
      <c r="B138" s="1607" t="s">
        <v>379</v>
      </c>
      <c r="C138" s="1607" t="s">
        <v>29</v>
      </c>
      <c r="D138" s="1607">
        <v>71</v>
      </c>
      <c r="E138" s="1607">
        <v>1</v>
      </c>
      <c r="F138" s="1607">
        <v>9</v>
      </c>
    </row>
    <row r="139" spans="1:6" x14ac:dyDescent="0.2">
      <c r="A139" s="1607" t="s">
        <v>118</v>
      </c>
      <c r="B139" s="1607" t="s">
        <v>379</v>
      </c>
      <c r="C139" s="1607" t="s">
        <v>30</v>
      </c>
      <c r="D139" s="1607">
        <v>53</v>
      </c>
      <c r="E139" s="1607">
        <v>1</v>
      </c>
      <c r="F139" s="1607">
        <v>4</v>
      </c>
    </row>
    <row r="140" spans="1:6" x14ac:dyDescent="0.2">
      <c r="A140" s="1607" t="s">
        <v>118</v>
      </c>
      <c r="B140" s="1607" t="s">
        <v>379</v>
      </c>
      <c r="C140" s="1607" t="s">
        <v>31</v>
      </c>
      <c r="D140" s="1607">
        <v>49</v>
      </c>
      <c r="E140" s="1607">
        <v>1</v>
      </c>
      <c r="F140" s="1607">
        <v>4</v>
      </c>
    </row>
    <row r="141" spans="1:6" x14ac:dyDescent="0.2">
      <c r="A141" s="1607" t="s">
        <v>118</v>
      </c>
      <c r="B141" s="1607" t="s">
        <v>379</v>
      </c>
      <c r="C141" s="1607" t="s">
        <v>32</v>
      </c>
      <c r="D141" s="1607">
        <v>39</v>
      </c>
      <c r="E141" s="1607"/>
      <c r="F141" s="1607">
        <v>2</v>
      </c>
    </row>
    <row r="142" spans="1:6" x14ac:dyDescent="0.2">
      <c r="A142" s="1607" t="s">
        <v>118</v>
      </c>
      <c r="B142" s="1607" t="s">
        <v>379</v>
      </c>
      <c r="C142" s="1607" t="s">
        <v>33</v>
      </c>
      <c r="D142" s="1607">
        <v>26</v>
      </c>
      <c r="E142" s="1607"/>
      <c r="F142" s="1607">
        <v>1</v>
      </c>
    </row>
    <row r="143" spans="1:6" x14ac:dyDescent="0.2">
      <c r="A143" s="1607" t="s">
        <v>118</v>
      </c>
      <c r="B143" s="1607" t="s">
        <v>379</v>
      </c>
      <c r="C143" s="1607" t="s">
        <v>665</v>
      </c>
      <c r="D143" s="1607">
        <v>378</v>
      </c>
      <c r="E143" s="1607"/>
      <c r="F143" s="1607">
        <v>32</v>
      </c>
    </row>
    <row r="144" spans="1:6" x14ac:dyDescent="0.2">
      <c r="A144" s="1607" t="s">
        <v>118</v>
      </c>
      <c r="B144" s="1607" t="s">
        <v>379</v>
      </c>
      <c r="C144" s="1607" t="s">
        <v>34</v>
      </c>
      <c r="D144" s="1607">
        <v>79</v>
      </c>
      <c r="E144" s="1607">
        <v>1</v>
      </c>
      <c r="F144" s="1607"/>
    </row>
    <row r="145" spans="1:6" x14ac:dyDescent="0.2">
      <c r="A145" s="1607" t="s">
        <v>118</v>
      </c>
      <c r="B145" s="1607" t="s">
        <v>379</v>
      </c>
      <c r="C145" s="1607" t="s">
        <v>35</v>
      </c>
      <c r="D145" s="1607">
        <v>180</v>
      </c>
      <c r="E145" s="1607"/>
      <c r="F145" s="1607">
        <v>9</v>
      </c>
    </row>
    <row r="146" spans="1:6" x14ac:dyDescent="0.2">
      <c r="A146" s="1607" t="s">
        <v>118</v>
      </c>
      <c r="B146" s="1607" t="s">
        <v>379</v>
      </c>
      <c r="C146" s="1607" t="s">
        <v>36</v>
      </c>
      <c r="D146" s="1607">
        <v>452</v>
      </c>
      <c r="E146" s="1607">
        <v>1</v>
      </c>
      <c r="F146" s="1607">
        <v>43</v>
      </c>
    </row>
    <row r="147" spans="1:6" x14ac:dyDescent="0.2">
      <c r="A147" s="1607" t="s">
        <v>118</v>
      </c>
      <c r="B147" s="1607" t="s">
        <v>379</v>
      </c>
      <c r="C147" s="1607" t="s">
        <v>37</v>
      </c>
      <c r="D147" s="1607">
        <v>32</v>
      </c>
      <c r="E147" s="1607">
        <v>1</v>
      </c>
      <c r="F147" s="1607">
        <v>5</v>
      </c>
    </row>
    <row r="148" spans="1:6" x14ac:dyDescent="0.2">
      <c r="A148" s="1607" t="s">
        <v>118</v>
      </c>
      <c r="B148" s="1607" t="s">
        <v>379</v>
      </c>
      <c r="C148" s="1607" t="s">
        <v>38</v>
      </c>
      <c r="D148" s="1607">
        <v>53</v>
      </c>
      <c r="E148" s="1607"/>
      <c r="F148" s="1607">
        <v>4</v>
      </c>
    </row>
    <row r="149" spans="1:6" x14ac:dyDescent="0.2">
      <c r="A149" s="1607" t="s">
        <v>118</v>
      </c>
      <c r="B149" s="1607" t="s">
        <v>379</v>
      </c>
      <c r="C149" s="1607" t="s">
        <v>39</v>
      </c>
      <c r="D149" s="1607">
        <v>78</v>
      </c>
      <c r="E149" s="1607"/>
      <c r="F149" s="1607"/>
    </row>
    <row r="150" spans="1:6" x14ac:dyDescent="0.2">
      <c r="A150" s="1607" t="s">
        <v>118</v>
      </c>
      <c r="B150" s="1607" t="s">
        <v>379</v>
      </c>
      <c r="C150" s="1607" t="s">
        <v>40</v>
      </c>
      <c r="D150" s="1607">
        <v>18</v>
      </c>
      <c r="E150" s="1607"/>
      <c r="F150" s="1607">
        <v>2</v>
      </c>
    </row>
    <row r="151" spans="1:6" x14ac:dyDescent="0.2">
      <c r="A151" s="1607" t="s">
        <v>118</v>
      </c>
      <c r="B151" s="1607" t="s">
        <v>379</v>
      </c>
      <c r="C151" s="1607" t="s">
        <v>393</v>
      </c>
      <c r="D151" s="1607">
        <v>1</v>
      </c>
      <c r="E151" s="1607"/>
      <c r="F151" s="1607"/>
    </row>
    <row r="152" spans="1:6" x14ac:dyDescent="0.2">
      <c r="A152" s="1607" t="s">
        <v>118</v>
      </c>
      <c r="B152" s="1607" t="s">
        <v>379</v>
      </c>
      <c r="C152" s="1607" t="s">
        <v>41</v>
      </c>
      <c r="D152" s="1607">
        <v>49</v>
      </c>
      <c r="E152" s="1607">
        <v>1</v>
      </c>
      <c r="F152" s="1607">
        <v>1</v>
      </c>
    </row>
    <row r="153" spans="1:6" x14ac:dyDescent="0.2">
      <c r="A153" s="1607" t="s">
        <v>118</v>
      </c>
      <c r="B153" s="1607" t="s">
        <v>379</v>
      </c>
      <c r="C153" s="1607" t="s">
        <v>42</v>
      </c>
      <c r="D153" s="1607">
        <v>224</v>
      </c>
      <c r="E153" s="1607"/>
      <c r="F153" s="1607">
        <v>31</v>
      </c>
    </row>
    <row r="154" spans="1:6" x14ac:dyDescent="0.2">
      <c r="A154" s="1607" t="s">
        <v>118</v>
      </c>
      <c r="B154" s="1607" t="s">
        <v>379</v>
      </c>
      <c r="C154" s="1607" t="s">
        <v>43</v>
      </c>
      <c r="D154" s="1607">
        <v>2</v>
      </c>
      <c r="E154" s="1607"/>
      <c r="F154" s="1607"/>
    </row>
    <row r="155" spans="1:6" x14ac:dyDescent="0.2">
      <c r="A155" s="1607" t="s">
        <v>118</v>
      </c>
      <c r="B155" s="1607" t="s">
        <v>379</v>
      </c>
      <c r="C155" s="1607" t="s">
        <v>44</v>
      </c>
      <c r="D155" s="1607">
        <v>33</v>
      </c>
      <c r="E155" s="1607"/>
      <c r="F155" s="1607">
        <v>9</v>
      </c>
    </row>
    <row r="156" spans="1:6" x14ac:dyDescent="0.2">
      <c r="A156" s="1607" t="s">
        <v>118</v>
      </c>
      <c r="B156" s="1607" t="s">
        <v>379</v>
      </c>
      <c r="C156" s="1607" t="s">
        <v>45</v>
      </c>
      <c r="D156" s="1607">
        <v>109</v>
      </c>
      <c r="E156" s="1607"/>
      <c r="F156" s="1607">
        <v>10</v>
      </c>
    </row>
    <row r="157" spans="1:6" x14ac:dyDescent="0.2">
      <c r="A157" s="1607" t="s">
        <v>118</v>
      </c>
      <c r="B157" s="1607" t="s">
        <v>379</v>
      </c>
      <c r="C157" s="1607" t="s">
        <v>46</v>
      </c>
      <c r="D157" s="1607">
        <v>33</v>
      </c>
      <c r="E157" s="1607"/>
      <c r="F157" s="1607"/>
    </row>
    <row r="158" spans="1:6" x14ac:dyDescent="0.2">
      <c r="A158" s="1607" t="s">
        <v>118</v>
      </c>
      <c r="B158" s="1607" t="s">
        <v>379</v>
      </c>
      <c r="C158" s="1607" t="s">
        <v>47</v>
      </c>
      <c r="D158" s="1607">
        <v>2</v>
      </c>
      <c r="E158" s="1607"/>
      <c r="F158" s="1607"/>
    </row>
    <row r="159" spans="1:6" x14ac:dyDescent="0.2">
      <c r="A159" s="1607" t="s">
        <v>118</v>
      </c>
      <c r="B159" s="1607" t="s">
        <v>379</v>
      </c>
      <c r="C159" s="1607" t="s">
        <v>48</v>
      </c>
      <c r="D159" s="1607">
        <v>36</v>
      </c>
      <c r="E159" s="1607"/>
      <c r="F159" s="1607">
        <v>6</v>
      </c>
    </row>
    <row r="160" spans="1:6" x14ac:dyDescent="0.2">
      <c r="A160" s="1607" t="s">
        <v>118</v>
      </c>
      <c r="B160" s="1607" t="s">
        <v>379</v>
      </c>
      <c r="C160" s="1607" t="s">
        <v>49</v>
      </c>
      <c r="D160" s="1607">
        <v>169</v>
      </c>
      <c r="E160" s="1607">
        <v>1</v>
      </c>
      <c r="F160" s="1607">
        <v>14</v>
      </c>
    </row>
    <row r="161" spans="1:6" x14ac:dyDescent="0.2">
      <c r="A161" s="1607" t="s">
        <v>118</v>
      </c>
      <c r="B161" s="1607" t="s">
        <v>379</v>
      </c>
      <c r="C161" s="1607" t="s">
        <v>50</v>
      </c>
      <c r="D161" s="1607">
        <v>53</v>
      </c>
      <c r="E161" s="1607"/>
      <c r="F161" s="1607">
        <v>5</v>
      </c>
    </row>
    <row r="162" spans="1:6" x14ac:dyDescent="0.2">
      <c r="A162" s="1607" t="s">
        <v>118</v>
      </c>
      <c r="B162" s="1607" t="s">
        <v>379</v>
      </c>
      <c r="C162" s="1607" t="s">
        <v>51</v>
      </c>
      <c r="D162" s="1607">
        <v>81</v>
      </c>
      <c r="E162" s="1607"/>
      <c r="F162" s="1607">
        <v>1</v>
      </c>
    </row>
    <row r="163" spans="1:6" x14ac:dyDescent="0.2">
      <c r="A163" s="1607" t="s">
        <v>118</v>
      </c>
      <c r="B163" s="1607" t="s">
        <v>379</v>
      </c>
      <c r="C163" s="1607" t="s">
        <v>52</v>
      </c>
      <c r="D163" s="1607">
        <v>126</v>
      </c>
      <c r="E163" s="1607"/>
      <c r="F163" s="1607">
        <v>9</v>
      </c>
    </row>
    <row r="164" spans="1:6" x14ac:dyDescent="0.2">
      <c r="A164" s="1607" t="s">
        <v>118</v>
      </c>
      <c r="B164" s="1607" t="s">
        <v>603</v>
      </c>
      <c r="C164" s="1607" t="s">
        <v>23</v>
      </c>
      <c r="D164" s="1607">
        <v>100</v>
      </c>
      <c r="E164" s="1607"/>
      <c r="F164" s="1607">
        <v>9</v>
      </c>
    </row>
    <row r="165" spans="1:6" x14ac:dyDescent="0.2">
      <c r="A165" s="1607" t="s">
        <v>118</v>
      </c>
      <c r="B165" s="1607" t="s">
        <v>603</v>
      </c>
      <c r="C165" s="1607" t="s">
        <v>24</v>
      </c>
      <c r="D165" s="1607">
        <v>50</v>
      </c>
      <c r="E165" s="1607"/>
      <c r="F165" s="1607">
        <v>2</v>
      </c>
    </row>
    <row r="166" spans="1:6" x14ac:dyDescent="0.2">
      <c r="A166" s="1607" t="s">
        <v>118</v>
      </c>
      <c r="B166" s="1607" t="s">
        <v>603</v>
      </c>
      <c r="C166" s="1607" t="s">
        <v>25</v>
      </c>
      <c r="D166" s="1607">
        <v>30</v>
      </c>
      <c r="E166" s="1607"/>
      <c r="F166" s="1607">
        <v>1</v>
      </c>
    </row>
    <row r="167" spans="1:6" x14ac:dyDescent="0.2">
      <c r="A167" s="1607" t="s">
        <v>118</v>
      </c>
      <c r="B167" s="1607" t="s">
        <v>603</v>
      </c>
      <c r="C167" s="1607" t="s">
        <v>26</v>
      </c>
      <c r="D167" s="1607">
        <v>25</v>
      </c>
      <c r="E167" s="1607"/>
      <c r="F167" s="1607">
        <v>2</v>
      </c>
    </row>
    <row r="168" spans="1:6" x14ac:dyDescent="0.2">
      <c r="A168" s="1607" t="s">
        <v>118</v>
      </c>
      <c r="B168" s="1607" t="s">
        <v>603</v>
      </c>
      <c r="C168" s="1607" t="s">
        <v>27</v>
      </c>
      <c r="D168" s="1607">
        <v>24</v>
      </c>
      <c r="E168" s="1607"/>
      <c r="F168" s="1607">
        <v>1</v>
      </c>
    </row>
    <row r="169" spans="1:6" x14ac:dyDescent="0.2">
      <c r="A169" s="1607" t="s">
        <v>118</v>
      </c>
      <c r="B169" s="1607" t="s">
        <v>603</v>
      </c>
      <c r="C169" s="1607" t="s">
        <v>28</v>
      </c>
      <c r="D169" s="1607">
        <v>37</v>
      </c>
      <c r="E169" s="1607"/>
      <c r="F169" s="1607">
        <v>1</v>
      </c>
    </row>
    <row r="170" spans="1:6" x14ac:dyDescent="0.2">
      <c r="A170" s="1607" t="s">
        <v>118</v>
      </c>
      <c r="B170" s="1607" t="s">
        <v>603</v>
      </c>
      <c r="C170" s="1607" t="s">
        <v>29</v>
      </c>
      <c r="D170" s="1607">
        <v>73</v>
      </c>
      <c r="E170" s="1607"/>
      <c r="F170" s="1607">
        <v>4</v>
      </c>
    </row>
    <row r="171" spans="1:6" x14ac:dyDescent="0.2">
      <c r="A171" s="1607" t="s">
        <v>118</v>
      </c>
      <c r="B171" s="1607" t="s">
        <v>603</v>
      </c>
      <c r="C171" s="1607" t="s">
        <v>30</v>
      </c>
      <c r="D171" s="1607">
        <v>47</v>
      </c>
      <c r="E171" s="1607"/>
      <c r="F171" s="1607">
        <v>7</v>
      </c>
    </row>
    <row r="172" spans="1:6" x14ac:dyDescent="0.2">
      <c r="A172" s="1607" t="s">
        <v>118</v>
      </c>
      <c r="B172" s="1607" t="s">
        <v>603</v>
      </c>
      <c r="C172" s="1607" t="s">
        <v>31</v>
      </c>
      <c r="D172" s="1607">
        <v>57</v>
      </c>
      <c r="E172" s="1607"/>
      <c r="F172" s="1607">
        <v>1</v>
      </c>
    </row>
    <row r="173" spans="1:6" x14ac:dyDescent="0.2">
      <c r="A173" s="1607" t="s">
        <v>118</v>
      </c>
      <c r="B173" s="1607" t="s">
        <v>603</v>
      </c>
      <c r="C173" s="1607" t="s">
        <v>32</v>
      </c>
      <c r="D173" s="1607">
        <v>59</v>
      </c>
      <c r="E173" s="1607"/>
      <c r="F173" s="1607"/>
    </row>
    <row r="174" spans="1:6" x14ac:dyDescent="0.2">
      <c r="A174" s="1607" t="s">
        <v>118</v>
      </c>
      <c r="B174" s="1607" t="s">
        <v>603</v>
      </c>
      <c r="C174" s="1607" t="s">
        <v>33</v>
      </c>
      <c r="D174" s="1607">
        <v>19</v>
      </c>
      <c r="E174" s="1607"/>
      <c r="F174" s="1607">
        <v>2</v>
      </c>
    </row>
    <row r="175" spans="1:6" x14ac:dyDescent="0.2">
      <c r="A175" s="1607" t="s">
        <v>118</v>
      </c>
      <c r="B175" s="1607" t="s">
        <v>603</v>
      </c>
      <c r="C175" s="1607" t="s">
        <v>665</v>
      </c>
      <c r="D175" s="1607">
        <v>296</v>
      </c>
      <c r="E175" s="1607"/>
      <c r="F175" s="1607">
        <v>13</v>
      </c>
    </row>
    <row r="176" spans="1:6" x14ac:dyDescent="0.2">
      <c r="A176" s="1607" t="s">
        <v>118</v>
      </c>
      <c r="B176" s="1607" t="s">
        <v>603</v>
      </c>
      <c r="C176" s="1607" t="s">
        <v>34</v>
      </c>
      <c r="D176" s="1607">
        <v>144</v>
      </c>
      <c r="E176" s="1607"/>
      <c r="F176" s="1607">
        <v>8</v>
      </c>
    </row>
    <row r="177" spans="1:6" x14ac:dyDescent="0.2">
      <c r="A177" s="1607" t="s">
        <v>118</v>
      </c>
      <c r="B177" s="1607" t="s">
        <v>603</v>
      </c>
      <c r="C177" s="1607" t="s">
        <v>35</v>
      </c>
      <c r="D177" s="1607">
        <v>153</v>
      </c>
      <c r="E177" s="1607"/>
      <c r="F177" s="1607">
        <v>3</v>
      </c>
    </row>
    <row r="178" spans="1:6" x14ac:dyDescent="0.2">
      <c r="A178" s="1607" t="s">
        <v>118</v>
      </c>
      <c r="B178" s="1607" t="s">
        <v>603</v>
      </c>
      <c r="C178" s="1607" t="s">
        <v>36</v>
      </c>
      <c r="D178" s="1607">
        <v>448</v>
      </c>
      <c r="E178" s="1607">
        <v>1</v>
      </c>
      <c r="F178" s="1607">
        <v>41</v>
      </c>
    </row>
    <row r="179" spans="1:6" x14ac:dyDescent="0.2">
      <c r="A179" s="1607" t="s">
        <v>118</v>
      </c>
      <c r="B179" s="1607" t="s">
        <v>603</v>
      </c>
      <c r="C179" s="1607" t="s">
        <v>37</v>
      </c>
      <c r="D179" s="1607">
        <v>23</v>
      </c>
      <c r="E179" s="1607"/>
      <c r="F179" s="1607">
        <v>1</v>
      </c>
    </row>
    <row r="180" spans="1:6" x14ac:dyDescent="0.2">
      <c r="A180" s="1607" t="s">
        <v>118</v>
      </c>
      <c r="B180" s="1607" t="s">
        <v>603</v>
      </c>
      <c r="C180" s="1607" t="s">
        <v>38</v>
      </c>
      <c r="D180" s="1607">
        <v>66</v>
      </c>
      <c r="E180" s="1607"/>
      <c r="F180" s="1607">
        <v>9</v>
      </c>
    </row>
    <row r="181" spans="1:6" x14ac:dyDescent="0.2">
      <c r="A181" s="1607" t="s">
        <v>118</v>
      </c>
      <c r="B181" s="1607" t="s">
        <v>603</v>
      </c>
      <c r="C181" s="1607" t="s">
        <v>39</v>
      </c>
      <c r="D181" s="1607">
        <v>95</v>
      </c>
      <c r="E181" s="1607"/>
      <c r="F181" s="1607">
        <v>1</v>
      </c>
    </row>
    <row r="182" spans="1:6" x14ac:dyDescent="0.2">
      <c r="A182" s="1607" t="s">
        <v>118</v>
      </c>
      <c r="B182" s="1607" t="s">
        <v>603</v>
      </c>
      <c r="C182" s="1607" t="s">
        <v>40</v>
      </c>
      <c r="D182" s="1607">
        <v>25</v>
      </c>
      <c r="E182" s="1607"/>
      <c r="F182" s="1607">
        <v>4</v>
      </c>
    </row>
    <row r="183" spans="1:6" x14ac:dyDescent="0.2">
      <c r="A183" s="1607" t="s">
        <v>118</v>
      </c>
      <c r="B183" s="1607" t="s">
        <v>603</v>
      </c>
      <c r="C183" s="1607" t="s">
        <v>393</v>
      </c>
      <c r="D183" s="1607">
        <v>3</v>
      </c>
      <c r="E183" s="1607">
        <v>1</v>
      </c>
      <c r="F183" s="1607"/>
    </row>
    <row r="184" spans="1:6" x14ac:dyDescent="0.2">
      <c r="A184" s="1607" t="s">
        <v>118</v>
      </c>
      <c r="B184" s="1607" t="s">
        <v>603</v>
      </c>
      <c r="C184" s="1607" t="s">
        <v>41</v>
      </c>
      <c r="D184" s="1607">
        <v>50</v>
      </c>
      <c r="E184" s="1607"/>
      <c r="F184" s="1607"/>
    </row>
    <row r="185" spans="1:6" x14ac:dyDescent="0.2">
      <c r="A185" s="1607" t="s">
        <v>118</v>
      </c>
      <c r="B185" s="1607" t="s">
        <v>603</v>
      </c>
      <c r="C185" s="1607" t="s">
        <v>42</v>
      </c>
      <c r="D185" s="1607">
        <v>209</v>
      </c>
      <c r="E185" s="1607"/>
      <c r="F185" s="1607">
        <v>11</v>
      </c>
    </row>
    <row r="186" spans="1:6" x14ac:dyDescent="0.2">
      <c r="A186" s="1607" t="s">
        <v>118</v>
      </c>
      <c r="B186" s="1607" t="s">
        <v>603</v>
      </c>
      <c r="C186" s="1607" t="s">
        <v>44</v>
      </c>
      <c r="D186" s="1607">
        <v>27</v>
      </c>
      <c r="E186" s="1607"/>
      <c r="F186" s="1607"/>
    </row>
    <row r="187" spans="1:6" x14ac:dyDescent="0.2">
      <c r="A187" s="1607" t="s">
        <v>118</v>
      </c>
      <c r="B187" s="1607" t="s">
        <v>603</v>
      </c>
      <c r="C187" s="1607" t="s">
        <v>45</v>
      </c>
      <c r="D187" s="1607">
        <v>113</v>
      </c>
      <c r="E187" s="1607"/>
      <c r="F187" s="1607">
        <v>11</v>
      </c>
    </row>
    <row r="188" spans="1:6" x14ac:dyDescent="0.2">
      <c r="A188" s="1607" t="s">
        <v>118</v>
      </c>
      <c r="B188" s="1607" t="s">
        <v>603</v>
      </c>
      <c r="C188" s="1607" t="s">
        <v>46</v>
      </c>
      <c r="D188" s="1607">
        <v>56</v>
      </c>
      <c r="E188" s="1607"/>
      <c r="F188" s="1607">
        <v>2</v>
      </c>
    </row>
    <row r="189" spans="1:6" x14ac:dyDescent="0.2">
      <c r="A189" s="1607" t="s">
        <v>118</v>
      </c>
      <c r="B189" s="1607" t="s">
        <v>603</v>
      </c>
      <c r="C189" s="1607" t="s">
        <v>47</v>
      </c>
      <c r="D189" s="1607">
        <v>1</v>
      </c>
      <c r="E189" s="1607"/>
      <c r="F189" s="1607"/>
    </row>
    <row r="190" spans="1:6" x14ac:dyDescent="0.2">
      <c r="A190" s="1607" t="s">
        <v>118</v>
      </c>
      <c r="B190" s="1607" t="s">
        <v>603</v>
      </c>
      <c r="C190" s="1607" t="s">
        <v>48</v>
      </c>
      <c r="D190" s="1607">
        <v>40</v>
      </c>
      <c r="E190" s="1607"/>
      <c r="F190" s="1607">
        <v>5</v>
      </c>
    </row>
    <row r="191" spans="1:6" x14ac:dyDescent="0.2">
      <c r="A191" s="1607" t="s">
        <v>118</v>
      </c>
      <c r="B191" s="1607" t="s">
        <v>603</v>
      </c>
      <c r="C191" s="1607" t="s">
        <v>49</v>
      </c>
      <c r="D191" s="1607">
        <v>182</v>
      </c>
      <c r="E191" s="1607"/>
      <c r="F191" s="1607">
        <v>18</v>
      </c>
    </row>
    <row r="192" spans="1:6" x14ac:dyDescent="0.2">
      <c r="A192" s="1607" t="s">
        <v>118</v>
      </c>
      <c r="B192" s="1607" t="s">
        <v>603</v>
      </c>
      <c r="C192" s="1607" t="s">
        <v>50</v>
      </c>
      <c r="D192" s="1607">
        <v>39</v>
      </c>
      <c r="E192" s="1607"/>
      <c r="F192" s="1607">
        <v>4</v>
      </c>
    </row>
    <row r="193" spans="1:6" x14ac:dyDescent="0.2">
      <c r="A193" s="1607" t="s">
        <v>118</v>
      </c>
      <c r="B193" s="1607" t="s">
        <v>603</v>
      </c>
      <c r="C193" s="1607" t="s">
        <v>51</v>
      </c>
      <c r="D193" s="1607">
        <v>70</v>
      </c>
      <c r="E193" s="1607"/>
      <c r="F193" s="1607">
        <v>7</v>
      </c>
    </row>
    <row r="194" spans="1:6" x14ac:dyDescent="0.2">
      <c r="A194" s="1607" t="s">
        <v>118</v>
      </c>
      <c r="B194" s="1607" t="s">
        <v>603</v>
      </c>
      <c r="C194" s="1607" t="s">
        <v>52</v>
      </c>
      <c r="D194" s="1607">
        <v>164</v>
      </c>
      <c r="E194" s="1607"/>
      <c r="F194" s="1607">
        <v>12</v>
      </c>
    </row>
  </sheetData>
  <pageMargins left="0.7" right="0.7" top="0.75" bottom="0.75" header="0.3" footer="0.3"/>
  <pageSetup paperSize="9" fitToHeight="50" orientation="landscape" r:id="rId1"/>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fitToPage="1"/>
  </sheetPr>
  <dimension ref="A1:N20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customWidth="1"/>
    <col min="2" max="2" width="13.5703125" bestFit="1" customWidth="1"/>
    <col min="3" max="3" width="20.42578125" bestFit="1" customWidth="1"/>
    <col min="4" max="4" width="5.140625" customWidth="1"/>
    <col min="5" max="5" width="7.140625" customWidth="1"/>
    <col min="6" max="6" width="17.28515625" customWidth="1"/>
    <col min="7" max="7" width="12.140625" customWidth="1"/>
    <col min="8" max="8" width="26.42578125" bestFit="1" customWidth="1"/>
    <col min="9" max="9" width="19.42578125" customWidth="1"/>
    <col min="10" max="10" width="16.7109375" customWidth="1"/>
    <col min="11" max="11" width="29.42578125" customWidth="1"/>
    <col min="12" max="12" width="30.85546875" bestFit="1" customWidth="1"/>
    <col min="13" max="13" width="30.7109375" bestFit="1" customWidth="1"/>
    <col min="14" max="14" width="25" bestFit="1" customWidth="1"/>
  </cols>
  <sheetData>
    <row r="1" spans="1:14" x14ac:dyDescent="0.2"/>
    <row r="4" spans="1:14" x14ac:dyDescent="0.2">
      <c r="A4" s="1606" t="s">
        <v>1211</v>
      </c>
      <c r="B4" s="1606" t="s">
        <v>4</v>
      </c>
      <c r="C4" s="1606" t="s">
        <v>1218</v>
      </c>
      <c r="D4" s="1606" t="s">
        <v>1203</v>
      </c>
      <c r="E4" s="1606" t="s">
        <v>1204</v>
      </c>
      <c r="F4" s="1606" t="s">
        <v>1205</v>
      </c>
      <c r="G4" s="1606" t="s">
        <v>1206</v>
      </c>
      <c r="H4" s="1606" t="s">
        <v>1207</v>
      </c>
      <c r="I4" s="1606" t="s">
        <v>1197</v>
      </c>
      <c r="J4" s="1606" t="s">
        <v>1208</v>
      </c>
      <c r="K4" s="1606" t="s">
        <v>1209</v>
      </c>
      <c r="L4" s="1606" t="s">
        <v>1210</v>
      </c>
    </row>
    <row r="5" spans="1:14" x14ac:dyDescent="0.2">
      <c r="A5" s="1607" t="s">
        <v>62</v>
      </c>
      <c r="B5" s="1607" t="s">
        <v>160</v>
      </c>
      <c r="C5" s="1607">
        <v>2454</v>
      </c>
      <c r="D5" s="1607">
        <v>42</v>
      </c>
      <c r="E5" s="1607">
        <v>864</v>
      </c>
      <c r="F5" s="1607">
        <v>21</v>
      </c>
      <c r="G5" s="1607">
        <v>144</v>
      </c>
      <c r="H5" s="1607">
        <v>14</v>
      </c>
      <c r="I5" s="1607">
        <v>169</v>
      </c>
      <c r="J5" s="1607">
        <v>806</v>
      </c>
      <c r="K5" s="1607">
        <v>135</v>
      </c>
      <c r="L5" s="1607">
        <v>259</v>
      </c>
    </row>
    <row r="6" spans="1:14" x14ac:dyDescent="0.2">
      <c r="A6" s="1607" t="s">
        <v>62</v>
      </c>
      <c r="B6" s="1607" t="s">
        <v>379</v>
      </c>
      <c r="C6" s="1607">
        <v>2466</v>
      </c>
      <c r="D6" s="1607">
        <v>42</v>
      </c>
      <c r="E6" s="1607">
        <v>934</v>
      </c>
      <c r="F6" s="1607">
        <v>15</v>
      </c>
      <c r="G6" s="1607">
        <v>133</v>
      </c>
      <c r="H6" s="1607">
        <v>15</v>
      </c>
      <c r="I6" s="1607">
        <v>188</v>
      </c>
      <c r="J6" s="1607">
        <v>781</v>
      </c>
      <c r="K6" s="1607">
        <v>130</v>
      </c>
      <c r="L6" s="1607">
        <v>228</v>
      </c>
    </row>
    <row r="7" spans="1:14" x14ac:dyDescent="0.2">
      <c r="A7" s="1607" t="s">
        <v>62</v>
      </c>
      <c r="B7" s="1607" t="s">
        <v>603</v>
      </c>
      <c r="C7" s="1607">
        <v>2595</v>
      </c>
      <c r="D7" s="1607">
        <v>41</v>
      </c>
      <c r="E7" s="1607">
        <v>1128</v>
      </c>
      <c r="F7" s="1607">
        <v>17</v>
      </c>
      <c r="G7" s="1607">
        <v>153</v>
      </c>
      <c r="H7" s="1607">
        <v>16</v>
      </c>
      <c r="I7" s="1607">
        <v>202</v>
      </c>
      <c r="J7" s="1607">
        <v>716</v>
      </c>
      <c r="K7" s="1607">
        <v>117</v>
      </c>
      <c r="L7" s="1607">
        <v>205</v>
      </c>
    </row>
    <row r="8" spans="1:14" x14ac:dyDescent="0.2">
      <c r="A8" s="1607" t="s">
        <v>118</v>
      </c>
      <c r="B8" s="1607" t="s">
        <v>160</v>
      </c>
      <c r="C8" s="1607">
        <v>12278</v>
      </c>
      <c r="D8" s="1607">
        <v>326</v>
      </c>
      <c r="E8" s="1607">
        <v>3702</v>
      </c>
      <c r="F8" s="1607">
        <v>50</v>
      </c>
      <c r="G8" s="1607">
        <v>190</v>
      </c>
      <c r="H8" s="1607">
        <v>51</v>
      </c>
      <c r="I8" s="1607">
        <v>1725</v>
      </c>
      <c r="J8" s="1607">
        <v>2865</v>
      </c>
      <c r="K8" s="1607">
        <v>453</v>
      </c>
      <c r="L8" s="1607">
        <v>2916</v>
      </c>
    </row>
    <row r="9" spans="1:14" x14ac:dyDescent="0.2">
      <c r="A9" s="1607" t="s">
        <v>118</v>
      </c>
      <c r="B9" s="1607" t="s">
        <v>379</v>
      </c>
      <c r="C9" s="1607">
        <v>13191</v>
      </c>
      <c r="D9" s="1607">
        <v>262</v>
      </c>
      <c r="E9" s="1607">
        <v>3989</v>
      </c>
      <c r="F9" s="1607">
        <v>45</v>
      </c>
      <c r="G9" s="1607">
        <v>220</v>
      </c>
      <c r="H9" s="1607">
        <v>47</v>
      </c>
      <c r="I9" s="1607">
        <v>1833</v>
      </c>
      <c r="J9" s="1607">
        <v>3122</v>
      </c>
      <c r="K9" s="1607">
        <v>426</v>
      </c>
      <c r="L9" s="1607">
        <v>3247</v>
      </c>
    </row>
    <row r="10" spans="1:14" x14ac:dyDescent="0.2">
      <c r="A10" s="1607" t="s">
        <v>118</v>
      </c>
      <c r="B10" s="1607" t="s">
        <v>603</v>
      </c>
      <c r="C10" s="1607">
        <v>12103</v>
      </c>
      <c r="D10" s="1607">
        <v>263</v>
      </c>
      <c r="E10" s="1607">
        <v>3935</v>
      </c>
      <c r="F10" s="1607">
        <v>52</v>
      </c>
      <c r="G10" s="1607">
        <v>240</v>
      </c>
      <c r="H10" s="1607">
        <v>44</v>
      </c>
      <c r="I10" s="1607">
        <v>1719</v>
      </c>
      <c r="J10" s="1607">
        <v>2724</v>
      </c>
      <c r="K10" s="1607">
        <v>387</v>
      </c>
      <c r="L10" s="1607">
        <v>2739</v>
      </c>
    </row>
    <row r="15" spans="1:14" x14ac:dyDescent="0.2">
      <c r="A15" s="1608" t="s">
        <v>4</v>
      </c>
      <c r="B15" s="1608" t="s">
        <v>1211</v>
      </c>
      <c r="C15" s="1608" t="s">
        <v>1081</v>
      </c>
      <c r="D15" s="1608" t="s">
        <v>11</v>
      </c>
      <c r="E15" s="1608" t="s">
        <v>1086</v>
      </c>
      <c r="F15" s="1608" t="s">
        <v>1203</v>
      </c>
      <c r="G15" s="1608" t="s">
        <v>1204</v>
      </c>
      <c r="H15" s="1608" t="s">
        <v>1205</v>
      </c>
      <c r="I15" s="1608" t="s">
        <v>1206</v>
      </c>
      <c r="J15" s="1608" t="s">
        <v>1207</v>
      </c>
      <c r="K15" s="1608" t="s">
        <v>1197</v>
      </c>
      <c r="L15" s="1608" t="s">
        <v>1208</v>
      </c>
      <c r="M15" s="1608" t="s">
        <v>1209</v>
      </c>
      <c r="N15" s="1608" t="s">
        <v>1210</v>
      </c>
    </row>
    <row r="16" spans="1:14" x14ac:dyDescent="0.2">
      <c r="A16" s="1607" t="s">
        <v>160</v>
      </c>
      <c r="B16" s="1607" t="s">
        <v>62</v>
      </c>
      <c r="C16" s="1607" t="s">
        <v>23</v>
      </c>
      <c r="D16" s="1607">
        <v>122</v>
      </c>
      <c r="E16" s="1607">
        <v>230350</v>
      </c>
      <c r="F16" s="1607">
        <v>2</v>
      </c>
      <c r="G16" s="1607">
        <v>20</v>
      </c>
      <c r="H16" s="1607"/>
      <c r="I16" s="1607">
        <v>5</v>
      </c>
      <c r="J16" s="1607">
        <v>1</v>
      </c>
      <c r="K16" s="1607"/>
      <c r="L16" s="1607">
        <v>53</v>
      </c>
      <c r="M16" s="1607">
        <v>10</v>
      </c>
      <c r="N16" s="1607">
        <v>31</v>
      </c>
    </row>
    <row r="17" spans="1:14" x14ac:dyDescent="0.2">
      <c r="A17" s="1607" t="s">
        <v>160</v>
      </c>
      <c r="B17" s="1607" t="s">
        <v>62</v>
      </c>
      <c r="C17" s="1607" t="s">
        <v>24</v>
      </c>
      <c r="D17" s="1607">
        <v>92</v>
      </c>
      <c r="E17" s="1607">
        <v>261960</v>
      </c>
      <c r="F17" s="1607">
        <v>2</v>
      </c>
      <c r="G17" s="1607">
        <v>33</v>
      </c>
      <c r="H17" s="1607">
        <v>4</v>
      </c>
      <c r="I17" s="1607">
        <v>9</v>
      </c>
      <c r="J17" s="1607">
        <v>1</v>
      </c>
      <c r="K17" s="1607"/>
      <c r="L17" s="1607">
        <v>9</v>
      </c>
      <c r="M17" s="1607">
        <v>2</v>
      </c>
      <c r="N17" s="1607">
        <v>32</v>
      </c>
    </row>
    <row r="18" spans="1:14" x14ac:dyDescent="0.2">
      <c r="A18" s="1607" t="s">
        <v>160</v>
      </c>
      <c r="B18" s="1607" t="s">
        <v>62</v>
      </c>
      <c r="C18" s="1607" t="s">
        <v>25</v>
      </c>
      <c r="D18" s="1607">
        <v>55</v>
      </c>
      <c r="E18" s="1607">
        <v>116900</v>
      </c>
      <c r="F18" s="1607">
        <v>2</v>
      </c>
      <c r="G18" s="1607">
        <v>25</v>
      </c>
      <c r="H18" s="1607">
        <v>2</v>
      </c>
      <c r="I18" s="1607">
        <v>4</v>
      </c>
      <c r="J18" s="1607"/>
      <c r="K18" s="1607">
        <v>4</v>
      </c>
      <c r="L18" s="1607">
        <v>14</v>
      </c>
      <c r="M18" s="1607">
        <v>2</v>
      </c>
      <c r="N18" s="1607">
        <v>2</v>
      </c>
    </row>
    <row r="19" spans="1:14" x14ac:dyDescent="0.2">
      <c r="A19" s="1607" t="s">
        <v>160</v>
      </c>
      <c r="B19" s="1607" t="s">
        <v>62</v>
      </c>
      <c r="C19" s="1607" t="s">
        <v>26</v>
      </c>
      <c r="D19" s="1607">
        <v>29</v>
      </c>
      <c r="E19" s="1607">
        <v>86890</v>
      </c>
      <c r="F19" s="1607">
        <v>1</v>
      </c>
      <c r="G19" s="1607">
        <v>10</v>
      </c>
      <c r="H19" s="1607"/>
      <c r="I19" s="1607">
        <v>5</v>
      </c>
      <c r="J19" s="1607">
        <v>2</v>
      </c>
      <c r="K19" s="1607">
        <v>2</v>
      </c>
      <c r="L19" s="1607">
        <v>4</v>
      </c>
      <c r="M19" s="1607">
        <v>2</v>
      </c>
      <c r="N19" s="1607">
        <v>3</v>
      </c>
    </row>
    <row r="20" spans="1:14" x14ac:dyDescent="0.2">
      <c r="A20" s="1607" t="s">
        <v>160</v>
      </c>
      <c r="B20" s="1607" t="s">
        <v>62</v>
      </c>
      <c r="C20" s="1607" t="s">
        <v>27</v>
      </c>
      <c r="D20" s="1607">
        <v>19</v>
      </c>
      <c r="E20" s="1607">
        <v>51360</v>
      </c>
      <c r="F20" s="1607">
        <v>1</v>
      </c>
      <c r="G20" s="1607">
        <v>4</v>
      </c>
      <c r="H20" s="1607"/>
      <c r="I20" s="1607">
        <v>1</v>
      </c>
      <c r="J20" s="1607"/>
      <c r="K20" s="1607">
        <v>3</v>
      </c>
      <c r="L20" s="1607">
        <v>3</v>
      </c>
      <c r="M20" s="1607"/>
      <c r="N20" s="1607">
        <v>7</v>
      </c>
    </row>
    <row r="21" spans="1:14" x14ac:dyDescent="0.2">
      <c r="A21" s="1607" t="s">
        <v>160</v>
      </c>
      <c r="B21" s="1607" t="s">
        <v>62</v>
      </c>
      <c r="C21" s="1607" t="s">
        <v>28</v>
      </c>
      <c r="D21" s="1607">
        <v>61</v>
      </c>
      <c r="E21" s="1607">
        <v>149670</v>
      </c>
      <c r="F21" s="1607">
        <v>2</v>
      </c>
      <c r="G21" s="1607">
        <v>31</v>
      </c>
      <c r="H21" s="1607"/>
      <c r="I21" s="1607">
        <v>8</v>
      </c>
      <c r="J21" s="1607">
        <v>1</v>
      </c>
      <c r="K21" s="1607">
        <v>3</v>
      </c>
      <c r="L21" s="1607">
        <v>10</v>
      </c>
      <c r="M21" s="1607">
        <v>1</v>
      </c>
      <c r="N21" s="1607">
        <v>5</v>
      </c>
    </row>
    <row r="22" spans="1:14" x14ac:dyDescent="0.2">
      <c r="A22" s="1607" t="s">
        <v>160</v>
      </c>
      <c r="B22" s="1607" t="s">
        <v>62</v>
      </c>
      <c r="C22" s="1607" t="s">
        <v>29</v>
      </c>
      <c r="D22" s="1607">
        <v>140</v>
      </c>
      <c r="E22" s="1607">
        <v>148210</v>
      </c>
      <c r="F22" s="1607">
        <v>3</v>
      </c>
      <c r="G22" s="1607">
        <v>51</v>
      </c>
      <c r="H22" s="1607">
        <v>1</v>
      </c>
      <c r="I22" s="1607">
        <v>6</v>
      </c>
      <c r="J22" s="1607">
        <v>1</v>
      </c>
      <c r="K22" s="1607">
        <v>4</v>
      </c>
      <c r="L22" s="1607">
        <v>45</v>
      </c>
      <c r="M22" s="1607">
        <v>10</v>
      </c>
      <c r="N22" s="1607">
        <v>19</v>
      </c>
    </row>
    <row r="23" spans="1:14" x14ac:dyDescent="0.2">
      <c r="A23" s="1607" t="s">
        <v>160</v>
      </c>
      <c r="B23" s="1607" t="s">
        <v>62</v>
      </c>
      <c r="C23" s="1607" t="s">
        <v>30</v>
      </c>
      <c r="D23" s="1607">
        <v>23</v>
      </c>
      <c r="E23" s="1607">
        <v>122060</v>
      </c>
      <c r="F23" s="1607">
        <v>3</v>
      </c>
      <c r="G23" s="1607">
        <v>3</v>
      </c>
      <c r="H23" s="1607"/>
      <c r="I23" s="1607">
        <v>8</v>
      </c>
      <c r="J23" s="1607"/>
      <c r="K23" s="1607"/>
      <c r="L23" s="1607">
        <v>5</v>
      </c>
      <c r="M23" s="1607">
        <v>1</v>
      </c>
      <c r="N23" s="1607">
        <v>3</v>
      </c>
    </row>
    <row r="24" spans="1:14" x14ac:dyDescent="0.2">
      <c r="A24" s="1607" t="s">
        <v>160</v>
      </c>
      <c r="B24" s="1607" t="s">
        <v>62</v>
      </c>
      <c r="C24" s="1607" t="s">
        <v>31</v>
      </c>
      <c r="D24" s="1607">
        <v>11</v>
      </c>
      <c r="E24" s="1607">
        <v>106960</v>
      </c>
      <c r="F24" s="1607">
        <v>1</v>
      </c>
      <c r="G24" s="1607">
        <v>4</v>
      </c>
      <c r="H24" s="1607">
        <v>1</v>
      </c>
      <c r="I24" s="1607">
        <v>1</v>
      </c>
      <c r="J24" s="1607"/>
      <c r="K24" s="1607">
        <v>1</v>
      </c>
      <c r="L24" s="1607">
        <v>1</v>
      </c>
      <c r="M24" s="1607">
        <v>1</v>
      </c>
      <c r="N24" s="1607">
        <v>1</v>
      </c>
    </row>
    <row r="25" spans="1:14" x14ac:dyDescent="0.2">
      <c r="A25" s="1607" t="s">
        <v>160</v>
      </c>
      <c r="B25" s="1607" t="s">
        <v>62</v>
      </c>
      <c r="C25" s="1607" t="s">
        <v>32</v>
      </c>
      <c r="D25" s="1607">
        <v>58</v>
      </c>
      <c r="E25" s="1607">
        <v>103050</v>
      </c>
      <c r="F25" s="1607"/>
      <c r="G25" s="1607">
        <v>27</v>
      </c>
      <c r="H25" s="1607">
        <v>2</v>
      </c>
      <c r="I25" s="1607">
        <v>2</v>
      </c>
      <c r="J25" s="1607"/>
      <c r="K25" s="1607">
        <v>12</v>
      </c>
      <c r="L25" s="1607">
        <v>12</v>
      </c>
      <c r="M25" s="1607"/>
      <c r="N25" s="1607">
        <v>3</v>
      </c>
    </row>
    <row r="26" spans="1:14" x14ac:dyDescent="0.2">
      <c r="A26" s="1607" t="s">
        <v>160</v>
      </c>
      <c r="B26" s="1607" t="s">
        <v>62</v>
      </c>
      <c r="C26" s="1607" t="s">
        <v>33</v>
      </c>
      <c r="D26" s="1607">
        <v>10</v>
      </c>
      <c r="E26" s="1607">
        <v>92940</v>
      </c>
      <c r="F26" s="1607"/>
      <c r="G26" s="1607">
        <v>1</v>
      </c>
      <c r="H26" s="1607"/>
      <c r="I26" s="1607">
        <v>2</v>
      </c>
      <c r="J26" s="1607"/>
      <c r="K26" s="1607"/>
      <c r="L26" s="1607">
        <v>6</v>
      </c>
      <c r="M26" s="1607"/>
      <c r="N26" s="1607">
        <v>1</v>
      </c>
    </row>
    <row r="27" spans="1:14" x14ac:dyDescent="0.2">
      <c r="A27" s="1607" t="s">
        <v>160</v>
      </c>
      <c r="B27" s="1607" t="s">
        <v>62</v>
      </c>
      <c r="C27" s="1607" t="s">
        <v>665</v>
      </c>
      <c r="D27" s="1607">
        <v>584</v>
      </c>
      <c r="E27" s="1607">
        <v>498810</v>
      </c>
      <c r="F27" s="1607">
        <v>5</v>
      </c>
      <c r="G27" s="1607">
        <v>90</v>
      </c>
      <c r="H27" s="1607"/>
      <c r="I27" s="1607">
        <v>15</v>
      </c>
      <c r="J27" s="1607"/>
      <c r="K27" s="1607">
        <v>37</v>
      </c>
      <c r="L27" s="1607">
        <v>361</v>
      </c>
      <c r="M27" s="1607">
        <v>57</v>
      </c>
      <c r="N27" s="1607">
        <v>19</v>
      </c>
    </row>
    <row r="28" spans="1:14" x14ac:dyDescent="0.2">
      <c r="A28" s="1607" t="s">
        <v>160</v>
      </c>
      <c r="B28" s="1607" t="s">
        <v>62</v>
      </c>
      <c r="C28" s="1607" t="s">
        <v>34</v>
      </c>
      <c r="D28" s="1607">
        <v>56</v>
      </c>
      <c r="E28" s="1607">
        <v>158460</v>
      </c>
      <c r="F28" s="1607">
        <v>2</v>
      </c>
      <c r="G28" s="1607">
        <v>30</v>
      </c>
      <c r="H28" s="1607">
        <v>2</v>
      </c>
      <c r="I28" s="1607">
        <v>1</v>
      </c>
      <c r="J28" s="1607"/>
      <c r="K28" s="1607">
        <v>8</v>
      </c>
      <c r="L28" s="1607">
        <v>11</v>
      </c>
      <c r="M28" s="1607"/>
      <c r="N28" s="1607">
        <v>2</v>
      </c>
    </row>
    <row r="29" spans="1:14" x14ac:dyDescent="0.2">
      <c r="A29" s="1607" t="s">
        <v>160</v>
      </c>
      <c r="B29" s="1607" t="s">
        <v>62</v>
      </c>
      <c r="C29" s="1607" t="s">
        <v>35</v>
      </c>
      <c r="D29" s="1607">
        <v>158</v>
      </c>
      <c r="E29" s="1607">
        <v>368080</v>
      </c>
      <c r="F29" s="1607">
        <v>2</v>
      </c>
      <c r="G29" s="1607">
        <v>68</v>
      </c>
      <c r="H29" s="1607">
        <v>1</v>
      </c>
      <c r="I29" s="1607">
        <v>12</v>
      </c>
      <c r="J29" s="1607">
        <v>3</v>
      </c>
      <c r="K29" s="1607">
        <v>10</v>
      </c>
      <c r="L29" s="1607">
        <v>30</v>
      </c>
      <c r="M29" s="1607">
        <v>6</v>
      </c>
      <c r="N29" s="1607">
        <v>26</v>
      </c>
    </row>
    <row r="30" spans="1:14" x14ac:dyDescent="0.2">
      <c r="A30" s="1607" t="s">
        <v>160</v>
      </c>
      <c r="B30" s="1607" t="s">
        <v>62</v>
      </c>
      <c r="C30" s="1607" t="s">
        <v>36</v>
      </c>
      <c r="D30" s="1607">
        <v>139</v>
      </c>
      <c r="E30" s="1607">
        <v>606340</v>
      </c>
      <c r="F30" s="1607">
        <v>1</v>
      </c>
      <c r="G30" s="1607">
        <v>17</v>
      </c>
      <c r="H30" s="1607"/>
      <c r="I30" s="1607">
        <v>17</v>
      </c>
      <c r="J30" s="1607"/>
      <c r="K30" s="1607">
        <v>3</v>
      </c>
      <c r="L30" s="1607">
        <v>86</v>
      </c>
      <c r="M30" s="1607">
        <v>4</v>
      </c>
      <c r="N30" s="1607">
        <v>11</v>
      </c>
    </row>
    <row r="31" spans="1:14" x14ac:dyDescent="0.2">
      <c r="A31" s="1607" t="s">
        <v>160</v>
      </c>
      <c r="B31" s="1607" t="s">
        <v>62</v>
      </c>
      <c r="C31" s="1607" t="s">
        <v>37</v>
      </c>
      <c r="D31" s="1607">
        <v>267</v>
      </c>
      <c r="E31" s="1607">
        <v>234110</v>
      </c>
      <c r="F31" s="1607">
        <v>6</v>
      </c>
      <c r="G31" s="1607">
        <v>177</v>
      </c>
      <c r="H31" s="1607">
        <v>1</v>
      </c>
      <c r="I31" s="1607">
        <v>8</v>
      </c>
      <c r="J31" s="1607"/>
      <c r="K31" s="1607">
        <v>13</v>
      </c>
      <c r="L31" s="1607">
        <v>37</v>
      </c>
      <c r="M31" s="1607">
        <v>1</v>
      </c>
      <c r="N31" s="1607">
        <v>24</v>
      </c>
    </row>
    <row r="32" spans="1:14" x14ac:dyDescent="0.2">
      <c r="A32" s="1607" t="s">
        <v>160</v>
      </c>
      <c r="B32" s="1607" t="s">
        <v>62</v>
      </c>
      <c r="C32" s="1607" t="s">
        <v>38</v>
      </c>
      <c r="D32" s="1607">
        <v>12</v>
      </c>
      <c r="E32" s="1607">
        <v>79500</v>
      </c>
      <c r="F32" s="1607"/>
      <c r="G32" s="1607">
        <v>4</v>
      </c>
      <c r="H32" s="1607"/>
      <c r="I32" s="1607"/>
      <c r="J32" s="1607"/>
      <c r="K32" s="1607"/>
      <c r="L32" s="1607">
        <v>7</v>
      </c>
      <c r="M32" s="1607">
        <v>1</v>
      </c>
      <c r="N32" s="1607"/>
    </row>
    <row r="33" spans="1:14" x14ac:dyDescent="0.2">
      <c r="A33" s="1607" t="s">
        <v>160</v>
      </c>
      <c r="B33" s="1607" t="s">
        <v>62</v>
      </c>
      <c r="C33" s="1607" t="s">
        <v>39</v>
      </c>
      <c r="D33" s="1607">
        <v>79</v>
      </c>
      <c r="E33" s="1607">
        <v>87390</v>
      </c>
      <c r="F33" s="1607"/>
      <c r="G33" s="1607">
        <v>31</v>
      </c>
      <c r="H33" s="1607">
        <v>1</v>
      </c>
      <c r="I33" s="1607">
        <v>1</v>
      </c>
      <c r="J33" s="1607"/>
      <c r="K33" s="1607">
        <v>14</v>
      </c>
      <c r="L33" s="1607">
        <v>15</v>
      </c>
      <c r="M33" s="1607">
        <v>8</v>
      </c>
      <c r="N33" s="1607">
        <v>9</v>
      </c>
    </row>
    <row r="34" spans="1:14" x14ac:dyDescent="0.2">
      <c r="A34" s="1607" t="s">
        <v>160</v>
      </c>
      <c r="B34" s="1607" t="s">
        <v>62</v>
      </c>
      <c r="C34" s="1607" t="s">
        <v>40</v>
      </c>
      <c r="D34" s="1607">
        <v>43</v>
      </c>
      <c r="E34" s="1607">
        <v>95510</v>
      </c>
      <c r="F34" s="1607">
        <v>1</v>
      </c>
      <c r="G34" s="1607">
        <v>23</v>
      </c>
      <c r="H34" s="1607">
        <v>1</v>
      </c>
      <c r="I34" s="1607"/>
      <c r="J34" s="1607"/>
      <c r="K34" s="1607">
        <v>1</v>
      </c>
      <c r="L34" s="1607">
        <v>6</v>
      </c>
      <c r="M34" s="1607"/>
      <c r="N34" s="1607">
        <v>11</v>
      </c>
    </row>
    <row r="35" spans="1:14" x14ac:dyDescent="0.2">
      <c r="A35" s="1607" t="s">
        <v>160</v>
      </c>
      <c r="B35" s="1607" t="s">
        <v>62</v>
      </c>
      <c r="C35" s="1607" t="s">
        <v>393</v>
      </c>
      <c r="D35" s="1607">
        <v>25</v>
      </c>
      <c r="E35" s="1607">
        <v>27070</v>
      </c>
      <c r="F35" s="1607"/>
      <c r="G35" s="1607">
        <v>22</v>
      </c>
      <c r="H35" s="1607"/>
      <c r="I35" s="1607"/>
      <c r="J35" s="1607"/>
      <c r="K35" s="1607">
        <v>1</v>
      </c>
      <c r="L35" s="1607"/>
      <c r="M35" s="1607">
        <v>1</v>
      </c>
      <c r="N35" s="1607">
        <v>1</v>
      </c>
    </row>
    <row r="36" spans="1:14" x14ac:dyDescent="0.2">
      <c r="A36" s="1607" t="s">
        <v>160</v>
      </c>
      <c r="B36" s="1607" t="s">
        <v>62</v>
      </c>
      <c r="C36" s="1607" t="s">
        <v>41</v>
      </c>
      <c r="D36" s="1607">
        <v>22</v>
      </c>
      <c r="E36" s="1607">
        <v>136130</v>
      </c>
      <c r="F36" s="1607">
        <v>1</v>
      </c>
      <c r="G36" s="1607">
        <v>9</v>
      </c>
      <c r="H36" s="1607"/>
      <c r="I36" s="1607">
        <v>1</v>
      </c>
      <c r="J36" s="1607"/>
      <c r="K36" s="1607">
        <v>5</v>
      </c>
      <c r="L36" s="1607">
        <v>3</v>
      </c>
      <c r="M36" s="1607">
        <v>1</v>
      </c>
      <c r="N36" s="1607">
        <v>2</v>
      </c>
    </row>
    <row r="37" spans="1:14" x14ac:dyDescent="0.2">
      <c r="A37" s="1607" t="s">
        <v>160</v>
      </c>
      <c r="B37" s="1607" t="s">
        <v>62</v>
      </c>
      <c r="C37" s="1607" t="s">
        <v>42</v>
      </c>
      <c r="D37" s="1607">
        <v>35</v>
      </c>
      <c r="E37" s="1607">
        <v>338260</v>
      </c>
      <c r="F37" s="1607">
        <v>1</v>
      </c>
      <c r="G37" s="1607">
        <v>9</v>
      </c>
      <c r="H37" s="1607"/>
      <c r="I37" s="1607">
        <v>7</v>
      </c>
      <c r="J37" s="1607">
        <v>1</v>
      </c>
      <c r="K37" s="1607">
        <v>3</v>
      </c>
      <c r="L37" s="1607">
        <v>5</v>
      </c>
      <c r="M37" s="1607"/>
      <c r="N37" s="1607">
        <v>9</v>
      </c>
    </row>
    <row r="38" spans="1:14" x14ac:dyDescent="0.2">
      <c r="A38" s="1607" t="s">
        <v>160</v>
      </c>
      <c r="B38" s="1607" t="s">
        <v>62</v>
      </c>
      <c r="C38" s="1607" t="s">
        <v>43</v>
      </c>
      <c r="D38" s="1607">
        <v>12</v>
      </c>
      <c r="E38" s="1607">
        <v>21670</v>
      </c>
      <c r="F38" s="1607">
        <v>4</v>
      </c>
      <c r="G38" s="1607">
        <v>3</v>
      </c>
      <c r="H38" s="1607"/>
      <c r="I38" s="1607">
        <v>2</v>
      </c>
      <c r="J38" s="1607"/>
      <c r="K38" s="1607">
        <v>1</v>
      </c>
      <c r="L38" s="1607">
        <v>1</v>
      </c>
      <c r="M38" s="1607">
        <v>1</v>
      </c>
      <c r="N38" s="1607"/>
    </row>
    <row r="39" spans="1:14" x14ac:dyDescent="0.2">
      <c r="A39" s="1607" t="s">
        <v>160</v>
      </c>
      <c r="B39" s="1607" t="s">
        <v>62</v>
      </c>
      <c r="C39" s="1607" t="s">
        <v>44</v>
      </c>
      <c r="D39" s="1607">
        <v>56</v>
      </c>
      <c r="E39" s="1607">
        <v>149930</v>
      </c>
      <c r="F39" s="1607">
        <v>1</v>
      </c>
      <c r="G39" s="1607">
        <v>25</v>
      </c>
      <c r="H39" s="1607">
        <v>3</v>
      </c>
      <c r="I39" s="1607">
        <v>2</v>
      </c>
      <c r="J39" s="1607">
        <v>1</v>
      </c>
      <c r="K39" s="1607">
        <v>5</v>
      </c>
      <c r="L39" s="1607">
        <v>12</v>
      </c>
      <c r="M39" s="1607">
        <v>3</v>
      </c>
      <c r="N39" s="1607">
        <v>4</v>
      </c>
    </row>
    <row r="40" spans="1:14" x14ac:dyDescent="0.2">
      <c r="A40" s="1607" t="s">
        <v>160</v>
      </c>
      <c r="B40" s="1607" t="s">
        <v>62</v>
      </c>
      <c r="C40" s="1607" t="s">
        <v>45</v>
      </c>
      <c r="D40" s="1607">
        <v>41</v>
      </c>
      <c r="E40" s="1607">
        <v>174560</v>
      </c>
      <c r="F40" s="1607"/>
      <c r="G40" s="1607">
        <v>8</v>
      </c>
      <c r="H40" s="1607"/>
      <c r="I40" s="1607">
        <v>5</v>
      </c>
      <c r="J40" s="1607"/>
      <c r="K40" s="1607">
        <v>4</v>
      </c>
      <c r="L40" s="1607">
        <v>11</v>
      </c>
      <c r="M40" s="1607">
        <v>6</v>
      </c>
      <c r="N40" s="1607">
        <v>7</v>
      </c>
    </row>
    <row r="41" spans="1:14" x14ac:dyDescent="0.2">
      <c r="A41" s="1607" t="s">
        <v>160</v>
      </c>
      <c r="B41" s="1607" t="s">
        <v>62</v>
      </c>
      <c r="C41" s="1607" t="s">
        <v>46</v>
      </c>
      <c r="D41" s="1607">
        <v>28</v>
      </c>
      <c r="E41" s="1607">
        <v>114030</v>
      </c>
      <c r="F41" s="1607"/>
      <c r="G41" s="1607">
        <v>11</v>
      </c>
      <c r="H41" s="1607"/>
      <c r="I41" s="1607">
        <v>5</v>
      </c>
      <c r="J41" s="1607"/>
      <c r="K41" s="1607">
        <v>5</v>
      </c>
      <c r="L41" s="1607">
        <v>4</v>
      </c>
      <c r="M41" s="1607"/>
      <c r="N41" s="1607">
        <v>3</v>
      </c>
    </row>
    <row r="42" spans="1:14" x14ac:dyDescent="0.2">
      <c r="A42" s="1607" t="s">
        <v>160</v>
      </c>
      <c r="B42" s="1607" t="s">
        <v>62</v>
      </c>
      <c r="C42" s="1607" t="s">
        <v>47</v>
      </c>
      <c r="D42" s="1607">
        <v>11</v>
      </c>
      <c r="E42" s="1607">
        <v>23200</v>
      </c>
      <c r="F42" s="1607">
        <v>1</v>
      </c>
      <c r="G42" s="1607">
        <v>4</v>
      </c>
      <c r="H42" s="1607"/>
      <c r="I42" s="1607"/>
      <c r="J42" s="1607"/>
      <c r="K42" s="1607">
        <v>3</v>
      </c>
      <c r="L42" s="1607">
        <v>2</v>
      </c>
      <c r="M42" s="1607">
        <v>1</v>
      </c>
      <c r="N42" s="1607"/>
    </row>
    <row r="43" spans="1:14" x14ac:dyDescent="0.2">
      <c r="A43" s="1607" t="s">
        <v>160</v>
      </c>
      <c r="B43" s="1607" t="s">
        <v>62</v>
      </c>
      <c r="C43" s="1607" t="s">
        <v>48</v>
      </c>
      <c r="D43" s="1607">
        <v>29</v>
      </c>
      <c r="E43" s="1607">
        <v>112400</v>
      </c>
      <c r="F43" s="1607"/>
      <c r="G43" s="1607">
        <v>7</v>
      </c>
      <c r="H43" s="1607"/>
      <c r="I43" s="1607"/>
      <c r="J43" s="1607"/>
      <c r="K43" s="1607">
        <v>2</v>
      </c>
      <c r="L43" s="1607">
        <v>9</v>
      </c>
      <c r="M43" s="1607">
        <v>5</v>
      </c>
      <c r="N43" s="1607">
        <v>6</v>
      </c>
    </row>
    <row r="44" spans="1:14" x14ac:dyDescent="0.2">
      <c r="A44" s="1607" t="s">
        <v>160</v>
      </c>
      <c r="B44" s="1607" t="s">
        <v>62</v>
      </c>
      <c r="C44" s="1607" t="s">
        <v>49</v>
      </c>
      <c r="D44" s="1607">
        <v>46</v>
      </c>
      <c r="E44" s="1607">
        <v>316230</v>
      </c>
      <c r="F44" s="1607"/>
      <c r="G44" s="1607">
        <v>20</v>
      </c>
      <c r="H44" s="1607"/>
      <c r="I44" s="1607">
        <v>6</v>
      </c>
      <c r="J44" s="1607">
        <v>1</v>
      </c>
      <c r="K44" s="1607">
        <v>5</v>
      </c>
      <c r="L44" s="1607">
        <v>8</v>
      </c>
      <c r="M44" s="1607">
        <v>2</v>
      </c>
      <c r="N44" s="1607">
        <v>4</v>
      </c>
    </row>
    <row r="45" spans="1:14" x14ac:dyDescent="0.2">
      <c r="A45" s="1607" t="s">
        <v>160</v>
      </c>
      <c r="B45" s="1607" t="s">
        <v>62</v>
      </c>
      <c r="C45" s="1607" t="s">
        <v>50</v>
      </c>
      <c r="D45" s="1607">
        <v>59</v>
      </c>
      <c r="E45" s="1607">
        <v>92830</v>
      </c>
      <c r="F45" s="1607"/>
      <c r="G45" s="1607">
        <v>25</v>
      </c>
      <c r="H45" s="1607">
        <v>1</v>
      </c>
      <c r="I45" s="1607">
        <v>5</v>
      </c>
      <c r="J45" s="1607"/>
      <c r="K45" s="1607">
        <v>4</v>
      </c>
      <c r="L45" s="1607">
        <v>15</v>
      </c>
      <c r="M45" s="1607">
        <v>2</v>
      </c>
      <c r="N45" s="1607">
        <v>7</v>
      </c>
    </row>
    <row r="46" spans="1:14" x14ac:dyDescent="0.2">
      <c r="A46" s="1607" t="s">
        <v>160</v>
      </c>
      <c r="B46" s="1607" t="s">
        <v>62</v>
      </c>
      <c r="C46" s="1607" t="s">
        <v>51</v>
      </c>
      <c r="D46" s="1607">
        <v>12</v>
      </c>
      <c r="E46" s="1607">
        <v>89590</v>
      </c>
      <c r="F46" s="1607"/>
      <c r="G46" s="1607">
        <v>4</v>
      </c>
      <c r="H46" s="1607">
        <v>1</v>
      </c>
      <c r="I46" s="1607">
        <v>3</v>
      </c>
      <c r="J46" s="1607"/>
      <c r="K46" s="1607">
        <v>2</v>
      </c>
      <c r="L46" s="1607">
        <v>2</v>
      </c>
      <c r="M46" s="1607"/>
      <c r="N46" s="1607"/>
    </row>
    <row r="47" spans="1:14" x14ac:dyDescent="0.2">
      <c r="A47" s="1607" t="s">
        <v>160</v>
      </c>
      <c r="B47" s="1607" t="s">
        <v>62</v>
      </c>
      <c r="C47" s="1607" t="s">
        <v>52</v>
      </c>
      <c r="D47" s="1607">
        <v>120</v>
      </c>
      <c r="E47" s="1607">
        <v>178550</v>
      </c>
      <c r="F47" s="1607"/>
      <c r="G47" s="1607">
        <v>68</v>
      </c>
      <c r="H47" s="1607"/>
      <c r="I47" s="1607">
        <v>3</v>
      </c>
      <c r="J47" s="1607">
        <v>2</v>
      </c>
      <c r="K47" s="1607">
        <v>14</v>
      </c>
      <c r="L47" s="1607">
        <v>19</v>
      </c>
      <c r="M47" s="1607">
        <v>7</v>
      </c>
      <c r="N47" s="1607">
        <v>7</v>
      </c>
    </row>
    <row r="48" spans="1:14" x14ac:dyDescent="0.2">
      <c r="A48" s="1607" t="s">
        <v>379</v>
      </c>
      <c r="B48" s="1607" t="s">
        <v>62</v>
      </c>
      <c r="C48" s="1607" t="s">
        <v>23</v>
      </c>
      <c r="D48" s="1607">
        <v>94</v>
      </c>
      <c r="E48" s="1607">
        <v>229840</v>
      </c>
      <c r="F48" s="1607">
        <v>3</v>
      </c>
      <c r="G48" s="1607">
        <v>24</v>
      </c>
      <c r="H48" s="1607"/>
      <c r="I48" s="1607">
        <v>3</v>
      </c>
      <c r="J48" s="1607"/>
      <c r="K48" s="1607">
        <v>1</v>
      </c>
      <c r="L48" s="1607">
        <v>37</v>
      </c>
      <c r="M48" s="1607">
        <v>5</v>
      </c>
      <c r="N48" s="1607">
        <v>21</v>
      </c>
    </row>
    <row r="49" spans="1:14" x14ac:dyDescent="0.2">
      <c r="A49" s="1607" t="s">
        <v>379</v>
      </c>
      <c r="B49" s="1607" t="s">
        <v>62</v>
      </c>
      <c r="C49" s="1607" t="s">
        <v>24</v>
      </c>
      <c r="D49" s="1607">
        <v>135</v>
      </c>
      <c r="E49" s="1607">
        <v>262190</v>
      </c>
      <c r="F49" s="1607">
        <v>2</v>
      </c>
      <c r="G49" s="1607">
        <v>59</v>
      </c>
      <c r="H49" s="1607">
        <v>1</v>
      </c>
      <c r="I49" s="1607">
        <v>7</v>
      </c>
      <c r="J49" s="1607">
        <v>1</v>
      </c>
      <c r="K49" s="1607">
        <v>6</v>
      </c>
      <c r="L49" s="1607">
        <v>21</v>
      </c>
      <c r="M49" s="1607">
        <v>5</v>
      </c>
      <c r="N49" s="1607">
        <v>33</v>
      </c>
    </row>
    <row r="50" spans="1:14" x14ac:dyDescent="0.2">
      <c r="A50" s="1607" t="s">
        <v>379</v>
      </c>
      <c r="B50" s="1607" t="s">
        <v>62</v>
      </c>
      <c r="C50" s="1607" t="s">
        <v>25</v>
      </c>
      <c r="D50" s="1607">
        <v>46</v>
      </c>
      <c r="E50" s="1607">
        <v>116520</v>
      </c>
      <c r="F50" s="1607">
        <v>2</v>
      </c>
      <c r="G50" s="1607">
        <v>18</v>
      </c>
      <c r="H50" s="1607">
        <v>2</v>
      </c>
      <c r="I50" s="1607">
        <v>3</v>
      </c>
      <c r="J50" s="1607"/>
      <c r="K50" s="1607">
        <v>5</v>
      </c>
      <c r="L50" s="1607">
        <v>11</v>
      </c>
      <c r="M50" s="1607">
        <v>1</v>
      </c>
      <c r="N50" s="1607">
        <v>4</v>
      </c>
    </row>
    <row r="51" spans="1:14" x14ac:dyDescent="0.2">
      <c r="A51" s="1607" t="s">
        <v>379</v>
      </c>
      <c r="B51" s="1607" t="s">
        <v>62</v>
      </c>
      <c r="C51" s="1607" t="s">
        <v>26</v>
      </c>
      <c r="D51" s="1607">
        <v>59</v>
      </c>
      <c r="E51" s="1607">
        <v>87130</v>
      </c>
      <c r="F51" s="1607">
        <v>3</v>
      </c>
      <c r="G51" s="1607">
        <v>27</v>
      </c>
      <c r="H51" s="1607"/>
      <c r="I51" s="1607">
        <v>2</v>
      </c>
      <c r="J51" s="1607">
        <v>2</v>
      </c>
      <c r="K51" s="1607">
        <v>12</v>
      </c>
      <c r="L51" s="1607">
        <v>11</v>
      </c>
      <c r="M51" s="1607"/>
      <c r="N51" s="1607">
        <v>2</v>
      </c>
    </row>
    <row r="52" spans="1:14" x14ac:dyDescent="0.2">
      <c r="A52" s="1607" t="s">
        <v>379</v>
      </c>
      <c r="B52" s="1607" t="s">
        <v>62</v>
      </c>
      <c r="C52" s="1607" t="s">
        <v>27</v>
      </c>
      <c r="D52" s="1607">
        <v>21</v>
      </c>
      <c r="E52" s="1607">
        <v>51350</v>
      </c>
      <c r="F52" s="1607">
        <v>1</v>
      </c>
      <c r="G52" s="1607">
        <v>10</v>
      </c>
      <c r="H52" s="1607"/>
      <c r="I52" s="1607">
        <v>4</v>
      </c>
      <c r="J52" s="1607">
        <v>1</v>
      </c>
      <c r="K52" s="1607">
        <v>1</v>
      </c>
      <c r="L52" s="1607">
        <v>4</v>
      </c>
      <c r="M52" s="1607"/>
      <c r="N52" s="1607"/>
    </row>
    <row r="53" spans="1:14" x14ac:dyDescent="0.2">
      <c r="A53" s="1607" t="s">
        <v>379</v>
      </c>
      <c r="B53" s="1607" t="s">
        <v>62</v>
      </c>
      <c r="C53" s="1607" t="s">
        <v>28</v>
      </c>
      <c r="D53" s="1607">
        <v>53</v>
      </c>
      <c r="E53" s="1607">
        <v>149520</v>
      </c>
      <c r="F53" s="1607">
        <v>2</v>
      </c>
      <c r="G53" s="1607">
        <v>27</v>
      </c>
      <c r="H53" s="1607"/>
      <c r="I53" s="1607">
        <v>3</v>
      </c>
      <c r="J53" s="1607"/>
      <c r="K53" s="1607">
        <v>3</v>
      </c>
      <c r="L53" s="1607">
        <v>11</v>
      </c>
      <c r="M53" s="1607">
        <v>2</v>
      </c>
      <c r="N53" s="1607">
        <v>5</v>
      </c>
    </row>
    <row r="54" spans="1:14" x14ac:dyDescent="0.2">
      <c r="A54" s="1607" t="s">
        <v>379</v>
      </c>
      <c r="B54" s="1607" t="s">
        <v>62</v>
      </c>
      <c r="C54" s="1607" t="s">
        <v>29</v>
      </c>
      <c r="D54" s="1607">
        <v>122</v>
      </c>
      <c r="E54" s="1607">
        <v>148270</v>
      </c>
      <c r="F54" s="1607"/>
      <c r="G54" s="1607">
        <v>38</v>
      </c>
      <c r="H54" s="1607"/>
      <c r="I54" s="1607">
        <v>4</v>
      </c>
      <c r="J54" s="1607"/>
      <c r="K54" s="1607">
        <v>11</v>
      </c>
      <c r="L54" s="1607">
        <v>53</v>
      </c>
      <c r="M54" s="1607">
        <v>10</v>
      </c>
      <c r="N54" s="1607">
        <v>6</v>
      </c>
    </row>
    <row r="55" spans="1:14" x14ac:dyDescent="0.2">
      <c r="A55" s="1607" t="s">
        <v>379</v>
      </c>
      <c r="B55" s="1607" t="s">
        <v>62</v>
      </c>
      <c r="C55" s="1607" t="s">
        <v>30</v>
      </c>
      <c r="D55" s="1607">
        <v>14</v>
      </c>
      <c r="E55" s="1607">
        <v>122200</v>
      </c>
      <c r="F55" s="1607"/>
      <c r="G55" s="1607">
        <v>3</v>
      </c>
      <c r="H55" s="1607"/>
      <c r="I55" s="1607">
        <v>3</v>
      </c>
      <c r="J55" s="1607">
        <v>1</v>
      </c>
      <c r="K55" s="1607">
        <v>1</v>
      </c>
      <c r="L55" s="1607">
        <v>2</v>
      </c>
      <c r="M55" s="1607">
        <v>2</v>
      </c>
      <c r="N55" s="1607">
        <v>2</v>
      </c>
    </row>
    <row r="56" spans="1:14" x14ac:dyDescent="0.2">
      <c r="A56" s="1607" t="s">
        <v>379</v>
      </c>
      <c r="B56" s="1607" t="s">
        <v>62</v>
      </c>
      <c r="C56" s="1607" t="s">
        <v>31</v>
      </c>
      <c r="D56" s="1607">
        <v>13</v>
      </c>
      <c r="E56" s="1607">
        <v>107540</v>
      </c>
      <c r="F56" s="1607"/>
      <c r="G56" s="1607">
        <v>4</v>
      </c>
      <c r="H56" s="1607"/>
      <c r="I56" s="1607">
        <v>1</v>
      </c>
      <c r="J56" s="1607">
        <v>1</v>
      </c>
      <c r="K56" s="1607">
        <v>1</v>
      </c>
      <c r="L56" s="1607">
        <v>2</v>
      </c>
      <c r="M56" s="1607"/>
      <c r="N56" s="1607">
        <v>4</v>
      </c>
    </row>
    <row r="57" spans="1:14" x14ac:dyDescent="0.2">
      <c r="A57" s="1607" t="s">
        <v>379</v>
      </c>
      <c r="B57" s="1607" t="s">
        <v>62</v>
      </c>
      <c r="C57" s="1607" t="s">
        <v>32</v>
      </c>
      <c r="D57" s="1607">
        <v>55</v>
      </c>
      <c r="E57" s="1607">
        <v>104090</v>
      </c>
      <c r="F57" s="1607">
        <v>1</v>
      </c>
      <c r="G57" s="1607">
        <v>25</v>
      </c>
      <c r="H57" s="1607"/>
      <c r="I57" s="1607">
        <v>3</v>
      </c>
      <c r="J57" s="1607"/>
      <c r="K57" s="1607">
        <v>8</v>
      </c>
      <c r="L57" s="1607">
        <v>9</v>
      </c>
      <c r="M57" s="1607">
        <v>4</v>
      </c>
      <c r="N57" s="1607">
        <v>5</v>
      </c>
    </row>
    <row r="58" spans="1:14" x14ac:dyDescent="0.2">
      <c r="A58" s="1607" t="s">
        <v>379</v>
      </c>
      <c r="B58" s="1607" t="s">
        <v>62</v>
      </c>
      <c r="C58" s="1607" t="s">
        <v>33</v>
      </c>
      <c r="D58" s="1607">
        <v>9</v>
      </c>
      <c r="E58" s="1607">
        <v>93810</v>
      </c>
      <c r="F58" s="1607"/>
      <c r="G58" s="1607">
        <v>6</v>
      </c>
      <c r="H58" s="1607"/>
      <c r="I58" s="1607">
        <v>2</v>
      </c>
      <c r="J58" s="1607"/>
      <c r="K58" s="1607"/>
      <c r="L58" s="1607">
        <v>1</v>
      </c>
      <c r="M58" s="1607"/>
      <c r="N58" s="1607"/>
    </row>
    <row r="59" spans="1:14" x14ac:dyDescent="0.2">
      <c r="A59" s="1607" t="s">
        <v>379</v>
      </c>
      <c r="B59" s="1607" t="s">
        <v>62</v>
      </c>
      <c r="C59" s="1607" t="s">
        <v>665</v>
      </c>
      <c r="D59" s="1607">
        <v>565</v>
      </c>
      <c r="E59" s="1607">
        <v>507170</v>
      </c>
      <c r="F59" s="1607"/>
      <c r="G59" s="1607">
        <v>61</v>
      </c>
      <c r="H59" s="1607"/>
      <c r="I59" s="1607">
        <v>18</v>
      </c>
      <c r="J59" s="1607">
        <v>2</v>
      </c>
      <c r="K59" s="1607">
        <v>37</v>
      </c>
      <c r="L59" s="1607">
        <v>376</v>
      </c>
      <c r="M59" s="1607">
        <v>49</v>
      </c>
      <c r="N59" s="1607">
        <v>22</v>
      </c>
    </row>
    <row r="60" spans="1:14" x14ac:dyDescent="0.2">
      <c r="A60" s="1607" t="s">
        <v>379</v>
      </c>
      <c r="B60" s="1607" t="s">
        <v>62</v>
      </c>
      <c r="C60" s="1607" t="s">
        <v>34</v>
      </c>
      <c r="D60" s="1607">
        <v>108</v>
      </c>
      <c r="E60" s="1607">
        <v>159380</v>
      </c>
      <c r="F60" s="1607">
        <v>2</v>
      </c>
      <c r="G60" s="1607">
        <v>60</v>
      </c>
      <c r="H60" s="1607"/>
      <c r="I60" s="1607">
        <v>2</v>
      </c>
      <c r="J60" s="1607"/>
      <c r="K60" s="1607">
        <v>10</v>
      </c>
      <c r="L60" s="1607">
        <v>18</v>
      </c>
      <c r="M60" s="1607">
        <v>5</v>
      </c>
      <c r="N60" s="1607">
        <v>11</v>
      </c>
    </row>
    <row r="61" spans="1:14" x14ac:dyDescent="0.2">
      <c r="A61" s="1607" t="s">
        <v>379</v>
      </c>
      <c r="B61" s="1607" t="s">
        <v>62</v>
      </c>
      <c r="C61" s="1607" t="s">
        <v>35</v>
      </c>
      <c r="D61" s="1607">
        <v>156</v>
      </c>
      <c r="E61" s="1607">
        <v>370330</v>
      </c>
      <c r="F61" s="1607">
        <v>4</v>
      </c>
      <c r="G61" s="1607">
        <v>63</v>
      </c>
      <c r="H61" s="1607"/>
      <c r="I61" s="1607">
        <v>9</v>
      </c>
      <c r="J61" s="1607"/>
      <c r="K61" s="1607">
        <v>18</v>
      </c>
      <c r="L61" s="1607">
        <v>32</v>
      </c>
      <c r="M61" s="1607">
        <v>8</v>
      </c>
      <c r="N61" s="1607">
        <v>22</v>
      </c>
    </row>
    <row r="62" spans="1:14" x14ac:dyDescent="0.2">
      <c r="A62" s="1607" t="s">
        <v>379</v>
      </c>
      <c r="B62" s="1607" t="s">
        <v>62</v>
      </c>
      <c r="C62" s="1607" t="s">
        <v>36</v>
      </c>
      <c r="D62" s="1607">
        <v>140</v>
      </c>
      <c r="E62" s="1607">
        <v>615070</v>
      </c>
      <c r="F62" s="1607">
        <v>2</v>
      </c>
      <c r="G62" s="1607">
        <v>18</v>
      </c>
      <c r="H62" s="1607"/>
      <c r="I62" s="1607">
        <v>8</v>
      </c>
      <c r="J62" s="1607">
        <v>1</v>
      </c>
      <c r="K62" s="1607">
        <v>6</v>
      </c>
      <c r="L62" s="1607">
        <v>85</v>
      </c>
      <c r="M62" s="1607">
        <v>5</v>
      </c>
      <c r="N62" s="1607">
        <v>15</v>
      </c>
    </row>
    <row r="63" spans="1:14" x14ac:dyDescent="0.2">
      <c r="A63" s="1607" t="s">
        <v>379</v>
      </c>
      <c r="B63" s="1607" t="s">
        <v>62</v>
      </c>
      <c r="C63" s="1607" t="s">
        <v>37</v>
      </c>
      <c r="D63" s="1607">
        <v>260</v>
      </c>
      <c r="E63" s="1607">
        <v>234770</v>
      </c>
      <c r="F63" s="1607">
        <v>9</v>
      </c>
      <c r="G63" s="1607">
        <v>190</v>
      </c>
      <c r="H63" s="1607">
        <v>4</v>
      </c>
      <c r="I63" s="1607">
        <v>2</v>
      </c>
      <c r="J63" s="1607">
        <v>1</v>
      </c>
      <c r="K63" s="1607">
        <v>11</v>
      </c>
      <c r="L63" s="1607">
        <v>24</v>
      </c>
      <c r="M63" s="1607">
        <v>4</v>
      </c>
      <c r="N63" s="1607">
        <v>15</v>
      </c>
    </row>
    <row r="64" spans="1:14" x14ac:dyDescent="0.2">
      <c r="A64" s="1607" t="s">
        <v>379</v>
      </c>
      <c r="B64" s="1607" t="s">
        <v>62</v>
      </c>
      <c r="C64" s="1607" t="s">
        <v>38</v>
      </c>
      <c r="D64" s="1607">
        <v>12</v>
      </c>
      <c r="E64" s="1607">
        <v>79160</v>
      </c>
      <c r="F64" s="1607"/>
      <c r="G64" s="1607">
        <v>1</v>
      </c>
      <c r="H64" s="1607"/>
      <c r="I64" s="1607">
        <v>2</v>
      </c>
      <c r="J64" s="1607"/>
      <c r="K64" s="1607">
        <v>3</v>
      </c>
      <c r="L64" s="1607">
        <v>3</v>
      </c>
      <c r="M64" s="1607">
        <v>2</v>
      </c>
      <c r="N64" s="1607">
        <v>1</v>
      </c>
    </row>
    <row r="65" spans="1:14" x14ac:dyDescent="0.2">
      <c r="A65" s="1607" t="s">
        <v>379</v>
      </c>
      <c r="B65" s="1607" t="s">
        <v>62</v>
      </c>
      <c r="C65" s="1607" t="s">
        <v>39</v>
      </c>
      <c r="D65" s="1607">
        <v>47</v>
      </c>
      <c r="E65" s="1607">
        <v>88610</v>
      </c>
      <c r="F65" s="1607">
        <v>1</v>
      </c>
      <c r="G65" s="1607">
        <v>25</v>
      </c>
      <c r="H65" s="1607"/>
      <c r="I65" s="1607">
        <v>3</v>
      </c>
      <c r="J65" s="1607"/>
      <c r="K65" s="1607">
        <v>3</v>
      </c>
      <c r="L65" s="1607">
        <v>3</v>
      </c>
      <c r="M65" s="1607">
        <v>3</v>
      </c>
      <c r="N65" s="1607">
        <v>9</v>
      </c>
    </row>
    <row r="66" spans="1:14" x14ac:dyDescent="0.2">
      <c r="A66" s="1607" t="s">
        <v>379</v>
      </c>
      <c r="B66" s="1607" t="s">
        <v>62</v>
      </c>
      <c r="C66" s="1607" t="s">
        <v>40</v>
      </c>
      <c r="D66" s="1607">
        <v>67</v>
      </c>
      <c r="E66" s="1607">
        <v>96070</v>
      </c>
      <c r="F66" s="1607">
        <v>2</v>
      </c>
      <c r="G66" s="1607">
        <v>36</v>
      </c>
      <c r="H66" s="1607">
        <v>1</v>
      </c>
      <c r="I66" s="1607">
        <v>4</v>
      </c>
      <c r="J66" s="1607"/>
      <c r="K66" s="1607">
        <v>4</v>
      </c>
      <c r="L66" s="1607">
        <v>8</v>
      </c>
      <c r="M66" s="1607">
        <v>2</v>
      </c>
      <c r="N66" s="1607">
        <v>10</v>
      </c>
    </row>
    <row r="67" spans="1:14" x14ac:dyDescent="0.2">
      <c r="A67" s="1607" t="s">
        <v>379</v>
      </c>
      <c r="B67" s="1607" t="s">
        <v>62</v>
      </c>
      <c r="C67" s="1607" t="s">
        <v>393</v>
      </c>
      <c r="D67" s="1607">
        <v>49</v>
      </c>
      <c r="E67" s="1607">
        <v>26900</v>
      </c>
      <c r="F67" s="1607">
        <v>1</v>
      </c>
      <c r="G67" s="1607">
        <v>43</v>
      </c>
      <c r="H67" s="1607">
        <v>1</v>
      </c>
      <c r="I67" s="1607"/>
      <c r="J67" s="1607"/>
      <c r="K67" s="1607"/>
      <c r="L67" s="1607">
        <v>1</v>
      </c>
      <c r="M67" s="1607"/>
      <c r="N67" s="1607">
        <v>3</v>
      </c>
    </row>
    <row r="68" spans="1:14" x14ac:dyDescent="0.2">
      <c r="A68" s="1607" t="s">
        <v>379</v>
      </c>
      <c r="B68" s="1607" t="s">
        <v>62</v>
      </c>
      <c r="C68" s="1607" t="s">
        <v>41</v>
      </c>
      <c r="D68" s="1607">
        <v>30</v>
      </c>
      <c r="E68" s="1607">
        <v>135890</v>
      </c>
      <c r="F68" s="1607"/>
      <c r="G68" s="1607">
        <v>4</v>
      </c>
      <c r="H68" s="1607"/>
      <c r="I68" s="1607">
        <v>6</v>
      </c>
      <c r="J68" s="1607"/>
      <c r="K68" s="1607">
        <v>5</v>
      </c>
      <c r="L68" s="1607">
        <v>8</v>
      </c>
      <c r="M68" s="1607">
        <v>2</v>
      </c>
      <c r="N68" s="1607">
        <v>5</v>
      </c>
    </row>
    <row r="69" spans="1:14" x14ac:dyDescent="0.2">
      <c r="A69" s="1607" t="s">
        <v>379</v>
      </c>
      <c r="B69" s="1607" t="s">
        <v>62</v>
      </c>
      <c r="C69" s="1607" t="s">
        <v>42</v>
      </c>
      <c r="D69" s="1607">
        <v>32</v>
      </c>
      <c r="E69" s="1607">
        <v>339390</v>
      </c>
      <c r="F69" s="1607">
        <v>1</v>
      </c>
      <c r="G69" s="1607">
        <v>8</v>
      </c>
      <c r="H69" s="1607">
        <v>2</v>
      </c>
      <c r="I69" s="1607">
        <v>8</v>
      </c>
      <c r="J69" s="1607"/>
      <c r="K69" s="1607">
        <v>2</v>
      </c>
      <c r="L69" s="1607">
        <v>6</v>
      </c>
      <c r="M69" s="1607">
        <v>1</v>
      </c>
      <c r="N69" s="1607">
        <v>4</v>
      </c>
    </row>
    <row r="70" spans="1:14" x14ac:dyDescent="0.2">
      <c r="A70" s="1607" t="s">
        <v>379</v>
      </c>
      <c r="B70" s="1607" t="s">
        <v>62</v>
      </c>
      <c r="C70" s="1607" t="s">
        <v>43</v>
      </c>
      <c r="D70" s="1607">
        <v>9</v>
      </c>
      <c r="E70" s="1607">
        <v>21850</v>
      </c>
      <c r="F70" s="1607"/>
      <c r="G70" s="1607">
        <v>5</v>
      </c>
      <c r="H70" s="1607"/>
      <c r="I70" s="1607">
        <v>1</v>
      </c>
      <c r="J70" s="1607"/>
      <c r="K70" s="1607">
        <v>1</v>
      </c>
      <c r="L70" s="1607">
        <v>2</v>
      </c>
      <c r="M70" s="1607"/>
      <c r="N70" s="1607"/>
    </row>
    <row r="71" spans="1:14" x14ac:dyDescent="0.2">
      <c r="A71" s="1607" t="s">
        <v>379</v>
      </c>
      <c r="B71" s="1607" t="s">
        <v>62</v>
      </c>
      <c r="C71" s="1607" t="s">
        <v>44</v>
      </c>
      <c r="D71" s="1607">
        <v>64</v>
      </c>
      <c r="E71" s="1607">
        <v>150680</v>
      </c>
      <c r="F71" s="1607">
        <v>1</v>
      </c>
      <c r="G71" s="1607">
        <v>29</v>
      </c>
      <c r="H71" s="1607"/>
      <c r="I71" s="1607">
        <v>6</v>
      </c>
      <c r="J71" s="1607">
        <v>2</v>
      </c>
      <c r="K71" s="1607">
        <v>7</v>
      </c>
      <c r="L71" s="1607">
        <v>14</v>
      </c>
      <c r="M71" s="1607">
        <v>2</v>
      </c>
      <c r="N71" s="1607">
        <v>3</v>
      </c>
    </row>
    <row r="72" spans="1:14" x14ac:dyDescent="0.2">
      <c r="A72" s="1607" t="s">
        <v>379</v>
      </c>
      <c r="B72" s="1607" t="s">
        <v>62</v>
      </c>
      <c r="C72" s="1607" t="s">
        <v>45</v>
      </c>
      <c r="D72" s="1607">
        <v>37</v>
      </c>
      <c r="E72" s="1607">
        <v>175930</v>
      </c>
      <c r="F72" s="1607">
        <v>3</v>
      </c>
      <c r="G72" s="1607">
        <v>11</v>
      </c>
      <c r="H72" s="1607"/>
      <c r="I72" s="1607">
        <v>5</v>
      </c>
      <c r="J72" s="1607">
        <v>1</v>
      </c>
      <c r="K72" s="1607">
        <v>6</v>
      </c>
      <c r="L72" s="1607">
        <v>4</v>
      </c>
      <c r="M72" s="1607">
        <v>2</v>
      </c>
      <c r="N72" s="1607">
        <v>5</v>
      </c>
    </row>
    <row r="73" spans="1:14" x14ac:dyDescent="0.2">
      <c r="A73" s="1607" t="s">
        <v>379</v>
      </c>
      <c r="B73" s="1607" t="s">
        <v>62</v>
      </c>
      <c r="C73" s="1607" t="s">
        <v>46</v>
      </c>
      <c r="D73" s="1607">
        <v>34</v>
      </c>
      <c r="E73" s="1607">
        <v>114530</v>
      </c>
      <c r="F73" s="1607">
        <v>1</v>
      </c>
      <c r="G73" s="1607">
        <v>13</v>
      </c>
      <c r="H73" s="1607"/>
      <c r="I73" s="1607">
        <v>5</v>
      </c>
      <c r="J73" s="1607"/>
      <c r="K73" s="1607">
        <v>6</v>
      </c>
      <c r="L73" s="1607">
        <v>1</v>
      </c>
      <c r="M73" s="1607">
        <v>3</v>
      </c>
      <c r="N73" s="1607">
        <v>5</v>
      </c>
    </row>
    <row r="74" spans="1:14" x14ac:dyDescent="0.2">
      <c r="A74" s="1607" t="s">
        <v>379</v>
      </c>
      <c r="B74" s="1607" t="s">
        <v>62</v>
      </c>
      <c r="C74" s="1607" t="s">
        <v>47</v>
      </c>
      <c r="D74" s="1607">
        <v>4</v>
      </c>
      <c r="E74" s="1607">
        <v>23200</v>
      </c>
      <c r="F74" s="1607"/>
      <c r="G74" s="1607">
        <v>3</v>
      </c>
      <c r="H74" s="1607"/>
      <c r="I74" s="1607"/>
      <c r="J74" s="1607"/>
      <c r="K74" s="1607"/>
      <c r="L74" s="1607"/>
      <c r="M74" s="1607">
        <v>1</v>
      </c>
      <c r="N74" s="1607"/>
    </row>
    <row r="75" spans="1:14" x14ac:dyDescent="0.2">
      <c r="A75" s="1607" t="s">
        <v>379</v>
      </c>
      <c r="B75" s="1607" t="s">
        <v>62</v>
      </c>
      <c r="C75" s="1607" t="s">
        <v>48</v>
      </c>
      <c r="D75" s="1607">
        <v>19</v>
      </c>
      <c r="E75" s="1607">
        <v>112470</v>
      </c>
      <c r="F75" s="1607"/>
      <c r="G75" s="1607">
        <v>2</v>
      </c>
      <c r="H75" s="1607">
        <v>1</v>
      </c>
      <c r="I75" s="1607">
        <v>2</v>
      </c>
      <c r="J75" s="1607"/>
      <c r="K75" s="1607">
        <v>1</v>
      </c>
      <c r="L75" s="1607">
        <v>7</v>
      </c>
      <c r="M75" s="1607">
        <v>2</v>
      </c>
      <c r="N75" s="1607">
        <v>4</v>
      </c>
    </row>
    <row r="76" spans="1:14" x14ac:dyDescent="0.2">
      <c r="A76" s="1607" t="s">
        <v>379</v>
      </c>
      <c r="B76" s="1607" t="s">
        <v>62</v>
      </c>
      <c r="C76" s="1607" t="s">
        <v>49</v>
      </c>
      <c r="D76" s="1607">
        <v>41</v>
      </c>
      <c r="E76" s="1607">
        <v>317100</v>
      </c>
      <c r="F76" s="1607"/>
      <c r="G76" s="1607">
        <v>15</v>
      </c>
      <c r="H76" s="1607">
        <v>2</v>
      </c>
      <c r="I76" s="1607">
        <v>10</v>
      </c>
      <c r="J76" s="1607"/>
      <c r="K76" s="1607">
        <v>5</v>
      </c>
      <c r="L76" s="1607">
        <v>4</v>
      </c>
      <c r="M76" s="1607">
        <v>1</v>
      </c>
      <c r="N76" s="1607">
        <v>4</v>
      </c>
    </row>
    <row r="77" spans="1:14" x14ac:dyDescent="0.2">
      <c r="A77" s="1607" t="s">
        <v>379</v>
      </c>
      <c r="B77" s="1607" t="s">
        <v>62</v>
      </c>
      <c r="C77" s="1607" t="s">
        <v>50</v>
      </c>
      <c r="D77" s="1607">
        <v>55</v>
      </c>
      <c r="E77" s="1607">
        <v>93750</v>
      </c>
      <c r="F77" s="1607">
        <v>1</v>
      </c>
      <c r="G77" s="1607">
        <v>33</v>
      </c>
      <c r="H77" s="1607"/>
      <c r="I77" s="1607">
        <v>2</v>
      </c>
      <c r="J77" s="1607">
        <v>1</v>
      </c>
      <c r="K77" s="1607">
        <v>3</v>
      </c>
      <c r="L77" s="1607">
        <v>8</v>
      </c>
      <c r="M77" s="1607">
        <v>5</v>
      </c>
      <c r="N77" s="1607">
        <v>2</v>
      </c>
    </row>
    <row r="78" spans="1:14" x14ac:dyDescent="0.2">
      <c r="A78" s="1607" t="s">
        <v>379</v>
      </c>
      <c r="B78" s="1607" t="s">
        <v>62</v>
      </c>
      <c r="C78" s="1607" t="s">
        <v>51</v>
      </c>
      <c r="D78" s="1607">
        <v>16</v>
      </c>
      <c r="E78" s="1607">
        <v>89860</v>
      </c>
      <c r="F78" s="1607"/>
      <c r="G78" s="1607">
        <v>8</v>
      </c>
      <c r="H78" s="1607"/>
      <c r="I78" s="1607">
        <v>2</v>
      </c>
      <c r="J78" s="1607">
        <v>1</v>
      </c>
      <c r="K78" s="1607">
        <v>3</v>
      </c>
      <c r="L78" s="1607">
        <v>1</v>
      </c>
      <c r="M78" s="1607"/>
      <c r="N78" s="1607">
        <v>1</v>
      </c>
    </row>
    <row r="79" spans="1:14" x14ac:dyDescent="0.2">
      <c r="A79" s="1607" t="s">
        <v>379</v>
      </c>
      <c r="B79" s="1607" t="s">
        <v>62</v>
      </c>
      <c r="C79" s="1607" t="s">
        <v>52</v>
      </c>
      <c r="D79" s="1607">
        <v>100</v>
      </c>
      <c r="E79" s="1607">
        <v>180130</v>
      </c>
      <c r="F79" s="1607"/>
      <c r="G79" s="1607">
        <v>65</v>
      </c>
      <c r="H79" s="1607">
        <v>1</v>
      </c>
      <c r="I79" s="1607">
        <v>3</v>
      </c>
      <c r="J79" s="1607"/>
      <c r="K79" s="1607">
        <v>8</v>
      </c>
      <c r="L79" s="1607">
        <v>14</v>
      </c>
      <c r="M79" s="1607">
        <v>4</v>
      </c>
      <c r="N79" s="1607">
        <v>5</v>
      </c>
    </row>
    <row r="80" spans="1:14" x14ac:dyDescent="0.2">
      <c r="A80" s="1607" t="s">
        <v>603</v>
      </c>
      <c r="B80" s="1607" t="s">
        <v>62</v>
      </c>
      <c r="C80" s="1607" t="s">
        <v>23</v>
      </c>
      <c r="D80" s="1607">
        <v>81</v>
      </c>
      <c r="E80" s="1607">
        <v>228800</v>
      </c>
      <c r="F80" s="1607"/>
      <c r="G80" s="1607">
        <v>27</v>
      </c>
      <c r="H80" s="1607"/>
      <c r="I80" s="1607">
        <v>6</v>
      </c>
      <c r="J80" s="1607"/>
      <c r="K80" s="1607">
        <v>3</v>
      </c>
      <c r="L80" s="1607">
        <v>31</v>
      </c>
      <c r="M80" s="1607">
        <v>1</v>
      </c>
      <c r="N80" s="1607">
        <v>13</v>
      </c>
    </row>
    <row r="81" spans="1:14" x14ac:dyDescent="0.2">
      <c r="A81" s="1607" t="s">
        <v>603</v>
      </c>
      <c r="B81" s="1607" t="s">
        <v>62</v>
      </c>
      <c r="C81" s="1607" t="s">
        <v>24</v>
      </c>
      <c r="D81" s="1607">
        <v>81</v>
      </c>
      <c r="E81" s="1607">
        <v>261800</v>
      </c>
      <c r="F81" s="1607">
        <v>2</v>
      </c>
      <c r="G81" s="1607">
        <v>41</v>
      </c>
      <c r="H81" s="1607">
        <v>1</v>
      </c>
      <c r="I81" s="1607">
        <v>4</v>
      </c>
      <c r="J81" s="1607"/>
      <c r="K81" s="1607">
        <v>4</v>
      </c>
      <c r="L81" s="1607">
        <v>12</v>
      </c>
      <c r="M81" s="1607">
        <v>2</v>
      </c>
      <c r="N81" s="1607">
        <v>15</v>
      </c>
    </row>
    <row r="82" spans="1:14" x14ac:dyDescent="0.2">
      <c r="A82" s="1607" t="s">
        <v>603</v>
      </c>
      <c r="B82" s="1607" t="s">
        <v>62</v>
      </c>
      <c r="C82" s="1607" t="s">
        <v>25</v>
      </c>
      <c r="D82" s="1607">
        <v>66</v>
      </c>
      <c r="E82" s="1607">
        <v>116280</v>
      </c>
      <c r="F82" s="1607"/>
      <c r="G82" s="1607">
        <v>31</v>
      </c>
      <c r="H82" s="1607"/>
      <c r="I82" s="1607">
        <v>1</v>
      </c>
      <c r="J82" s="1607"/>
      <c r="K82" s="1607">
        <v>7</v>
      </c>
      <c r="L82" s="1607">
        <v>20</v>
      </c>
      <c r="M82" s="1607">
        <v>2</v>
      </c>
      <c r="N82" s="1607">
        <v>5</v>
      </c>
    </row>
    <row r="83" spans="1:14" x14ac:dyDescent="0.2">
      <c r="A83" s="1607" t="s">
        <v>603</v>
      </c>
      <c r="B83" s="1607" t="s">
        <v>62</v>
      </c>
      <c r="C83" s="1607" t="s">
        <v>26</v>
      </c>
      <c r="D83" s="1607">
        <v>40</v>
      </c>
      <c r="E83" s="1607">
        <v>86810</v>
      </c>
      <c r="F83" s="1607">
        <v>3</v>
      </c>
      <c r="G83" s="1607">
        <v>21</v>
      </c>
      <c r="H83" s="1607">
        <v>1</v>
      </c>
      <c r="I83" s="1607">
        <v>4</v>
      </c>
      <c r="J83" s="1607">
        <v>2</v>
      </c>
      <c r="K83" s="1607">
        <v>2</v>
      </c>
      <c r="L83" s="1607">
        <v>4</v>
      </c>
      <c r="M83" s="1607">
        <v>1</v>
      </c>
      <c r="N83" s="1607">
        <v>2</v>
      </c>
    </row>
    <row r="84" spans="1:14" x14ac:dyDescent="0.2">
      <c r="A84" s="1607" t="s">
        <v>603</v>
      </c>
      <c r="B84" s="1607" t="s">
        <v>62</v>
      </c>
      <c r="C84" s="1607" t="s">
        <v>27</v>
      </c>
      <c r="D84" s="1607">
        <v>33</v>
      </c>
      <c r="E84" s="1607">
        <v>51450</v>
      </c>
      <c r="F84" s="1607"/>
      <c r="G84" s="1607">
        <v>22</v>
      </c>
      <c r="H84" s="1607">
        <v>1</v>
      </c>
      <c r="I84" s="1607">
        <v>2</v>
      </c>
      <c r="J84" s="1607"/>
      <c r="K84" s="1607">
        <v>2</v>
      </c>
      <c r="L84" s="1607">
        <v>4</v>
      </c>
      <c r="M84" s="1607"/>
      <c r="N84" s="1607">
        <v>2</v>
      </c>
    </row>
    <row r="85" spans="1:14" x14ac:dyDescent="0.2">
      <c r="A85" s="1607" t="s">
        <v>603</v>
      </c>
      <c r="B85" s="1607" t="s">
        <v>62</v>
      </c>
      <c r="C85" s="1607" t="s">
        <v>28</v>
      </c>
      <c r="D85" s="1607">
        <v>79</v>
      </c>
      <c r="E85" s="1607">
        <v>149200</v>
      </c>
      <c r="F85" s="1607">
        <v>1</v>
      </c>
      <c r="G85" s="1607">
        <v>40</v>
      </c>
      <c r="H85" s="1607">
        <v>2</v>
      </c>
      <c r="I85" s="1607">
        <v>4</v>
      </c>
      <c r="J85" s="1607">
        <v>1</v>
      </c>
      <c r="K85" s="1607">
        <v>8</v>
      </c>
      <c r="L85" s="1607">
        <v>15</v>
      </c>
      <c r="M85" s="1607">
        <v>2</v>
      </c>
      <c r="N85" s="1607">
        <v>6</v>
      </c>
    </row>
    <row r="86" spans="1:14" x14ac:dyDescent="0.2">
      <c r="A86" s="1607" t="s">
        <v>603</v>
      </c>
      <c r="B86" s="1607" t="s">
        <v>62</v>
      </c>
      <c r="C86" s="1607" t="s">
        <v>29</v>
      </c>
      <c r="D86" s="1607">
        <v>107</v>
      </c>
      <c r="E86" s="1607">
        <v>148710</v>
      </c>
      <c r="F86" s="1607">
        <v>1</v>
      </c>
      <c r="G86" s="1607">
        <v>39</v>
      </c>
      <c r="H86" s="1607">
        <v>1</v>
      </c>
      <c r="I86" s="1607">
        <v>4</v>
      </c>
      <c r="J86" s="1607"/>
      <c r="K86" s="1607">
        <v>6</v>
      </c>
      <c r="L86" s="1607">
        <v>35</v>
      </c>
      <c r="M86" s="1607">
        <v>13</v>
      </c>
      <c r="N86" s="1607">
        <v>8</v>
      </c>
    </row>
    <row r="87" spans="1:14" x14ac:dyDescent="0.2">
      <c r="A87" s="1607" t="s">
        <v>603</v>
      </c>
      <c r="B87" s="1607" t="s">
        <v>62</v>
      </c>
      <c r="C87" s="1607" t="s">
        <v>30</v>
      </c>
      <c r="D87" s="1607">
        <v>13</v>
      </c>
      <c r="E87" s="1607">
        <v>121940</v>
      </c>
      <c r="F87" s="1607">
        <v>1</v>
      </c>
      <c r="G87" s="1607">
        <v>3</v>
      </c>
      <c r="H87" s="1607"/>
      <c r="I87" s="1607">
        <v>5</v>
      </c>
      <c r="J87" s="1607"/>
      <c r="K87" s="1607">
        <v>1</v>
      </c>
      <c r="L87" s="1607">
        <v>1</v>
      </c>
      <c r="M87" s="1607">
        <v>1</v>
      </c>
      <c r="N87" s="1607">
        <v>1</v>
      </c>
    </row>
    <row r="88" spans="1:14" x14ac:dyDescent="0.2">
      <c r="A88" s="1607" t="s">
        <v>603</v>
      </c>
      <c r="B88" s="1607" t="s">
        <v>62</v>
      </c>
      <c r="C88" s="1607" t="s">
        <v>31</v>
      </c>
      <c r="D88" s="1607">
        <v>13</v>
      </c>
      <c r="E88" s="1607">
        <v>108130</v>
      </c>
      <c r="F88" s="1607"/>
      <c r="G88" s="1607">
        <v>4</v>
      </c>
      <c r="H88" s="1607">
        <v>1</v>
      </c>
      <c r="I88" s="1607">
        <v>1</v>
      </c>
      <c r="J88" s="1607"/>
      <c r="K88" s="1607"/>
      <c r="L88" s="1607">
        <v>3</v>
      </c>
      <c r="M88" s="1607"/>
      <c r="N88" s="1607">
        <v>4</v>
      </c>
    </row>
    <row r="89" spans="1:14" x14ac:dyDescent="0.2">
      <c r="A89" s="1607" t="s">
        <v>603</v>
      </c>
      <c r="B89" s="1607" t="s">
        <v>62</v>
      </c>
      <c r="C89" s="1607" t="s">
        <v>32</v>
      </c>
      <c r="D89" s="1607">
        <v>66</v>
      </c>
      <c r="E89" s="1607">
        <v>104840</v>
      </c>
      <c r="F89" s="1607"/>
      <c r="G89" s="1607">
        <v>36</v>
      </c>
      <c r="H89" s="1607"/>
      <c r="I89" s="1607">
        <v>3</v>
      </c>
      <c r="J89" s="1607"/>
      <c r="K89" s="1607">
        <v>11</v>
      </c>
      <c r="L89" s="1607">
        <v>10</v>
      </c>
      <c r="M89" s="1607">
        <v>4</v>
      </c>
      <c r="N89" s="1607">
        <v>2</v>
      </c>
    </row>
    <row r="90" spans="1:14" x14ac:dyDescent="0.2">
      <c r="A90" s="1607" t="s">
        <v>603</v>
      </c>
      <c r="B90" s="1607" t="s">
        <v>62</v>
      </c>
      <c r="C90" s="1607" t="s">
        <v>33</v>
      </c>
      <c r="D90" s="1607">
        <v>13</v>
      </c>
      <c r="E90" s="1607">
        <v>94760</v>
      </c>
      <c r="F90" s="1607">
        <v>1</v>
      </c>
      <c r="G90" s="1607">
        <v>2</v>
      </c>
      <c r="H90" s="1607"/>
      <c r="I90" s="1607">
        <v>3</v>
      </c>
      <c r="J90" s="1607"/>
      <c r="K90" s="1607">
        <v>1</v>
      </c>
      <c r="L90" s="1607">
        <v>4</v>
      </c>
      <c r="M90" s="1607">
        <v>1</v>
      </c>
      <c r="N90" s="1607">
        <v>1</v>
      </c>
    </row>
    <row r="91" spans="1:14" x14ac:dyDescent="0.2">
      <c r="A91" s="1607" t="s">
        <v>603</v>
      </c>
      <c r="B91" s="1607" t="s">
        <v>62</v>
      </c>
      <c r="C91" s="1607" t="s">
        <v>665</v>
      </c>
      <c r="D91" s="1607">
        <v>565</v>
      </c>
      <c r="E91" s="1607">
        <v>513210</v>
      </c>
      <c r="F91" s="1607">
        <v>4</v>
      </c>
      <c r="G91" s="1607">
        <v>118</v>
      </c>
      <c r="H91" s="1607"/>
      <c r="I91" s="1607">
        <v>18</v>
      </c>
      <c r="J91" s="1607"/>
      <c r="K91" s="1607">
        <v>43</v>
      </c>
      <c r="L91" s="1607">
        <v>315</v>
      </c>
      <c r="M91" s="1607">
        <v>46</v>
      </c>
      <c r="N91" s="1607">
        <v>21</v>
      </c>
    </row>
    <row r="92" spans="1:14" x14ac:dyDescent="0.2">
      <c r="A92" s="1607" t="s">
        <v>603</v>
      </c>
      <c r="B92" s="1607" t="s">
        <v>62</v>
      </c>
      <c r="C92" s="1607" t="s">
        <v>34</v>
      </c>
      <c r="D92" s="1607">
        <v>145</v>
      </c>
      <c r="E92" s="1607">
        <v>160130</v>
      </c>
      <c r="F92" s="1607">
        <v>6</v>
      </c>
      <c r="G92" s="1607">
        <v>87</v>
      </c>
      <c r="H92" s="1607"/>
      <c r="I92" s="1607">
        <v>8</v>
      </c>
      <c r="J92" s="1607"/>
      <c r="K92" s="1607">
        <v>11</v>
      </c>
      <c r="L92" s="1607">
        <v>15</v>
      </c>
      <c r="M92" s="1607">
        <v>6</v>
      </c>
      <c r="N92" s="1607">
        <v>12</v>
      </c>
    </row>
    <row r="93" spans="1:14" x14ac:dyDescent="0.2">
      <c r="A93" s="1607" t="s">
        <v>603</v>
      </c>
      <c r="B93" s="1607" t="s">
        <v>62</v>
      </c>
      <c r="C93" s="1607" t="s">
        <v>35</v>
      </c>
      <c r="D93" s="1607">
        <v>237</v>
      </c>
      <c r="E93" s="1607">
        <v>371410</v>
      </c>
      <c r="F93" s="1607">
        <v>3</v>
      </c>
      <c r="G93" s="1607">
        <v>101</v>
      </c>
      <c r="H93" s="1607">
        <v>2</v>
      </c>
      <c r="I93" s="1607">
        <v>19</v>
      </c>
      <c r="J93" s="1607">
        <v>2</v>
      </c>
      <c r="K93" s="1607">
        <v>38</v>
      </c>
      <c r="L93" s="1607">
        <v>31</v>
      </c>
      <c r="M93" s="1607">
        <v>11</v>
      </c>
      <c r="N93" s="1607">
        <v>30</v>
      </c>
    </row>
    <row r="94" spans="1:14" x14ac:dyDescent="0.2">
      <c r="A94" s="1607" t="s">
        <v>603</v>
      </c>
      <c r="B94" s="1607" t="s">
        <v>62</v>
      </c>
      <c r="C94" s="1607" t="s">
        <v>36</v>
      </c>
      <c r="D94" s="1607">
        <v>123</v>
      </c>
      <c r="E94" s="1607">
        <v>621020</v>
      </c>
      <c r="F94" s="1607">
        <v>5</v>
      </c>
      <c r="G94" s="1607">
        <v>7</v>
      </c>
      <c r="H94" s="1607"/>
      <c r="I94" s="1607">
        <v>11</v>
      </c>
      <c r="J94" s="1607">
        <v>3</v>
      </c>
      <c r="K94" s="1607">
        <v>5</v>
      </c>
      <c r="L94" s="1607">
        <v>78</v>
      </c>
      <c r="M94" s="1607">
        <v>1</v>
      </c>
      <c r="N94" s="1607">
        <v>13</v>
      </c>
    </row>
    <row r="95" spans="1:14" x14ac:dyDescent="0.2">
      <c r="A95" s="1607" t="s">
        <v>603</v>
      </c>
      <c r="B95" s="1607" t="s">
        <v>62</v>
      </c>
      <c r="C95" s="1607" t="s">
        <v>37</v>
      </c>
      <c r="D95" s="1607">
        <v>340</v>
      </c>
      <c r="E95" s="1607">
        <v>235180</v>
      </c>
      <c r="F95" s="1607">
        <v>4</v>
      </c>
      <c r="G95" s="1607">
        <v>250</v>
      </c>
      <c r="H95" s="1607">
        <v>2</v>
      </c>
      <c r="I95" s="1607">
        <v>6</v>
      </c>
      <c r="J95" s="1607">
        <v>2</v>
      </c>
      <c r="K95" s="1607">
        <v>18</v>
      </c>
      <c r="L95" s="1607">
        <v>31</v>
      </c>
      <c r="M95" s="1607">
        <v>8</v>
      </c>
      <c r="N95" s="1607">
        <v>19</v>
      </c>
    </row>
    <row r="96" spans="1:14" x14ac:dyDescent="0.2">
      <c r="A96" s="1607" t="s">
        <v>603</v>
      </c>
      <c r="B96" s="1607" t="s">
        <v>62</v>
      </c>
      <c r="C96" s="1607" t="s">
        <v>38</v>
      </c>
      <c r="D96" s="1607">
        <v>8</v>
      </c>
      <c r="E96" s="1607">
        <v>78760</v>
      </c>
      <c r="F96" s="1607"/>
      <c r="G96" s="1607">
        <v>1</v>
      </c>
      <c r="H96" s="1607"/>
      <c r="I96" s="1607">
        <v>2</v>
      </c>
      <c r="J96" s="1607"/>
      <c r="K96" s="1607"/>
      <c r="L96" s="1607">
        <v>3</v>
      </c>
      <c r="M96" s="1607"/>
      <c r="N96" s="1607">
        <v>2</v>
      </c>
    </row>
    <row r="97" spans="1:14" x14ac:dyDescent="0.2">
      <c r="A97" s="1607" t="s">
        <v>603</v>
      </c>
      <c r="B97" s="1607" t="s">
        <v>62</v>
      </c>
      <c r="C97" s="1607" t="s">
        <v>39</v>
      </c>
      <c r="D97" s="1607">
        <v>61</v>
      </c>
      <c r="E97" s="1607">
        <v>90090</v>
      </c>
      <c r="F97" s="1607"/>
      <c r="G97" s="1607">
        <v>33</v>
      </c>
      <c r="H97" s="1607">
        <v>2</v>
      </c>
      <c r="I97" s="1607">
        <v>5</v>
      </c>
      <c r="J97" s="1607">
        <v>1</v>
      </c>
      <c r="K97" s="1607">
        <v>4</v>
      </c>
      <c r="L97" s="1607">
        <v>9</v>
      </c>
      <c r="M97" s="1607">
        <v>4</v>
      </c>
      <c r="N97" s="1607">
        <v>3</v>
      </c>
    </row>
    <row r="98" spans="1:14" x14ac:dyDescent="0.2">
      <c r="A98" s="1607" t="s">
        <v>603</v>
      </c>
      <c r="B98" s="1607" t="s">
        <v>62</v>
      </c>
      <c r="C98" s="1607" t="s">
        <v>40</v>
      </c>
      <c r="D98" s="1607">
        <v>39</v>
      </c>
      <c r="E98" s="1607">
        <v>95780</v>
      </c>
      <c r="F98" s="1607">
        <v>1</v>
      </c>
      <c r="G98" s="1607">
        <v>26</v>
      </c>
      <c r="H98" s="1607">
        <v>1</v>
      </c>
      <c r="I98" s="1607">
        <v>1</v>
      </c>
      <c r="J98" s="1607"/>
      <c r="K98" s="1607">
        <v>2</v>
      </c>
      <c r="L98" s="1607">
        <v>6</v>
      </c>
      <c r="M98" s="1607"/>
      <c r="N98" s="1607">
        <v>2</v>
      </c>
    </row>
    <row r="99" spans="1:14" x14ac:dyDescent="0.2">
      <c r="A99" s="1607" t="s">
        <v>603</v>
      </c>
      <c r="B99" s="1607" t="s">
        <v>62</v>
      </c>
      <c r="C99" s="1607" t="s">
        <v>393</v>
      </c>
      <c r="D99" s="1607">
        <v>64</v>
      </c>
      <c r="E99" s="1607">
        <v>26950</v>
      </c>
      <c r="F99" s="1607"/>
      <c r="G99" s="1607">
        <v>60</v>
      </c>
      <c r="H99" s="1607"/>
      <c r="I99" s="1607">
        <v>1</v>
      </c>
      <c r="J99" s="1607"/>
      <c r="K99" s="1607">
        <v>1</v>
      </c>
      <c r="L99" s="1607">
        <v>1</v>
      </c>
      <c r="M99" s="1607"/>
      <c r="N99" s="1607">
        <v>1</v>
      </c>
    </row>
    <row r="100" spans="1:14" x14ac:dyDescent="0.2">
      <c r="A100" s="1607" t="s">
        <v>603</v>
      </c>
      <c r="B100" s="1607" t="s">
        <v>62</v>
      </c>
      <c r="C100" s="1607" t="s">
        <v>41</v>
      </c>
      <c r="D100" s="1607">
        <v>24</v>
      </c>
      <c r="E100" s="1607">
        <v>135790</v>
      </c>
      <c r="F100" s="1607">
        <v>1</v>
      </c>
      <c r="G100" s="1607">
        <v>6</v>
      </c>
      <c r="H100" s="1607"/>
      <c r="I100" s="1607">
        <v>2</v>
      </c>
      <c r="J100" s="1607"/>
      <c r="K100" s="1607">
        <v>3</v>
      </c>
      <c r="L100" s="1607">
        <v>8</v>
      </c>
      <c r="M100" s="1607">
        <v>1</v>
      </c>
      <c r="N100" s="1607">
        <v>3</v>
      </c>
    </row>
    <row r="101" spans="1:14" x14ac:dyDescent="0.2">
      <c r="A101" s="1607" t="s">
        <v>603</v>
      </c>
      <c r="B101" s="1607" t="s">
        <v>62</v>
      </c>
      <c r="C101" s="1607" t="s">
        <v>42</v>
      </c>
      <c r="D101" s="1607">
        <v>30</v>
      </c>
      <c r="E101" s="1607">
        <v>339960</v>
      </c>
      <c r="F101" s="1607">
        <v>2</v>
      </c>
      <c r="G101" s="1607">
        <v>8</v>
      </c>
      <c r="H101" s="1607">
        <v>1</v>
      </c>
      <c r="I101" s="1607">
        <v>7</v>
      </c>
      <c r="J101" s="1607">
        <v>2</v>
      </c>
      <c r="K101" s="1607">
        <v>4</v>
      </c>
      <c r="L101" s="1607">
        <v>2</v>
      </c>
      <c r="M101" s="1607"/>
      <c r="N101" s="1607">
        <v>4</v>
      </c>
    </row>
    <row r="102" spans="1:14" x14ac:dyDescent="0.2">
      <c r="A102" s="1607" t="s">
        <v>603</v>
      </c>
      <c r="B102" s="1607" t="s">
        <v>62</v>
      </c>
      <c r="C102" s="1607" t="s">
        <v>43</v>
      </c>
      <c r="D102" s="1607">
        <v>7</v>
      </c>
      <c r="E102" s="1607">
        <v>22000</v>
      </c>
      <c r="F102" s="1607"/>
      <c r="G102" s="1607">
        <v>4</v>
      </c>
      <c r="H102" s="1607"/>
      <c r="I102" s="1607"/>
      <c r="J102" s="1607">
        <v>1</v>
      </c>
      <c r="K102" s="1607"/>
      <c r="L102" s="1607">
        <v>2</v>
      </c>
      <c r="M102" s="1607"/>
      <c r="N102" s="1607"/>
    </row>
    <row r="103" spans="1:14" x14ac:dyDescent="0.2">
      <c r="A103" s="1607" t="s">
        <v>603</v>
      </c>
      <c r="B103" s="1607" t="s">
        <v>62</v>
      </c>
      <c r="C103" s="1607" t="s">
        <v>44</v>
      </c>
      <c r="D103" s="1607">
        <v>89</v>
      </c>
      <c r="E103" s="1607">
        <v>151100</v>
      </c>
      <c r="F103" s="1607">
        <v>3</v>
      </c>
      <c r="G103" s="1607">
        <v>39</v>
      </c>
      <c r="H103" s="1607"/>
      <c r="I103" s="1607">
        <v>5</v>
      </c>
      <c r="J103" s="1607">
        <v>1</v>
      </c>
      <c r="K103" s="1607">
        <v>7</v>
      </c>
      <c r="L103" s="1607">
        <v>18</v>
      </c>
      <c r="M103" s="1607">
        <v>2</v>
      </c>
      <c r="N103" s="1607">
        <v>14</v>
      </c>
    </row>
    <row r="104" spans="1:14" x14ac:dyDescent="0.2">
      <c r="A104" s="1607" t="s">
        <v>603</v>
      </c>
      <c r="B104" s="1607" t="s">
        <v>62</v>
      </c>
      <c r="C104" s="1607" t="s">
        <v>45</v>
      </c>
      <c r="D104" s="1607">
        <v>35</v>
      </c>
      <c r="E104" s="1607">
        <v>176830</v>
      </c>
      <c r="F104" s="1607"/>
      <c r="G104" s="1607">
        <v>8</v>
      </c>
      <c r="H104" s="1607"/>
      <c r="I104" s="1607">
        <v>10</v>
      </c>
      <c r="J104" s="1607"/>
      <c r="K104" s="1607">
        <v>2</v>
      </c>
      <c r="L104" s="1607">
        <v>7</v>
      </c>
      <c r="M104" s="1607">
        <v>5</v>
      </c>
      <c r="N104" s="1607">
        <v>3</v>
      </c>
    </row>
    <row r="105" spans="1:14" x14ac:dyDescent="0.2">
      <c r="A105" s="1607" t="s">
        <v>603</v>
      </c>
      <c r="B105" s="1607" t="s">
        <v>62</v>
      </c>
      <c r="C105" s="1607" t="s">
        <v>46</v>
      </c>
      <c r="D105" s="1607">
        <v>31</v>
      </c>
      <c r="E105" s="1607">
        <v>115020</v>
      </c>
      <c r="F105" s="1607">
        <v>1</v>
      </c>
      <c r="G105" s="1607">
        <v>12</v>
      </c>
      <c r="H105" s="1607">
        <v>1</v>
      </c>
      <c r="I105" s="1607">
        <v>4</v>
      </c>
      <c r="J105" s="1607"/>
      <c r="K105" s="1607">
        <v>6</v>
      </c>
      <c r="L105" s="1607">
        <v>3</v>
      </c>
      <c r="M105" s="1607">
        <v>1</v>
      </c>
      <c r="N105" s="1607">
        <v>3</v>
      </c>
    </row>
    <row r="106" spans="1:14" x14ac:dyDescent="0.2">
      <c r="A106" s="1607" t="s">
        <v>603</v>
      </c>
      <c r="B106" s="1607" t="s">
        <v>62</v>
      </c>
      <c r="C106" s="1607" t="s">
        <v>47</v>
      </c>
      <c r="D106" s="1607">
        <v>9</v>
      </c>
      <c r="E106" s="1607">
        <v>23080</v>
      </c>
      <c r="F106" s="1607">
        <v>1</v>
      </c>
      <c r="G106" s="1607">
        <v>5</v>
      </c>
      <c r="H106" s="1607"/>
      <c r="I106" s="1607">
        <v>1</v>
      </c>
      <c r="J106" s="1607"/>
      <c r="K106" s="1607"/>
      <c r="L106" s="1607"/>
      <c r="M106" s="1607">
        <v>1</v>
      </c>
      <c r="N106" s="1607">
        <v>1</v>
      </c>
    </row>
    <row r="107" spans="1:14" x14ac:dyDescent="0.2">
      <c r="A107" s="1607" t="s">
        <v>603</v>
      </c>
      <c r="B107" s="1607" t="s">
        <v>62</v>
      </c>
      <c r="C107" s="1607" t="s">
        <v>48</v>
      </c>
      <c r="D107" s="1607">
        <v>27</v>
      </c>
      <c r="E107" s="1607">
        <v>112680</v>
      </c>
      <c r="F107" s="1607">
        <v>1</v>
      </c>
      <c r="G107" s="1607">
        <v>8</v>
      </c>
      <c r="H107" s="1607"/>
      <c r="I107" s="1607">
        <v>3</v>
      </c>
      <c r="J107" s="1607"/>
      <c r="K107" s="1607"/>
      <c r="L107" s="1607">
        <v>14</v>
      </c>
      <c r="M107" s="1607"/>
      <c r="N107" s="1607">
        <v>1</v>
      </c>
    </row>
    <row r="108" spans="1:14" x14ac:dyDescent="0.2">
      <c r="A108" s="1607" t="s">
        <v>603</v>
      </c>
      <c r="B108" s="1607" t="s">
        <v>62</v>
      </c>
      <c r="C108" s="1607" t="s">
        <v>49</v>
      </c>
      <c r="D108" s="1607">
        <v>39</v>
      </c>
      <c r="E108" s="1607">
        <v>318170</v>
      </c>
      <c r="F108" s="1607"/>
      <c r="G108" s="1607">
        <v>14</v>
      </c>
      <c r="H108" s="1607"/>
      <c r="I108" s="1607">
        <v>7</v>
      </c>
      <c r="J108" s="1607"/>
      <c r="K108" s="1607">
        <v>3</v>
      </c>
      <c r="L108" s="1607">
        <v>8</v>
      </c>
      <c r="M108" s="1607"/>
      <c r="N108" s="1607">
        <v>7</v>
      </c>
    </row>
    <row r="109" spans="1:14" x14ac:dyDescent="0.2">
      <c r="A109" s="1607" t="s">
        <v>603</v>
      </c>
      <c r="B109" s="1607" t="s">
        <v>62</v>
      </c>
      <c r="C109" s="1607" t="s">
        <v>50</v>
      </c>
      <c r="D109" s="1607">
        <v>43</v>
      </c>
      <c r="E109" s="1607">
        <v>94000</v>
      </c>
      <c r="F109" s="1607"/>
      <c r="G109" s="1607">
        <v>24</v>
      </c>
      <c r="H109" s="1607"/>
      <c r="I109" s="1607">
        <v>2</v>
      </c>
      <c r="J109" s="1607"/>
      <c r="K109" s="1607">
        <v>3</v>
      </c>
      <c r="L109" s="1607">
        <v>11</v>
      </c>
      <c r="M109" s="1607">
        <v>1</v>
      </c>
      <c r="N109" s="1607">
        <v>2</v>
      </c>
    </row>
    <row r="110" spans="1:14" x14ac:dyDescent="0.2">
      <c r="A110" s="1607" t="s">
        <v>603</v>
      </c>
      <c r="B110" s="1607" t="s">
        <v>62</v>
      </c>
      <c r="C110" s="1607" t="s">
        <v>51</v>
      </c>
      <c r="D110" s="1607">
        <v>5</v>
      </c>
      <c r="E110" s="1607">
        <v>89610</v>
      </c>
      <c r="F110" s="1607"/>
      <c r="G110" s="1607"/>
      <c r="H110" s="1607">
        <v>1</v>
      </c>
      <c r="I110" s="1607">
        <v>1</v>
      </c>
      <c r="J110" s="1607"/>
      <c r="K110" s="1607">
        <v>1</v>
      </c>
      <c r="L110" s="1607">
        <v>2</v>
      </c>
      <c r="M110" s="1607"/>
      <c r="N110" s="1607"/>
    </row>
    <row r="111" spans="1:14" x14ac:dyDescent="0.2">
      <c r="A111" s="1607" t="s">
        <v>603</v>
      </c>
      <c r="B111" s="1607" t="s">
        <v>62</v>
      </c>
      <c r="C111" s="1607" t="s">
        <v>52</v>
      </c>
      <c r="D111" s="1607">
        <v>82</v>
      </c>
      <c r="E111" s="1607">
        <v>181310</v>
      </c>
      <c r="F111" s="1607"/>
      <c r="G111" s="1607">
        <v>51</v>
      </c>
      <c r="H111" s="1607"/>
      <c r="I111" s="1607">
        <v>3</v>
      </c>
      <c r="J111" s="1607">
        <v>1</v>
      </c>
      <c r="K111" s="1607">
        <v>6</v>
      </c>
      <c r="L111" s="1607">
        <v>13</v>
      </c>
      <c r="M111" s="1607">
        <v>3</v>
      </c>
      <c r="N111" s="1607">
        <v>5</v>
      </c>
    </row>
    <row r="112" spans="1:14" x14ac:dyDescent="0.2">
      <c r="A112" s="1607" t="s">
        <v>160</v>
      </c>
      <c r="B112" s="1607" t="s">
        <v>118</v>
      </c>
      <c r="C112" s="1607" t="s">
        <v>23</v>
      </c>
      <c r="D112" s="1607">
        <v>319</v>
      </c>
      <c r="E112" s="1607">
        <v>230350</v>
      </c>
      <c r="F112" s="1607">
        <v>20</v>
      </c>
      <c r="G112" s="1607">
        <v>55</v>
      </c>
      <c r="H112" s="1607"/>
      <c r="I112" s="1607">
        <v>4</v>
      </c>
      <c r="J112" s="1607">
        <v>1</v>
      </c>
      <c r="K112" s="1607"/>
      <c r="L112" s="1607">
        <v>141</v>
      </c>
      <c r="M112" s="1607">
        <v>10</v>
      </c>
      <c r="N112" s="1607">
        <v>88</v>
      </c>
    </row>
    <row r="113" spans="1:14" x14ac:dyDescent="0.2">
      <c r="A113" s="1607" t="s">
        <v>160</v>
      </c>
      <c r="B113" s="1607" t="s">
        <v>118</v>
      </c>
      <c r="C113" s="1607" t="s">
        <v>24</v>
      </c>
      <c r="D113" s="1607">
        <v>92</v>
      </c>
      <c r="E113" s="1607">
        <v>261960</v>
      </c>
      <c r="F113" s="1607">
        <v>6</v>
      </c>
      <c r="G113" s="1607">
        <v>26</v>
      </c>
      <c r="H113" s="1607"/>
      <c r="I113" s="1607">
        <v>4</v>
      </c>
      <c r="J113" s="1607">
        <v>2</v>
      </c>
      <c r="K113" s="1607">
        <v>1</v>
      </c>
      <c r="L113" s="1607">
        <v>7</v>
      </c>
      <c r="M113" s="1607">
        <v>5</v>
      </c>
      <c r="N113" s="1607">
        <v>41</v>
      </c>
    </row>
    <row r="114" spans="1:14" x14ac:dyDescent="0.2">
      <c r="A114" s="1607" t="s">
        <v>160</v>
      </c>
      <c r="B114" s="1607" t="s">
        <v>118</v>
      </c>
      <c r="C114" s="1607" t="s">
        <v>25</v>
      </c>
      <c r="D114" s="1607">
        <v>92</v>
      </c>
      <c r="E114" s="1607">
        <v>116900</v>
      </c>
      <c r="F114" s="1607">
        <v>3</v>
      </c>
      <c r="G114" s="1607">
        <v>45</v>
      </c>
      <c r="H114" s="1607"/>
      <c r="I114" s="1607">
        <v>2</v>
      </c>
      <c r="J114" s="1607">
        <v>1</v>
      </c>
      <c r="K114" s="1607">
        <v>15</v>
      </c>
      <c r="L114" s="1607">
        <v>13</v>
      </c>
      <c r="M114" s="1607">
        <v>3</v>
      </c>
      <c r="N114" s="1607">
        <v>10</v>
      </c>
    </row>
    <row r="115" spans="1:14" x14ac:dyDescent="0.2">
      <c r="A115" s="1607" t="s">
        <v>160</v>
      </c>
      <c r="B115" s="1607" t="s">
        <v>118</v>
      </c>
      <c r="C115" s="1607" t="s">
        <v>26</v>
      </c>
      <c r="D115" s="1607">
        <v>39</v>
      </c>
      <c r="E115" s="1607">
        <v>86890</v>
      </c>
      <c r="F115" s="1607">
        <v>2</v>
      </c>
      <c r="G115" s="1607">
        <v>16</v>
      </c>
      <c r="H115" s="1607"/>
      <c r="I115" s="1607"/>
      <c r="J115" s="1607"/>
      <c r="K115" s="1607">
        <v>10</v>
      </c>
      <c r="L115" s="1607">
        <v>6</v>
      </c>
      <c r="M115" s="1607">
        <v>1</v>
      </c>
      <c r="N115" s="1607">
        <v>4</v>
      </c>
    </row>
    <row r="116" spans="1:14" x14ac:dyDescent="0.2">
      <c r="A116" s="1607" t="s">
        <v>160</v>
      </c>
      <c r="B116" s="1607" t="s">
        <v>118</v>
      </c>
      <c r="C116" s="1607" t="s">
        <v>27</v>
      </c>
      <c r="D116" s="1607">
        <v>83</v>
      </c>
      <c r="E116" s="1607">
        <v>51360</v>
      </c>
      <c r="F116" s="1607">
        <v>2</v>
      </c>
      <c r="G116" s="1607">
        <v>27</v>
      </c>
      <c r="H116" s="1607">
        <v>2</v>
      </c>
      <c r="I116" s="1607">
        <v>1</v>
      </c>
      <c r="J116" s="1607"/>
      <c r="K116" s="1607">
        <v>9</v>
      </c>
      <c r="L116" s="1607">
        <v>19</v>
      </c>
      <c r="M116" s="1607">
        <v>6</v>
      </c>
      <c r="N116" s="1607">
        <v>17</v>
      </c>
    </row>
    <row r="117" spans="1:14" x14ac:dyDescent="0.2">
      <c r="A117" s="1607" t="s">
        <v>160</v>
      </c>
      <c r="B117" s="1607" t="s">
        <v>118</v>
      </c>
      <c r="C117" s="1607" t="s">
        <v>28</v>
      </c>
      <c r="D117" s="1607">
        <v>94</v>
      </c>
      <c r="E117" s="1607">
        <v>149670</v>
      </c>
      <c r="F117" s="1607">
        <v>6</v>
      </c>
      <c r="G117" s="1607">
        <v>33</v>
      </c>
      <c r="H117" s="1607"/>
      <c r="I117" s="1607">
        <v>3</v>
      </c>
      <c r="J117" s="1607">
        <v>2</v>
      </c>
      <c r="K117" s="1607">
        <v>5</v>
      </c>
      <c r="L117" s="1607">
        <v>14</v>
      </c>
      <c r="M117" s="1607">
        <v>4</v>
      </c>
      <c r="N117" s="1607">
        <v>27</v>
      </c>
    </row>
    <row r="118" spans="1:14" x14ac:dyDescent="0.2">
      <c r="A118" s="1607" t="s">
        <v>160</v>
      </c>
      <c r="B118" s="1607" t="s">
        <v>118</v>
      </c>
      <c r="C118" s="1607" t="s">
        <v>29</v>
      </c>
      <c r="D118" s="1607">
        <v>540</v>
      </c>
      <c r="E118" s="1607">
        <v>148210</v>
      </c>
      <c r="F118" s="1607">
        <v>25</v>
      </c>
      <c r="G118" s="1607">
        <v>160</v>
      </c>
      <c r="H118" s="1607">
        <v>4</v>
      </c>
      <c r="I118" s="1607">
        <v>9</v>
      </c>
      <c r="J118" s="1607">
        <v>2</v>
      </c>
      <c r="K118" s="1607">
        <v>70</v>
      </c>
      <c r="L118" s="1607">
        <v>167</v>
      </c>
      <c r="M118" s="1607">
        <v>25</v>
      </c>
      <c r="N118" s="1607">
        <v>78</v>
      </c>
    </row>
    <row r="119" spans="1:14" x14ac:dyDescent="0.2">
      <c r="A119" s="1607" t="s">
        <v>160</v>
      </c>
      <c r="B119" s="1607" t="s">
        <v>118</v>
      </c>
      <c r="C119" s="1607" t="s">
        <v>30</v>
      </c>
      <c r="D119" s="1607">
        <v>593</v>
      </c>
      <c r="E119" s="1607">
        <v>122060</v>
      </c>
      <c r="F119" s="1607">
        <v>9</v>
      </c>
      <c r="G119" s="1607">
        <v>213</v>
      </c>
      <c r="H119" s="1607">
        <v>3</v>
      </c>
      <c r="I119" s="1607">
        <v>4</v>
      </c>
      <c r="J119" s="1607">
        <v>4</v>
      </c>
      <c r="K119" s="1607">
        <v>65</v>
      </c>
      <c r="L119" s="1607">
        <v>119</v>
      </c>
      <c r="M119" s="1607">
        <v>33</v>
      </c>
      <c r="N119" s="1607">
        <v>143</v>
      </c>
    </row>
    <row r="120" spans="1:14" x14ac:dyDescent="0.2">
      <c r="A120" s="1607" t="s">
        <v>160</v>
      </c>
      <c r="B120" s="1607" t="s">
        <v>118</v>
      </c>
      <c r="C120" s="1607" t="s">
        <v>31</v>
      </c>
      <c r="D120" s="1607">
        <v>160</v>
      </c>
      <c r="E120" s="1607">
        <v>106960</v>
      </c>
      <c r="F120" s="1607">
        <v>3</v>
      </c>
      <c r="G120" s="1607">
        <v>52</v>
      </c>
      <c r="H120" s="1607">
        <v>2</v>
      </c>
      <c r="I120" s="1607">
        <v>4</v>
      </c>
      <c r="J120" s="1607">
        <v>1</v>
      </c>
      <c r="K120" s="1607">
        <v>30</v>
      </c>
      <c r="L120" s="1607">
        <v>20</v>
      </c>
      <c r="M120" s="1607">
        <v>6</v>
      </c>
      <c r="N120" s="1607">
        <v>42</v>
      </c>
    </row>
    <row r="121" spans="1:14" x14ac:dyDescent="0.2">
      <c r="A121" s="1607" t="s">
        <v>160</v>
      </c>
      <c r="B121" s="1607" t="s">
        <v>118</v>
      </c>
      <c r="C121" s="1607" t="s">
        <v>32</v>
      </c>
      <c r="D121" s="1607">
        <v>137</v>
      </c>
      <c r="E121" s="1607">
        <v>103050</v>
      </c>
      <c r="F121" s="1607">
        <v>4</v>
      </c>
      <c r="G121" s="1607">
        <v>42</v>
      </c>
      <c r="H121" s="1607">
        <v>6</v>
      </c>
      <c r="I121" s="1607">
        <v>4</v>
      </c>
      <c r="J121" s="1607">
        <v>1</v>
      </c>
      <c r="K121" s="1607">
        <v>29</v>
      </c>
      <c r="L121" s="1607">
        <v>22</v>
      </c>
      <c r="M121" s="1607">
        <v>5</v>
      </c>
      <c r="N121" s="1607">
        <v>24</v>
      </c>
    </row>
    <row r="122" spans="1:14" x14ac:dyDescent="0.2">
      <c r="A122" s="1607" t="s">
        <v>160</v>
      </c>
      <c r="B122" s="1607" t="s">
        <v>118</v>
      </c>
      <c r="C122" s="1607" t="s">
        <v>33</v>
      </c>
      <c r="D122" s="1607">
        <v>137</v>
      </c>
      <c r="E122" s="1607">
        <v>92940</v>
      </c>
      <c r="F122" s="1607">
        <v>6</v>
      </c>
      <c r="G122" s="1607">
        <v>40</v>
      </c>
      <c r="H122" s="1607">
        <v>1</v>
      </c>
      <c r="I122" s="1607">
        <v>8</v>
      </c>
      <c r="J122" s="1607"/>
      <c r="K122" s="1607">
        <v>27</v>
      </c>
      <c r="L122" s="1607">
        <v>20</v>
      </c>
      <c r="M122" s="1607">
        <v>8</v>
      </c>
      <c r="N122" s="1607">
        <v>27</v>
      </c>
    </row>
    <row r="123" spans="1:14" x14ac:dyDescent="0.2">
      <c r="A123" s="1607" t="s">
        <v>160</v>
      </c>
      <c r="B123" s="1607" t="s">
        <v>118</v>
      </c>
      <c r="C123" s="1607" t="s">
        <v>665</v>
      </c>
      <c r="D123" s="1607">
        <v>1309</v>
      </c>
      <c r="E123" s="1607">
        <v>498810</v>
      </c>
      <c r="F123" s="1607">
        <v>17</v>
      </c>
      <c r="G123" s="1607">
        <v>329</v>
      </c>
      <c r="H123" s="1607">
        <v>1</v>
      </c>
      <c r="I123" s="1607">
        <v>19</v>
      </c>
      <c r="J123" s="1607">
        <v>2</v>
      </c>
      <c r="K123" s="1607">
        <v>273</v>
      </c>
      <c r="L123" s="1607">
        <v>365</v>
      </c>
      <c r="M123" s="1607">
        <v>86</v>
      </c>
      <c r="N123" s="1607">
        <v>217</v>
      </c>
    </row>
    <row r="124" spans="1:14" x14ac:dyDescent="0.2">
      <c r="A124" s="1607" t="s">
        <v>160</v>
      </c>
      <c r="B124" s="1607" t="s">
        <v>118</v>
      </c>
      <c r="C124" s="1607" t="s">
        <v>34</v>
      </c>
      <c r="D124" s="1607">
        <v>287</v>
      </c>
      <c r="E124" s="1607">
        <v>158460</v>
      </c>
      <c r="F124" s="1607">
        <v>4</v>
      </c>
      <c r="G124" s="1607">
        <v>113</v>
      </c>
      <c r="H124" s="1607">
        <v>3</v>
      </c>
      <c r="I124" s="1607">
        <v>7</v>
      </c>
      <c r="J124" s="1607">
        <v>1</v>
      </c>
      <c r="K124" s="1607">
        <v>54</v>
      </c>
      <c r="L124" s="1607">
        <v>53</v>
      </c>
      <c r="M124" s="1607">
        <v>6</v>
      </c>
      <c r="N124" s="1607">
        <v>46</v>
      </c>
    </row>
    <row r="125" spans="1:14" x14ac:dyDescent="0.2">
      <c r="A125" s="1607" t="s">
        <v>160</v>
      </c>
      <c r="B125" s="1607" t="s">
        <v>118</v>
      </c>
      <c r="C125" s="1607" t="s">
        <v>35</v>
      </c>
      <c r="D125" s="1607">
        <v>582</v>
      </c>
      <c r="E125" s="1607">
        <v>368080</v>
      </c>
      <c r="F125" s="1607">
        <v>15</v>
      </c>
      <c r="G125" s="1607">
        <v>202</v>
      </c>
      <c r="H125" s="1607">
        <v>1</v>
      </c>
      <c r="I125" s="1607">
        <v>13</v>
      </c>
      <c r="J125" s="1607">
        <v>3</v>
      </c>
      <c r="K125" s="1607">
        <v>55</v>
      </c>
      <c r="L125" s="1607">
        <v>89</v>
      </c>
      <c r="M125" s="1607">
        <v>10</v>
      </c>
      <c r="N125" s="1607">
        <v>194</v>
      </c>
    </row>
    <row r="126" spans="1:14" x14ac:dyDescent="0.2">
      <c r="A126" s="1607" t="s">
        <v>160</v>
      </c>
      <c r="B126" s="1607" t="s">
        <v>118</v>
      </c>
      <c r="C126" s="1607" t="s">
        <v>36</v>
      </c>
      <c r="D126" s="1607">
        <v>2297</v>
      </c>
      <c r="E126" s="1607">
        <v>606340</v>
      </c>
      <c r="F126" s="1607">
        <v>71</v>
      </c>
      <c r="G126" s="1607">
        <v>482</v>
      </c>
      <c r="H126" s="1607">
        <v>3</v>
      </c>
      <c r="I126" s="1607">
        <v>28</v>
      </c>
      <c r="J126" s="1607">
        <v>9</v>
      </c>
      <c r="K126" s="1607">
        <v>298</v>
      </c>
      <c r="L126" s="1607">
        <v>707</v>
      </c>
      <c r="M126" s="1607">
        <v>72</v>
      </c>
      <c r="N126" s="1607">
        <v>627</v>
      </c>
    </row>
    <row r="127" spans="1:14" x14ac:dyDescent="0.2">
      <c r="A127" s="1607" t="s">
        <v>160</v>
      </c>
      <c r="B127" s="1607" t="s">
        <v>118</v>
      </c>
      <c r="C127" s="1607" t="s">
        <v>37</v>
      </c>
      <c r="D127" s="1607">
        <v>75</v>
      </c>
      <c r="E127" s="1607">
        <v>234110</v>
      </c>
      <c r="F127" s="1607">
        <v>3</v>
      </c>
      <c r="G127" s="1607">
        <v>37</v>
      </c>
      <c r="H127" s="1607">
        <v>1</v>
      </c>
      <c r="I127" s="1607">
        <v>4</v>
      </c>
      <c r="J127" s="1607">
        <v>1</v>
      </c>
      <c r="K127" s="1607">
        <v>11</v>
      </c>
      <c r="L127" s="1607">
        <v>9</v>
      </c>
      <c r="M127" s="1607">
        <v>1</v>
      </c>
      <c r="N127" s="1607">
        <v>8</v>
      </c>
    </row>
    <row r="128" spans="1:14" x14ac:dyDescent="0.2">
      <c r="A128" s="1607" t="s">
        <v>160</v>
      </c>
      <c r="B128" s="1607" t="s">
        <v>118</v>
      </c>
      <c r="C128" s="1607" t="s">
        <v>38</v>
      </c>
      <c r="D128" s="1607">
        <v>393</v>
      </c>
      <c r="E128" s="1607">
        <v>79500</v>
      </c>
      <c r="F128" s="1607">
        <v>16</v>
      </c>
      <c r="G128" s="1607">
        <v>157</v>
      </c>
      <c r="H128" s="1607"/>
      <c r="I128" s="1607">
        <v>8</v>
      </c>
      <c r="J128" s="1607"/>
      <c r="K128" s="1607">
        <v>50</v>
      </c>
      <c r="L128" s="1607">
        <v>59</v>
      </c>
      <c r="M128" s="1607">
        <v>18</v>
      </c>
      <c r="N128" s="1607">
        <v>85</v>
      </c>
    </row>
    <row r="129" spans="1:14" x14ac:dyDescent="0.2">
      <c r="A129" s="1607" t="s">
        <v>160</v>
      </c>
      <c r="B129" s="1607" t="s">
        <v>118</v>
      </c>
      <c r="C129" s="1607" t="s">
        <v>39</v>
      </c>
      <c r="D129" s="1607">
        <v>222</v>
      </c>
      <c r="E129" s="1607">
        <v>87390</v>
      </c>
      <c r="F129" s="1607">
        <v>4</v>
      </c>
      <c r="G129" s="1607">
        <v>81</v>
      </c>
      <c r="H129" s="1607">
        <v>5</v>
      </c>
      <c r="I129" s="1607">
        <v>5</v>
      </c>
      <c r="J129" s="1607"/>
      <c r="K129" s="1607">
        <v>35</v>
      </c>
      <c r="L129" s="1607">
        <v>38</v>
      </c>
      <c r="M129" s="1607">
        <v>10</v>
      </c>
      <c r="N129" s="1607">
        <v>44</v>
      </c>
    </row>
    <row r="130" spans="1:14" x14ac:dyDescent="0.2">
      <c r="A130" s="1607" t="s">
        <v>160</v>
      </c>
      <c r="B130" s="1607" t="s">
        <v>118</v>
      </c>
      <c r="C130" s="1607" t="s">
        <v>40</v>
      </c>
      <c r="D130" s="1607">
        <v>52</v>
      </c>
      <c r="E130" s="1607">
        <v>95510</v>
      </c>
      <c r="F130" s="1607">
        <v>2</v>
      </c>
      <c r="G130" s="1607">
        <v>23</v>
      </c>
      <c r="H130" s="1607"/>
      <c r="I130" s="1607"/>
      <c r="J130" s="1607">
        <v>1</v>
      </c>
      <c r="K130" s="1607">
        <v>1</v>
      </c>
      <c r="L130" s="1607">
        <v>6</v>
      </c>
      <c r="M130" s="1607"/>
      <c r="N130" s="1607">
        <v>19</v>
      </c>
    </row>
    <row r="131" spans="1:14" x14ac:dyDescent="0.2">
      <c r="A131" s="1607" t="s">
        <v>160</v>
      </c>
      <c r="B131" s="1607" t="s">
        <v>118</v>
      </c>
      <c r="C131" s="1607" t="s">
        <v>393</v>
      </c>
      <c r="D131" s="1607">
        <v>5</v>
      </c>
      <c r="E131" s="1607">
        <v>27070</v>
      </c>
      <c r="F131" s="1607"/>
      <c r="G131" s="1607">
        <v>4</v>
      </c>
      <c r="H131" s="1607"/>
      <c r="I131" s="1607"/>
      <c r="J131" s="1607"/>
      <c r="K131" s="1607"/>
      <c r="L131" s="1607"/>
      <c r="M131" s="1607">
        <v>1</v>
      </c>
      <c r="N131" s="1607"/>
    </row>
    <row r="132" spans="1:14" x14ac:dyDescent="0.2">
      <c r="A132" s="1607" t="s">
        <v>160</v>
      </c>
      <c r="B132" s="1607" t="s">
        <v>118</v>
      </c>
      <c r="C132" s="1607" t="s">
        <v>41</v>
      </c>
      <c r="D132" s="1607">
        <v>485</v>
      </c>
      <c r="E132" s="1607">
        <v>136130</v>
      </c>
      <c r="F132" s="1607">
        <v>10</v>
      </c>
      <c r="G132" s="1607">
        <v>171</v>
      </c>
      <c r="H132" s="1607">
        <v>1</v>
      </c>
      <c r="I132" s="1607">
        <v>9</v>
      </c>
      <c r="J132" s="1607"/>
      <c r="K132" s="1607">
        <v>93</v>
      </c>
      <c r="L132" s="1607">
        <v>103</v>
      </c>
      <c r="M132" s="1607">
        <v>17</v>
      </c>
      <c r="N132" s="1607">
        <v>81</v>
      </c>
    </row>
    <row r="133" spans="1:14" x14ac:dyDescent="0.2">
      <c r="A133" s="1607" t="s">
        <v>160</v>
      </c>
      <c r="B133" s="1607" t="s">
        <v>118</v>
      </c>
      <c r="C133" s="1607" t="s">
        <v>42</v>
      </c>
      <c r="D133" s="1607">
        <v>1505</v>
      </c>
      <c r="E133" s="1607">
        <v>338260</v>
      </c>
      <c r="F133" s="1607">
        <v>16</v>
      </c>
      <c r="G133" s="1607">
        <v>505</v>
      </c>
      <c r="H133" s="1607">
        <v>6</v>
      </c>
      <c r="I133" s="1607">
        <v>21</v>
      </c>
      <c r="J133" s="1607">
        <v>3</v>
      </c>
      <c r="K133" s="1607">
        <v>208</v>
      </c>
      <c r="L133" s="1607">
        <v>262</v>
      </c>
      <c r="M133" s="1607">
        <v>49</v>
      </c>
      <c r="N133" s="1607">
        <v>435</v>
      </c>
    </row>
    <row r="134" spans="1:14" x14ac:dyDescent="0.2">
      <c r="A134" s="1607" t="s">
        <v>160</v>
      </c>
      <c r="B134" s="1607" t="s">
        <v>118</v>
      </c>
      <c r="C134" s="1607" t="s">
        <v>43</v>
      </c>
      <c r="D134" s="1607">
        <v>1</v>
      </c>
      <c r="E134" s="1607">
        <v>21670</v>
      </c>
      <c r="F134" s="1607"/>
      <c r="G134" s="1607"/>
      <c r="H134" s="1607"/>
      <c r="I134" s="1607"/>
      <c r="J134" s="1607"/>
      <c r="K134" s="1607"/>
      <c r="L134" s="1607"/>
      <c r="M134" s="1607"/>
      <c r="N134" s="1607">
        <v>1</v>
      </c>
    </row>
    <row r="135" spans="1:14" x14ac:dyDescent="0.2">
      <c r="A135" s="1607" t="s">
        <v>160</v>
      </c>
      <c r="B135" s="1607" t="s">
        <v>118</v>
      </c>
      <c r="C135" s="1607" t="s">
        <v>44</v>
      </c>
      <c r="D135" s="1607">
        <v>88</v>
      </c>
      <c r="E135" s="1607">
        <v>149930</v>
      </c>
      <c r="F135" s="1607">
        <v>4</v>
      </c>
      <c r="G135" s="1607">
        <v>37</v>
      </c>
      <c r="H135" s="1607">
        <v>1</v>
      </c>
      <c r="I135" s="1607">
        <v>1</v>
      </c>
      <c r="J135" s="1607">
        <v>1</v>
      </c>
      <c r="K135" s="1607">
        <v>16</v>
      </c>
      <c r="L135" s="1607">
        <v>12</v>
      </c>
      <c r="M135" s="1607">
        <v>4</v>
      </c>
      <c r="N135" s="1607">
        <v>12</v>
      </c>
    </row>
    <row r="136" spans="1:14" x14ac:dyDescent="0.2">
      <c r="A136" s="1607" t="s">
        <v>160</v>
      </c>
      <c r="B136" s="1607" t="s">
        <v>118</v>
      </c>
      <c r="C136" s="1607" t="s">
        <v>45</v>
      </c>
      <c r="D136" s="1607">
        <v>525</v>
      </c>
      <c r="E136" s="1607">
        <v>174560</v>
      </c>
      <c r="F136" s="1607">
        <v>15</v>
      </c>
      <c r="G136" s="1607">
        <v>139</v>
      </c>
      <c r="H136" s="1607">
        <v>1</v>
      </c>
      <c r="I136" s="1607">
        <v>4</v>
      </c>
      <c r="J136" s="1607">
        <v>3</v>
      </c>
      <c r="K136" s="1607">
        <v>95</v>
      </c>
      <c r="L136" s="1607">
        <v>128</v>
      </c>
      <c r="M136" s="1607">
        <v>22</v>
      </c>
      <c r="N136" s="1607">
        <v>118</v>
      </c>
    </row>
    <row r="137" spans="1:14" x14ac:dyDescent="0.2">
      <c r="A137" s="1607" t="s">
        <v>160</v>
      </c>
      <c r="B137" s="1607" t="s">
        <v>118</v>
      </c>
      <c r="C137" s="1607" t="s">
        <v>46</v>
      </c>
      <c r="D137" s="1607">
        <v>64</v>
      </c>
      <c r="E137" s="1607">
        <v>114030</v>
      </c>
      <c r="F137" s="1607">
        <v>2</v>
      </c>
      <c r="G137" s="1607">
        <v>25</v>
      </c>
      <c r="H137" s="1607">
        <v>1</v>
      </c>
      <c r="I137" s="1607"/>
      <c r="J137" s="1607"/>
      <c r="K137" s="1607">
        <v>6</v>
      </c>
      <c r="L137" s="1607">
        <v>7</v>
      </c>
      <c r="M137" s="1607">
        <v>4</v>
      </c>
      <c r="N137" s="1607">
        <v>19</v>
      </c>
    </row>
    <row r="138" spans="1:14" x14ac:dyDescent="0.2">
      <c r="A138" s="1607" t="s">
        <v>160</v>
      </c>
      <c r="B138" s="1607" t="s">
        <v>118</v>
      </c>
      <c r="C138" s="1607" t="s">
        <v>48</v>
      </c>
      <c r="D138" s="1607">
        <v>182</v>
      </c>
      <c r="E138" s="1607">
        <v>112400</v>
      </c>
      <c r="F138" s="1607">
        <v>5</v>
      </c>
      <c r="G138" s="1607">
        <v>63</v>
      </c>
      <c r="H138" s="1607">
        <v>2</v>
      </c>
      <c r="I138" s="1607"/>
      <c r="J138" s="1607"/>
      <c r="K138" s="1607">
        <v>21</v>
      </c>
      <c r="L138" s="1607">
        <v>48</v>
      </c>
      <c r="M138" s="1607">
        <v>5</v>
      </c>
      <c r="N138" s="1607">
        <v>38</v>
      </c>
    </row>
    <row r="139" spans="1:14" x14ac:dyDescent="0.2">
      <c r="A139" s="1607" t="s">
        <v>160</v>
      </c>
      <c r="B139" s="1607" t="s">
        <v>118</v>
      </c>
      <c r="C139" s="1607" t="s">
        <v>49</v>
      </c>
      <c r="D139" s="1607">
        <v>860</v>
      </c>
      <c r="E139" s="1607">
        <v>316230</v>
      </c>
      <c r="F139" s="1607">
        <v>17</v>
      </c>
      <c r="G139" s="1607">
        <v>249</v>
      </c>
      <c r="H139" s="1607"/>
      <c r="I139" s="1607">
        <v>12</v>
      </c>
      <c r="J139" s="1607">
        <v>10</v>
      </c>
      <c r="K139" s="1607">
        <v>80</v>
      </c>
      <c r="L139" s="1607">
        <v>169</v>
      </c>
      <c r="M139" s="1607">
        <v>25</v>
      </c>
      <c r="N139" s="1607">
        <v>298</v>
      </c>
    </row>
    <row r="140" spans="1:14" x14ac:dyDescent="0.2">
      <c r="A140" s="1607" t="s">
        <v>160</v>
      </c>
      <c r="B140" s="1607" t="s">
        <v>118</v>
      </c>
      <c r="C140" s="1607" t="s">
        <v>50</v>
      </c>
      <c r="D140" s="1607">
        <v>150</v>
      </c>
      <c r="E140" s="1607">
        <v>92830</v>
      </c>
      <c r="F140" s="1607">
        <v>4</v>
      </c>
      <c r="G140" s="1607">
        <v>67</v>
      </c>
      <c r="H140" s="1607">
        <v>2</v>
      </c>
      <c r="I140" s="1607">
        <v>2</v>
      </c>
      <c r="J140" s="1607"/>
      <c r="K140" s="1607">
        <v>22</v>
      </c>
      <c r="L140" s="1607">
        <v>22</v>
      </c>
      <c r="M140" s="1607">
        <v>3</v>
      </c>
      <c r="N140" s="1607">
        <v>28</v>
      </c>
    </row>
    <row r="141" spans="1:14" x14ac:dyDescent="0.2">
      <c r="A141" s="1607" t="s">
        <v>160</v>
      </c>
      <c r="B141" s="1607" t="s">
        <v>118</v>
      </c>
      <c r="C141" s="1607" t="s">
        <v>51</v>
      </c>
      <c r="D141" s="1607">
        <v>300</v>
      </c>
      <c r="E141" s="1607">
        <v>89590</v>
      </c>
      <c r="F141" s="1607">
        <v>13</v>
      </c>
      <c r="G141" s="1607">
        <v>110</v>
      </c>
      <c r="H141" s="1607">
        <v>1</v>
      </c>
      <c r="I141" s="1607">
        <v>1</v>
      </c>
      <c r="J141" s="1607">
        <v>1</v>
      </c>
      <c r="K141" s="1607">
        <v>32</v>
      </c>
      <c r="L141" s="1607">
        <v>53</v>
      </c>
      <c r="M141" s="1607">
        <v>1</v>
      </c>
      <c r="N141" s="1607">
        <v>88</v>
      </c>
    </row>
    <row r="142" spans="1:14" x14ac:dyDescent="0.2">
      <c r="A142" s="1607" t="s">
        <v>160</v>
      </c>
      <c r="B142" s="1607" t="s">
        <v>118</v>
      </c>
      <c r="C142" s="1607" t="s">
        <v>52</v>
      </c>
      <c r="D142" s="1607">
        <v>610</v>
      </c>
      <c r="E142" s="1607">
        <v>178550</v>
      </c>
      <c r="F142" s="1607">
        <v>22</v>
      </c>
      <c r="G142" s="1607">
        <v>199</v>
      </c>
      <c r="H142" s="1607">
        <v>3</v>
      </c>
      <c r="I142" s="1607">
        <v>13</v>
      </c>
      <c r="J142" s="1607">
        <v>2</v>
      </c>
      <c r="K142" s="1607">
        <v>114</v>
      </c>
      <c r="L142" s="1607">
        <v>187</v>
      </c>
      <c r="M142" s="1607">
        <v>13</v>
      </c>
      <c r="N142" s="1607">
        <v>57</v>
      </c>
    </row>
    <row r="143" spans="1:14" x14ac:dyDescent="0.2">
      <c r="A143" s="1607" t="s">
        <v>379</v>
      </c>
      <c r="B143" s="1607" t="s">
        <v>118</v>
      </c>
      <c r="C143" s="1607" t="s">
        <v>23</v>
      </c>
      <c r="D143" s="1607">
        <v>221</v>
      </c>
      <c r="E143" s="1607">
        <v>229840</v>
      </c>
      <c r="F143" s="1607">
        <v>8</v>
      </c>
      <c r="G143" s="1607">
        <v>45</v>
      </c>
      <c r="H143" s="1607"/>
      <c r="I143" s="1607">
        <v>8</v>
      </c>
      <c r="J143" s="1607"/>
      <c r="K143" s="1607">
        <v>6</v>
      </c>
      <c r="L143" s="1607">
        <v>80</v>
      </c>
      <c r="M143" s="1607">
        <v>12</v>
      </c>
      <c r="N143" s="1607">
        <v>62</v>
      </c>
    </row>
    <row r="144" spans="1:14" x14ac:dyDescent="0.2">
      <c r="A144" s="1607" t="s">
        <v>379</v>
      </c>
      <c r="B144" s="1607" t="s">
        <v>118</v>
      </c>
      <c r="C144" s="1607" t="s">
        <v>24</v>
      </c>
      <c r="D144" s="1607">
        <v>129</v>
      </c>
      <c r="E144" s="1607">
        <v>262190</v>
      </c>
      <c r="F144" s="1607">
        <v>2</v>
      </c>
      <c r="G144" s="1607">
        <v>47</v>
      </c>
      <c r="H144" s="1607"/>
      <c r="I144" s="1607">
        <v>2</v>
      </c>
      <c r="J144" s="1607">
        <v>1</v>
      </c>
      <c r="K144" s="1607">
        <v>11</v>
      </c>
      <c r="L144" s="1607">
        <v>18</v>
      </c>
      <c r="M144" s="1607">
        <v>8</v>
      </c>
      <c r="N144" s="1607">
        <v>40</v>
      </c>
    </row>
    <row r="145" spans="1:14" x14ac:dyDescent="0.2">
      <c r="A145" s="1607" t="s">
        <v>379</v>
      </c>
      <c r="B145" s="1607" t="s">
        <v>118</v>
      </c>
      <c r="C145" s="1607" t="s">
        <v>25</v>
      </c>
      <c r="D145" s="1607">
        <v>80</v>
      </c>
      <c r="E145" s="1607">
        <v>116520</v>
      </c>
      <c r="F145" s="1607">
        <v>3</v>
      </c>
      <c r="G145" s="1607">
        <v>32</v>
      </c>
      <c r="H145" s="1607">
        <v>1</v>
      </c>
      <c r="I145" s="1607">
        <v>1</v>
      </c>
      <c r="J145" s="1607">
        <v>1</v>
      </c>
      <c r="K145" s="1607">
        <v>13</v>
      </c>
      <c r="L145" s="1607">
        <v>12</v>
      </c>
      <c r="M145" s="1607">
        <v>3</v>
      </c>
      <c r="N145" s="1607">
        <v>14</v>
      </c>
    </row>
    <row r="146" spans="1:14" x14ac:dyDescent="0.2">
      <c r="A146" s="1607" t="s">
        <v>379</v>
      </c>
      <c r="B146" s="1607" t="s">
        <v>118</v>
      </c>
      <c r="C146" s="1607" t="s">
        <v>26</v>
      </c>
      <c r="D146" s="1607">
        <v>63</v>
      </c>
      <c r="E146" s="1607">
        <v>87130</v>
      </c>
      <c r="F146" s="1607">
        <v>2</v>
      </c>
      <c r="G146" s="1607">
        <v>37</v>
      </c>
      <c r="H146" s="1607">
        <v>2</v>
      </c>
      <c r="I146" s="1607"/>
      <c r="J146" s="1607">
        <v>1</v>
      </c>
      <c r="K146" s="1607">
        <v>6</v>
      </c>
      <c r="L146" s="1607">
        <v>9</v>
      </c>
      <c r="M146" s="1607">
        <v>1</v>
      </c>
      <c r="N146" s="1607">
        <v>5</v>
      </c>
    </row>
    <row r="147" spans="1:14" x14ac:dyDescent="0.2">
      <c r="A147" s="1607" t="s">
        <v>379</v>
      </c>
      <c r="B147" s="1607" t="s">
        <v>118</v>
      </c>
      <c r="C147" s="1607" t="s">
        <v>27</v>
      </c>
      <c r="D147" s="1607">
        <v>63</v>
      </c>
      <c r="E147" s="1607">
        <v>51350</v>
      </c>
      <c r="F147" s="1607">
        <v>2</v>
      </c>
      <c r="G147" s="1607">
        <v>15</v>
      </c>
      <c r="H147" s="1607"/>
      <c r="I147" s="1607">
        <v>2</v>
      </c>
      <c r="J147" s="1607"/>
      <c r="K147" s="1607">
        <v>10</v>
      </c>
      <c r="L147" s="1607">
        <v>15</v>
      </c>
      <c r="M147" s="1607"/>
      <c r="N147" s="1607">
        <v>19</v>
      </c>
    </row>
    <row r="148" spans="1:14" x14ac:dyDescent="0.2">
      <c r="A148" s="1607" t="s">
        <v>379</v>
      </c>
      <c r="B148" s="1607" t="s">
        <v>118</v>
      </c>
      <c r="C148" s="1607" t="s">
        <v>28</v>
      </c>
      <c r="D148" s="1607">
        <v>116</v>
      </c>
      <c r="E148" s="1607">
        <v>149520</v>
      </c>
      <c r="F148" s="1607">
        <v>2</v>
      </c>
      <c r="G148" s="1607">
        <v>31</v>
      </c>
      <c r="H148" s="1607"/>
      <c r="I148" s="1607">
        <v>3</v>
      </c>
      <c r="J148" s="1607">
        <v>1</v>
      </c>
      <c r="K148" s="1607">
        <v>16</v>
      </c>
      <c r="L148" s="1607">
        <v>25</v>
      </c>
      <c r="M148" s="1607">
        <v>7</v>
      </c>
      <c r="N148" s="1607">
        <v>31</v>
      </c>
    </row>
    <row r="149" spans="1:14" x14ac:dyDescent="0.2">
      <c r="A149" s="1607" t="s">
        <v>379</v>
      </c>
      <c r="B149" s="1607" t="s">
        <v>118</v>
      </c>
      <c r="C149" s="1607" t="s">
        <v>29</v>
      </c>
      <c r="D149" s="1607">
        <v>696</v>
      </c>
      <c r="E149" s="1607">
        <v>148270</v>
      </c>
      <c r="F149" s="1607">
        <v>15</v>
      </c>
      <c r="G149" s="1607">
        <v>234</v>
      </c>
      <c r="H149" s="1607">
        <v>2</v>
      </c>
      <c r="I149" s="1607">
        <v>22</v>
      </c>
      <c r="J149" s="1607"/>
      <c r="K149" s="1607">
        <v>68</v>
      </c>
      <c r="L149" s="1607">
        <v>248</v>
      </c>
      <c r="M149" s="1607">
        <v>30</v>
      </c>
      <c r="N149" s="1607">
        <v>77</v>
      </c>
    </row>
    <row r="150" spans="1:14" x14ac:dyDescent="0.2">
      <c r="A150" s="1607" t="s">
        <v>379</v>
      </c>
      <c r="B150" s="1607" t="s">
        <v>118</v>
      </c>
      <c r="C150" s="1607" t="s">
        <v>30</v>
      </c>
      <c r="D150" s="1607">
        <v>626</v>
      </c>
      <c r="E150" s="1607">
        <v>122200</v>
      </c>
      <c r="F150" s="1607">
        <v>10</v>
      </c>
      <c r="G150" s="1607">
        <v>196</v>
      </c>
      <c r="H150" s="1607">
        <v>6</v>
      </c>
      <c r="I150" s="1607">
        <v>6</v>
      </c>
      <c r="J150" s="1607"/>
      <c r="K150" s="1607">
        <v>68</v>
      </c>
      <c r="L150" s="1607">
        <v>163</v>
      </c>
      <c r="M150" s="1607">
        <v>21</v>
      </c>
      <c r="N150" s="1607">
        <v>156</v>
      </c>
    </row>
    <row r="151" spans="1:14" x14ac:dyDescent="0.2">
      <c r="A151" s="1607" t="s">
        <v>379</v>
      </c>
      <c r="B151" s="1607" t="s">
        <v>118</v>
      </c>
      <c r="C151" s="1607" t="s">
        <v>31</v>
      </c>
      <c r="D151" s="1607">
        <v>167</v>
      </c>
      <c r="E151" s="1607">
        <v>107540</v>
      </c>
      <c r="F151" s="1607">
        <v>7</v>
      </c>
      <c r="G151" s="1607">
        <v>50</v>
      </c>
      <c r="H151" s="1607"/>
      <c r="I151" s="1607">
        <v>3</v>
      </c>
      <c r="J151" s="1607">
        <v>1</v>
      </c>
      <c r="K151" s="1607">
        <v>19</v>
      </c>
      <c r="L151" s="1607">
        <v>42</v>
      </c>
      <c r="M151" s="1607">
        <v>4</v>
      </c>
      <c r="N151" s="1607">
        <v>41</v>
      </c>
    </row>
    <row r="152" spans="1:14" x14ac:dyDescent="0.2">
      <c r="A152" s="1607" t="s">
        <v>379</v>
      </c>
      <c r="B152" s="1607" t="s">
        <v>118</v>
      </c>
      <c r="C152" s="1607" t="s">
        <v>32</v>
      </c>
      <c r="D152" s="1607">
        <v>200</v>
      </c>
      <c r="E152" s="1607">
        <v>104090</v>
      </c>
      <c r="F152" s="1607">
        <v>2</v>
      </c>
      <c r="G152" s="1607">
        <v>54</v>
      </c>
      <c r="H152" s="1607">
        <v>4</v>
      </c>
      <c r="I152" s="1607">
        <v>5</v>
      </c>
      <c r="J152" s="1607"/>
      <c r="K152" s="1607">
        <v>46</v>
      </c>
      <c r="L152" s="1607">
        <v>34</v>
      </c>
      <c r="M152" s="1607">
        <v>10</v>
      </c>
      <c r="N152" s="1607">
        <v>45</v>
      </c>
    </row>
    <row r="153" spans="1:14" x14ac:dyDescent="0.2">
      <c r="A153" s="1607" t="s">
        <v>379</v>
      </c>
      <c r="B153" s="1607" t="s">
        <v>118</v>
      </c>
      <c r="C153" s="1607" t="s">
        <v>33</v>
      </c>
      <c r="D153" s="1607">
        <v>143</v>
      </c>
      <c r="E153" s="1607">
        <v>93810</v>
      </c>
      <c r="F153" s="1607">
        <v>7</v>
      </c>
      <c r="G153" s="1607">
        <v>51</v>
      </c>
      <c r="H153" s="1607">
        <v>2</v>
      </c>
      <c r="I153" s="1607">
        <v>6</v>
      </c>
      <c r="J153" s="1607"/>
      <c r="K153" s="1607">
        <v>23</v>
      </c>
      <c r="L153" s="1607">
        <v>18</v>
      </c>
      <c r="M153" s="1607">
        <v>3</v>
      </c>
      <c r="N153" s="1607">
        <v>33</v>
      </c>
    </row>
    <row r="154" spans="1:14" x14ac:dyDescent="0.2">
      <c r="A154" s="1607" t="s">
        <v>379</v>
      </c>
      <c r="B154" s="1607" t="s">
        <v>118</v>
      </c>
      <c r="C154" s="1607" t="s">
        <v>665</v>
      </c>
      <c r="D154" s="1607">
        <v>1309</v>
      </c>
      <c r="E154" s="1607">
        <v>507170</v>
      </c>
      <c r="F154" s="1607">
        <v>9</v>
      </c>
      <c r="G154" s="1607">
        <v>326</v>
      </c>
      <c r="H154" s="1607"/>
      <c r="I154" s="1607">
        <v>28</v>
      </c>
      <c r="J154" s="1607">
        <v>1</v>
      </c>
      <c r="K154" s="1607">
        <v>287</v>
      </c>
      <c r="L154" s="1607">
        <v>334</v>
      </c>
      <c r="M154" s="1607">
        <v>71</v>
      </c>
      <c r="N154" s="1607">
        <v>253</v>
      </c>
    </row>
    <row r="155" spans="1:14" x14ac:dyDescent="0.2">
      <c r="A155" s="1607" t="s">
        <v>379</v>
      </c>
      <c r="B155" s="1607" t="s">
        <v>118</v>
      </c>
      <c r="C155" s="1607" t="s">
        <v>34</v>
      </c>
      <c r="D155" s="1607">
        <v>304</v>
      </c>
      <c r="E155" s="1607">
        <v>159380</v>
      </c>
      <c r="F155" s="1607">
        <v>5</v>
      </c>
      <c r="G155" s="1607">
        <v>119</v>
      </c>
      <c r="H155" s="1607"/>
      <c r="I155" s="1607">
        <v>4</v>
      </c>
      <c r="J155" s="1607"/>
      <c r="K155" s="1607">
        <v>48</v>
      </c>
      <c r="L155" s="1607">
        <v>61</v>
      </c>
      <c r="M155" s="1607">
        <v>15</v>
      </c>
      <c r="N155" s="1607">
        <v>52</v>
      </c>
    </row>
    <row r="156" spans="1:14" x14ac:dyDescent="0.2">
      <c r="A156" s="1607" t="s">
        <v>379</v>
      </c>
      <c r="B156" s="1607" t="s">
        <v>118</v>
      </c>
      <c r="C156" s="1607" t="s">
        <v>35</v>
      </c>
      <c r="D156" s="1607">
        <v>581</v>
      </c>
      <c r="E156" s="1607">
        <v>370330</v>
      </c>
      <c r="F156" s="1607">
        <v>13</v>
      </c>
      <c r="G156" s="1607">
        <v>224</v>
      </c>
      <c r="H156" s="1607">
        <v>5</v>
      </c>
      <c r="I156" s="1607">
        <v>14</v>
      </c>
      <c r="J156" s="1607">
        <v>2</v>
      </c>
      <c r="K156" s="1607">
        <v>66</v>
      </c>
      <c r="L156" s="1607">
        <v>84</v>
      </c>
      <c r="M156" s="1607">
        <v>14</v>
      </c>
      <c r="N156" s="1607">
        <v>159</v>
      </c>
    </row>
    <row r="157" spans="1:14" x14ac:dyDescent="0.2">
      <c r="A157" s="1607" t="s">
        <v>379</v>
      </c>
      <c r="B157" s="1607" t="s">
        <v>118</v>
      </c>
      <c r="C157" s="1607" t="s">
        <v>36</v>
      </c>
      <c r="D157" s="1607">
        <v>2419</v>
      </c>
      <c r="E157" s="1607">
        <v>615070</v>
      </c>
      <c r="F157" s="1607">
        <v>39</v>
      </c>
      <c r="G157" s="1607">
        <v>470</v>
      </c>
      <c r="H157" s="1607">
        <v>3</v>
      </c>
      <c r="I157" s="1607">
        <v>25</v>
      </c>
      <c r="J157" s="1607">
        <v>6</v>
      </c>
      <c r="K157" s="1607">
        <v>300</v>
      </c>
      <c r="L157" s="1607">
        <v>807</v>
      </c>
      <c r="M157" s="1607">
        <v>65</v>
      </c>
      <c r="N157" s="1607">
        <v>704</v>
      </c>
    </row>
    <row r="158" spans="1:14" x14ac:dyDescent="0.2">
      <c r="A158" s="1607" t="s">
        <v>379</v>
      </c>
      <c r="B158" s="1607" t="s">
        <v>118</v>
      </c>
      <c r="C158" s="1607" t="s">
        <v>37</v>
      </c>
      <c r="D158" s="1607">
        <v>100</v>
      </c>
      <c r="E158" s="1607">
        <v>234770</v>
      </c>
      <c r="F158" s="1607">
        <v>2</v>
      </c>
      <c r="G158" s="1607">
        <v>52</v>
      </c>
      <c r="H158" s="1607"/>
      <c r="I158" s="1607"/>
      <c r="J158" s="1607">
        <v>1</v>
      </c>
      <c r="K158" s="1607">
        <v>16</v>
      </c>
      <c r="L158" s="1607">
        <v>16</v>
      </c>
      <c r="M158" s="1607">
        <v>4</v>
      </c>
      <c r="N158" s="1607">
        <v>9</v>
      </c>
    </row>
    <row r="159" spans="1:14" x14ac:dyDescent="0.2">
      <c r="A159" s="1607" t="s">
        <v>379</v>
      </c>
      <c r="B159" s="1607" t="s">
        <v>118</v>
      </c>
      <c r="C159" s="1607" t="s">
        <v>38</v>
      </c>
      <c r="D159" s="1607">
        <v>557</v>
      </c>
      <c r="E159" s="1607">
        <v>79160</v>
      </c>
      <c r="F159" s="1607">
        <v>13</v>
      </c>
      <c r="G159" s="1607">
        <v>280</v>
      </c>
      <c r="H159" s="1607"/>
      <c r="I159" s="1607">
        <v>5</v>
      </c>
      <c r="J159" s="1607">
        <v>3</v>
      </c>
      <c r="K159" s="1607">
        <v>54</v>
      </c>
      <c r="L159" s="1607">
        <v>98</v>
      </c>
      <c r="M159" s="1607">
        <v>9</v>
      </c>
      <c r="N159" s="1607">
        <v>95</v>
      </c>
    </row>
    <row r="160" spans="1:14" x14ac:dyDescent="0.2">
      <c r="A160" s="1607" t="s">
        <v>379</v>
      </c>
      <c r="B160" s="1607" t="s">
        <v>118</v>
      </c>
      <c r="C160" s="1607" t="s">
        <v>39</v>
      </c>
      <c r="D160" s="1607">
        <v>324</v>
      </c>
      <c r="E160" s="1607">
        <v>88610</v>
      </c>
      <c r="F160" s="1607">
        <v>4</v>
      </c>
      <c r="G160" s="1607">
        <v>81</v>
      </c>
      <c r="H160" s="1607">
        <v>8</v>
      </c>
      <c r="I160" s="1607">
        <v>16</v>
      </c>
      <c r="J160" s="1607">
        <v>1</v>
      </c>
      <c r="K160" s="1607">
        <v>66</v>
      </c>
      <c r="L160" s="1607">
        <v>59</v>
      </c>
      <c r="M160" s="1607">
        <v>19</v>
      </c>
      <c r="N160" s="1607">
        <v>70</v>
      </c>
    </row>
    <row r="161" spans="1:14" x14ac:dyDescent="0.2">
      <c r="A161" s="1607" t="s">
        <v>379</v>
      </c>
      <c r="B161" s="1607" t="s">
        <v>118</v>
      </c>
      <c r="C161" s="1607" t="s">
        <v>40</v>
      </c>
      <c r="D161" s="1607">
        <v>60</v>
      </c>
      <c r="E161" s="1607">
        <v>96070</v>
      </c>
      <c r="F161" s="1607">
        <v>3</v>
      </c>
      <c r="G161" s="1607">
        <v>30</v>
      </c>
      <c r="H161" s="1607"/>
      <c r="I161" s="1607">
        <v>2</v>
      </c>
      <c r="J161" s="1607">
        <v>3</v>
      </c>
      <c r="K161" s="1607">
        <v>2</v>
      </c>
      <c r="L161" s="1607">
        <v>4</v>
      </c>
      <c r="M161" s="1607">
        <v>1</v>
      </c>
      <c r="N161" s="1607">
        <v>15</v>
      </c>
    </row>
    <row r="162" spans="1:14" x14ac:dyDescent="0.2">
      <c r="A162" s="1607" t="s">
        <v>379</v>
      </c>
      <c r="B162" s="1607" t="s">
        <v>118</v>
      </c>
      <c r="C162" s="1607" t="s">
        <v>393</v>
      </c>
      <c r="D162" s="1607">
        <v>3</v>
      </c>
      <c r="E162" s="1607">
        <v>26900</v>
      </c>
      <c r="F162" s="1607"/>
      <c r="G162" s="1607">
        <v>1</v>
      </c>
      <c r="H162" s="1607"/>
      <c r="I162" s="1607"/>
      <c r="J162" s="1607"/>
      <c r="K162" s="1607"/>
      <c r="L162" s="1607"/>
      <c r="M162" s="1607"/>
      <c r="N162" s="1607">
        <v>2</v>
      </c>
    </row>
    <row r="163" spans="1:14" x14ac:dyDescent="0.2">
      <c r="A163" s="1607" t="s">
        <v>379</v>
      </c>
      <c r="B163" s="1607" t="s">
        <v>118</v>
      </c>
      <c r="C163" s="1607" t="s">
        <v>41</v>
      </c>
      <c r="D163" s="1607">
        <v>591</v>
      </c>
      <c r="E163" s="1607">
        <v>135890</v>
      </c>
      <c r="F163" s="1607">
        <v>16</v>
      </c>
      <c r="G163" s="1607">
        <v>199</v>
      </c>
      <c r="H163" s="1607">
        <v>3</v>
      </c>
      <c r="I163" s="1607">
        <v>8</v>
      </c>
      <c r="J163" s="1607">
        <v>2</v>
      </c>
      <c r="K163" s="1607">
        <v>103</v>
      </c>
      <c r="L163" s="1607">
        <v>95</v>
      </c>
      <c r="M163" s="1607">
        <v>17</v>
      </c>
      <c r="N163" s="1607">
        <v>148</v>
      </c>
    </row>
    <row r="164" spans="1:14" x14ac:dyDescent="0.2">
      <c r="A164" s="1607" t="s">
        <v>379</v>
      </c>
      <c r="B164" s="1607" t="s">
        <v>118</v>
      </c>
      <c r="C164" s="1607" t="s">
        <v>42</v>
      </c>
      <c r="D164" s="1607">
        <v>1452</v>
      </c>
      <c r="E164" s="1607">
        <v>339390</v>
      </c>
      <c r="F164" s="1607">
        <v>13</v>
      </c>
      <c r="G164" s="1607">
        <v>471</v>
      </c>
      <c r="H164" s="1607"/>
      <c r="I164" s="1607">
        <v>12</v>
      </c>
      <c r="J164" s="1607">
        <v>3</v>
      </c>
      <c r="K164" s="1607">
        <v>214</v>
      </c>
      <c r="L164" s="1607">
        <v>202</v>
      </c>
      <c r="M164" s="1607">
        <v>46</v>
      </c>
      <c r="N164" s="1607">
        <v>491</v>
      </c>
    </row>
    <row r="165" spans="1:14" x14ac:dyDescent="0.2">
      <c r="A165" s="1607" t="s">
        <v>379</v>
      </c>
      <c r="B165" s="1607" t="s">
        <v>118</v>
      </c>
      <c r="C165" s="1607" t="s">
        <v>43</v>
      </c>
      <c r="D165" s="1607">
        <v>1</v>
      </c>
      <c r="E165" s="1607">
        <v>21850</v>
      </c>
      <c r="F165" s="1607"/>
      <c r="G165" s="1607"/>
      <c r="H165" s="1607"/>
      <c r="I165" s="1607"/>
      <c r="J165" s="1607"/>
      <c r="K165" s="1607"/>
      <c r="L165" s="1607"/>
      <c r="M165" s="1607"/>
      <c r="N165" s="1607">
        <v>1</v>
      </c>
    </row>
    <row r="166" spans="1:14" x14ac:dyDescent="0.2">
      <c r="A166" s="1607" t="s">
        <v>379</v>
      </c>
      <c r="B166" s="1607" t="s">
        <v>118</v>
      </c>
      <c r="C166" s="1607" t="s">
        <v>44</v>
      </c>
      <c r="D166" s="1607">
        <v>79</v>
      </c>
      <c r="E166" s="1607">
        <v>150680</v>
      </c>
      <c r="F166" s="1607">
        <v>2</v>
      </c>
      <c r="G166" s="1607">
        <v>41</v>
      </c>
      <c r="H166" s="1607"/>
      <c r="I166" s="1607">
        <v>3</v>
      </c>
      <c r="J166" s="1607">
        <v>1</v>
      </c>
      <c r="K166" s="1607">
        <v>7</v>
      </c>
      <c r="L166" s="1607">
        <v>9</v>
      </c>
      <c r="M166" s="1607">
        <v>2</v>
      </c>
      <c r="N166" s="1607">
        <v>14</v>
      </c>
    </row>
    <row r="167" spans="1:14" x14ac:dyDescent="0.2">
      <c r="A167" s="1607" t="s">
        <v>379</v>
      </c>
      <c r="B167" s="1607" t="s">
        <v>118</v>
      </c>
      <c r="C167" s="1607" t="s">
        <v>45</v>
      </c>
      <c r="D167" s="1607">
        <v>656</v>
      </c>
      <c r="E167" s="1607">
        <v>175930</v>
      </c>
      <c r="F167" s="1607">
        <v>27</v>
      </c>
      <c r="G167" s="1607">
        <v>194</v>
      </c>
      <c r="H167" s="1607">
        <v>3</v>
      </c>
      <c r="I167" s="1607">
        <v>8</v>
      </c>
      <c r="J167" s="1607">
        <v>6</v>
      </c>
      <c r="K167" s="1607">
        <v>104</v>
      </c>
      <c r="L167" s="1607">
        <v>138</v>
      </c>
      <c r="M167" s="1607">
        <v>10</v>
      </c>
      <c r="N167" s="1607">
        <v>166</v>
      </c>
    </row>
    <row r="168" spans="1:14" x14ac:dyDescent="0.2">
      <c r="A168" s="1607" t="s">
        <v>379</v>
      </c>
      <c r="B168" s="1607" t="s">
        <v>118</v>
      </c>
      <c r="C168" s="1607" t="s">
        <v>46</v>
      </c>
      <c r="D168" s="1607">
        <v>68</v>
      </c>
      <c r="E168" s="1607">
        <v>114530</v>
      </c>
      <c r="F168" s="1607">
        <v>2</v>
      </c>
      <c r="G168" s="1607">
        <v>30</v>
      </c>
      <c r="H168" s="1607">
        <v>2</v>
      </c>
      <c r="I168" s="1607">
        <v>3</v>
      </c>
      <c r="J168" s="1607"/>
      <c r="K168" s="1607">
        <v>8</v>
      </c>
      <c r="L168" s="1607">
        <v>5</v>
      </c>
      <c r="M168" s="1607">
        <v>5</v>
      </c>
      <c r="N168" s="1607">
        <v>13</v>
      </c>
    </row>
    <row r="169" spans="1:14" x14ac:dyDescent="0.2">
      <c r="A169" s="1607" t="s">
        <v>379</v>
      </c>
      <c r="B169" s="1607" t="s">
        <v>118</v>
      </c>
      <c r="C169" s="1607" t="s">
        <v>47</v>
      </c>
      <c r="D169" s="1607">
        <v>1</v>
      </c>
      <c r="E169" s="1607">
        <v>23200</v>
      </c>
      <c r="F169" s="1607"/>
      <c r="G169" s="1607"/>
      <c r="H169" s="1607"/>
      <c r="I169" s="1607">
        <v>1</v>
      </c>
      <c r="J169" s="1607"/>
      <c r="K169" s="1607"/>
      <c r="L169" s="1607"/>
      <c r="M169" s="1607"/>
      <c r="N169" s="1607"/>
    </row>
    <row r="170" spans="1:14" x14ac:dyDescent="0.2">
      <c r="A170" s="1607" t="s">
        <v>379</v>
      </c>
      <c r="B170" s="1607" t="s">
        <v>118</v>
      </c>
      <c r="C170" s="1607" t="s">
        <v>48</v>
      </c>
      <c r="D170" s="1607">
        <v>212</v>
      </c>
      <c r="E170" s="1607">
        <v>112470</v>
      </c>
      <c r="F170" s="1607">
        <v>1</v>
      </c>
      <c r="G170" s="1607">
        <v>56</v>
      </c>
      <c r="H170" s="1607">
        <v>1</v>
      </c>
      <c r="I170" s="1607">
        <v>3</v>
      </c>
      <c r="J170" s="1607">
        <v>3</v>
      </c>
      <c r="K170" s="1607">
        <v>37</v>
      </c>
      <c r="L170" s="1607">
        <v>64</v>
      </c>
      <c r="M170" s="1607">
        <v>6</v>
      </c>
      <c r="N170" s="1607">
        <v>41</v>
      </c>
    </row>
    <row r="171" spans="1:14" x14ac:dyDescent="0.2">
      <c r="A171" s="1607" t="s">
        <v>379</v>
      </c>
      <c r="B171" s="1607" t="s">
        <v>118</v>
      </c>
      <c r="C171" s="1607" t="s">
        <v>49</v>
      </c>
      <c r="D171" s="1607">
        <v>850</v>
      </c>
      <c r="E171" s="1607">
        <v>317100</v>
      </c>
      <c r="F171" s="1607">
        <v>16</v>
      </c>
      <c r="G171" s="1607">
        <v>226</v>
      </c>
      <c r="H171" s="1607">
        <v>1</v>
      </c>
      <c r="I171" s="1607">
        <v>10</v>
      </c>
      <c r="J171" s="1607">
        <v>6</v>
      </c>
      <c r="K171" s="1607">
        <v>77</v>
      </c>
      <c r="L171" s="1607">
        <v>209</v>
      </c>
      <c r="M171" s="1607">
        <v>21</v>
      </c>
      <c r="N171" s="1607">
        <v>284</v>
      </c>
    </row>
    <row r="172" spans="1:14" x14ac:dyDescent="0.2">
      <c r="A172" s="1607" t="s">
        <v>379</v>
      </c>
      <c r="B172" s="1607" t="s">
        <v>118</v>
      </c>
      <c r="C172" s="1607" t="s">
        <v>50</v>
      </c>
      <c r="D172" s="1607">
        <v>130</v>
      </c>
      <c r="E172" s="1607">
        <v>93750</v>
      </c>
      <c r="F172" s="1607">
        <v>2</v>
      </c>
      <c r="G172" s="1607">
        <v>61</v>
      </c>
      <c r="H172" s="1607"/>
      <c r="I172" s="1607">
        <v>2</v>
      </c>
      <c r="J172" s="1607"/>
      <c r="K172" s="1607">
        <v>21</v>
      </c>
      <c r="L172" s="1607">
        <v>17</v>
      </c>
      <c r="M172" s="1607">
        <v>3</v>
      </c>
      <c r="N172" s="1607">
        <v>24</v>
      </c>
    </row>
    <row r="173" spans="1:14" x14ac:dyDescent="0.2">
      <c r="A173" s="1607" t="s">
        <v>379</v>
      </c>
      <c r="B173" s="1607" t="s">
        <v>118</v>
      </c>
      <c r="C173" s="1607" t="s">
        <v>51</v>
      </c>
      <c r="D173" s="1607">
        <v>409</v>
      </c>
      <c r="E173" s="1607">
        <v>89860</v>
      </c>
      <c r="F173" s="1607">
        <v>18</v>
      </c>
      <c r="G173" s="1607">
        <v>130</v>
      </c>
      <c r="H173" s="1607">
        <v>2</v>
      </c>
      <c r="I173" s="1607">
        <v>6</v>
      </c>
      <c r="J173" s="1607"/>
      <c r="K173" s="1607">
        <v>44</v>
      </c>
      <c r="L173" s="1607">
        <v>94</v>
      </c>
      <c r="M173" s="1607">
        <v>4</v>
      </c>
      <c r="N173" s="1607">
        <v>111</v>
      </c>
    </row>
    <row r="174" spans="1:14" x14ac:dyDescent="0.2">
      <c r="A174" s="1607" t="s">
        <v>379</v>
      </c>
      <c r="B174" s="1607" t="s">
        <v>118</v>
      </c>
      <c r="C174" s="1607" t="s">
        <v>52</v>
      </c>
      <c r="D174" s="1607">
        <v>581</v>
      </c>
      <c r="E174" s="1607">
        <v>180130</v>
      </c>
      <c r="F174" s="1607">
        <v>17</v>
      </c>
      <c r="G174" s="1607">
        <v>206</v>
      </c>
      <c r="H174" s="1607"/>
      <c r="I174" s="1607">
        <v>12</v>
      </c>
      <c r="J174" s="1607">
        <v>4</v>
      </c>
      <c r="K174" s="1607">
        <v>93</v>
      </c>
      <c r="L174" s="1607">
        <v>162</v>
      </c>
      <c r="M174" s="1607">
        <v>15</v>
      </c>
      <c r="N174" s="1607">
        <v>72</v>
      </c>
    </row>
    <row r="175" spans="1:14" x14ac:dyDescent="0.2">
      <c r="A175" s="1607" t="s">
        <v>603</v>
      </c>
      <c r="B175" s="1607" t="s">
        <v>118</v>
      </c>
      <c r="C175" s="1607" t="s">
        <v>23</v>
      </c>
      <c r="D175" s="1607">
        <v>261</v>
      </c>
      <c r="E175" s="1607">
        <v>228800</v>
      </c>
      <c r="F175" s="1607">
        <v>4</v>
      </c>
      <c r="G175" s="1607">
        <v>80</v>
      </c>
      <c r="H175" s="1607"/>
      <c r="I175" s="1607">
        <v>7</v>
      </c>
      <c r="J175" s="1607">
        <v>1</v>
      </c>
      <c r="K175" s="1607">
        <v>8</v>
      </c>
      <c r="L175" s="1607">
        <v>95</v>
      </c>
      <c r="M175" s="1607">
        <v>13</v>
      </c>
      <c r="N175" s="1607">
        <v>53</v>
      </c>
    </row>
    <row r="176" spans="1:14" x14ac:dyDescent="0.2">
      <c r="A176" s="1607" t="s">
        <v>603</v>
      </c>
      <c r="B176" s="1607" t="s">
        <v>118</v>
      </c>
      <c r="C176" s="1607" t="s">
        <v>24</v>
      </c>
      <c r="D176" s="1607">
        <v>133</v>
      </c>
      <c r="E176" s="1607">
        <v>261800</v>
      </c>
      <c r="F176" s="1607">
        <v>6</v>
      </c>
      <c r="G176" s="1607">
        <v>65</v>
      </c>
      <c r="H176" s="1607"/>
      <c r="I176" s="1607">
        <v>1</v>
      </c>
      <c r="J176" s="1607">
        <v>1</v>
      </c>
      <c r="K176" s="1607">
        <v>13</v>
      </c>
      <c r="L176" s="1607">
        <v>14</v>
      </c>
      <c r="M176" s="1607">
        <v>4</v>
      </c>
      <c r="N176" s="1607">
        <v>29</v>
      </c>
    </row>
    <row r="177" spans="1:14" x14ac:dyDescent="0.2">
      <c r="A177" s="1607" t="s">
        <v>603</v>
      </c>
      <c r="B177" s="1607" t="s">
        <v>118</v>
      </c>
      <c r="C177" s="1607" t="s">
        <v>25</v>
      </c>
      <c r="D177" s="1607">
        <v>115</v>
      </c>
      <c r="E177" s="1607">
        <v>116280</v>
      </c>
      <c r="F177" s="1607">
        <v>8</v>
      </c>
      <c r="G177" s="1607">
        <v>43</v>
      </c>
      <c r="H177" s="1607">
        <v>3</v>
      </c>
      <c r="I177" s="1607">
        <v>4</v>
      </c>
      <c r="J177" s="1607"/>
      <c r="K177" s="1607">
        <v>20</v>
      </c>
      <c r="L177" s="1607">
        <v>14</v>
      </c>
      <c r="M177" s="1607">
        <v>3</v>
      </c>
      <c r="N177" s="1607">
        <v>20</v>
      </c>
    </row>
    <row r="178" spans="1:14" x14ac:dyDescent="0.2">
      <c r="A178" s="1607" t="s">
        <v>603</v>
      </c>
      <c r="B178" s="1607" t="s">
        <v>118</v>
      </c>
      <c r="C178" s="1607" t="s">
        <v>26</v>
      </c>
      <c r="D178" s="1607">
        <v>41</v>
      </c>
      <c r="E178" s="1607">
        <v>86810</v>
      </c>
      <c r="F178" s="1607">
        <v>3</v>
      </c>
      <c r="G178" s="1607">
        <v>21</v>
      </c>
      <c r="H178" s="1607"/>
      <c r="I178" s="1607">
        <v>1</v>
      </c>
      <c r="J178" s="1607">
        <v>1</v>
      </c>
      <c r="K178" s="1607">
        <v>2</v>
      </c>
      <c r="L178" s="1607">
        <v>10</v>
      </c>
      <c r="M178" s="1607">
        <v>1</v>
      </c>
      <c r="N178" s="1607">
        <v>2</v>
      </c>
    </row>
    <row r="179" spans="1:14" x14ac:dyDescent="0.2">
      <c r="A179" s="1607" t="s">
        <v>603</v>
      </c>
      <c r="B179" s="1607" t="s">
        <v>118</v>
      </c>
      <c r="C179" s="1607" t="s">
        <v>27</v>
      </c>
      <c r="D179" s="1607">
        <v>76</v>
      </c>
      <c r="E179" s="1607">
        <v>51450</v>
      </c>
      <c r="F179" s="1607">
        <v>5</v>
      </c>
      <c r="G179" s="1607">
        <v>34</v>
      </c>
      <c r="H179" s="1607">
        <v>1</v>
      </c>
      <c r="I179" s="1607">
        <v>1</v>
      </c>
      <c r="J179" s="1607"/>
      <c r="K179" s="1607">
        <v>12</v>
      </c>
      <c r="L179" s="1607">
        <v>5</v>
      </c>
      <c r="M179" s="1607">
        <v>1</v>
      </c>
      <c r="N179" s="1607">
        <v>17</v>
      </c>
    </row>
    <row r="180" spans="1:14" x14ac:dyDescent="0.2">
      <c r="A180" s="1607" t="s">
        <v>603</v>
      </c>
      <c r="B180" s="1607" t="s">
        <v>118</v>
      </c>
      <c r="C180" s="1607" t="s">
        <v>28</v>
      </c>
      <c r="D180" s="1607">
        <v>99</v>
      </c>
      <c r="E180" s="1607">
        <v>149200</v>
      </c>
      <c r="F180" s="1607">
        <v>3</v>
      </c>
      <c r="G180" s="1607">
        <v>34</v>
      </c>
      <c r="H180" s="1607"/>
      <c r="I180" s="1607">
        <v>1</v>
      </c>
      <c r="J180" s="1607"/>
      <c r="K180" s="1607">
        <v>16</v>
      </c>
      <c r="L180" s="1607">
        <v>12</v>
      </c>
      <c r="M180" s="1607">
        <v>1</v>
      </c>
      <c r="N180" s="1607">
        <v>32</v>
      </c>
    </row>
    <row r="181" spans="1:14" x14ac:dyDescent="0.2">
      <c r="A181" s="1607" t="s">
        <v>603</v>
      </c>
      <c r="B181" s="1607" t="s">
        <v>118</v>
      </c>
      <c r="C181" s="1607" t="s">
        <v>29</v>
      </c>
      <c r="D181" s="1607">
        <v>666</v>
      </c>
      <c r="E181" s="1607">
        <v>148710</v>
      </c>
      <c r="F181" s="1607">
        <v>12</v>
      </c>
      <c r="G181" s="1607">
        <v>231</v>
      </c>
      <c r="H181" s="1607"/>
      <c r="I181" s="1607">
        <v>15</v>
      </c>
      <c r="J181" s="1607">
        <v>3</v>
      </c>
      <c r="K181" s="1607">
        <v>72</v>
      </c>
      <c r="L181" s="1607">
        <v>227</v>
      </c>
      <c r="M181" s="1607">
        <v>40</v>
      </c>
      <c r="N181" s="1607">
        <v>66</v>
      </c>
    </row>
    <row r="182" spans="1:14" x14ac:dyDescent="0.2">
      <c r="A182" s="1607" t="s">
        <v>603</v>
      </c>
      <c r="B182" s="1607" t="s">
        <v>118</v>
      </c>
      <c r="C182" s="1607" t="s">
        <v>30</v>
      </c>
      <c r="D182" s="1607">
        <v>579</v>
      </c>
      <c r="E182" s="1607">
        <v>121940</v>
      </c>
      <c r="F182" s="1607">
        <v>9</v>
      </c>
      <c r="G182" s="1607">
        <v>221</v>
      </c>
      <c r="H182" s="1607">
        <v>1</v>
      </c>
      <c r="I182" s="1607">
        <v>12</v>
      </c>
      <c r="J182" s="1607">
        <v>3</v>
      </c>
      <c r="K182" s="1607">
        <v>64</v>
      </c>
      <c r="L182" s="1607">
        <v>131</v>
      </c>
      <c r="M182" s="1607">
        <v>14</v>
      </c>
      <c r="N182" s="1607">
        <v>124</v>
      </c>
    </row>
    <row r="183" spans="1:14" x14ac:dyDescent="0.2">
      <c r="A183" s="1607" t="s">
        <v>603</v>
      </c>
      <c r="B183" s="1607" t="s">
        <v>118</v>
      </c>
      <c r="C183" s="1607" t="s">
        <v>31</v>
      </c>
      <c r="D183" s="1607">
        <v>162</v>
      </c>
      <c r="E183" s="1607">
        <v>108130</v>
      </c>
      <c r="F183" s="1607">
        <v>4</v>
      </c>
      <c r="G183" s="1607">
        <v>54</v>
      </c>
      <c r="H183" s="1607">
        <v>1</v>
      </c>
      <c r="I183" s="1607">
        <v>4</v>
      </c>
      <c r="J183" s="1607"/>
      <c r="K183" s="1607">
        <v>16</v>
      </c>
      <c r="L183" s="1607">
        <v>36</v>
      </c>
      <c r="M183" s="1607">
        <v>11</v>
      </c>
      <c r="N183" s="1607">
        <v>36</v>
      </c>
    </row>
    <row r="184" spans="1:14" x14ac:dyDescent="0.2">
      <c r="A184" s="1607" t="s">
        <v>603</v>
      </c>
      <c r="B184" s="1607" t="s">
        <v>118</v>
      </c>
      <c r="C184" s="1607" t="s">
        <v>32</v>
      </c>
      <c r="D184" s="1607">
        <v>177</v>
      </c>
      <c r="E184" s="1607">
        <v>104840</v>
      </c>
      <c r="F184" s="1607">
        <v>2</v>
      </c>
      <c r="G184" s="1607">
        <v>82</v>
      </c>
      <c r="H184" s="1607">
        <v>2</v>
      </c>
      <c r="I184" s="1607">
        <v>2</v>
      </c>
      <c r="J184" s="1607">
        <v>1</v>
      </c>
      <c r="K184" s="1607">
        <v>42</v>
      </c>
      <c r="L184" s="1607">
        <v>15</v>
      </c>
      <c r="M184" s="1607">
        <v>9</v>
      </c>
      <c r="N184" s="1607">
        <v>22</v>
      </c>
    </row>
    <row r="185" spans="1:14" x14ac:dyDescent="0.2">
      <c r="A185" s="1607" t="s">
        <v>603</v>
      </c>
      <c r="B185" s="1607" t="s">
        <v>118</v>
      </c>
      <c r="C185" s="1607" t="s">
        <v>33</v>
      </c>
      <c r="D185" s="1607">
        <v>152</v>
      </c>
      <c r="E185" s="1607">
        <v>94760</v>
      </c>
      <c r="F185" s="1607">
        <v>5</v>
      </c>
      <c r="G185" s="1607">
        <v>35</v>
      </c>
      <c r="H185" s="1607">
        <v>1</v>
      </c>
      <c r="I185" s="1607">
        <v>5</v>
      </c>
      <c r="J185" s="1607"/>
      <c r="K185" s="1607">
        <v>23</v>
      </c>
      <c r="L185" s="1607">
        <v>36</v>
      </c>
      <c r="M185" s="1607">
        <v>5</v>
      </c>
      <c r="N185" s="1607">
        <v>42</v>
      </c>
    </row>
    <row r="186" spans="1:14" x14ac:dyDescent="0.2">
      <c r="A186" s="1607" t="s">
        <v>603</v>
      </c>
      <c r="B186" s="1607" t="s">
        <v>118</v>
      </c>
      <c r="C186" s="1607" t="s">
        <v>665</v>
      </c>
      <c r="D186" s="1607">
        <v>1221</v>
      </c>
      <c r="E186" s="1607">
        <v>513210</v>
      </c>
      <c r="F186" s="1607">
        <v>13</v>
      </c>
      <c r="G186" s="1607">
        <v>334</v>
      </c>
      <c r="H186" s="1607"/>
      <c r="I186" s="1607">
        <v>23</v>
      </c>
      <c r="J186" s="1607">
        <v>3</v>
      </c>
      <c r="K186" s="1607">
        <v>260</v>
      </c>
      <c r="L186" s="1607">
        <v>295</v>
      </c>
      <c r="M186" s="1607">
        <v>76</v>
      </c>
      <c r="N186" s="1607">
        <v>217</v>
      </c>
    </row>
    <row r="187" spans="1:14" x14ac:dyDescent="0.2">
      <c r="A187" s="1607" t="s">
        <v>603</v>
      </c>
      <c r="B187" s="1607" t="s">
        <v>118</v>
      </c>
      <c r="C187" s="1607" t="s">
        <v>34</v>
      </c>
      <c r="D187" s="1607">
        <v>283</v>
      </c>
      <c r="E187" s="1607">
        <v>160130</v>
      </c>
      <c r="F187" s="1607">
        <v>12</v>
      </c>
      <c r="G187" s="1607">
        <v>134</v>
      </c>
      <c r="H187" s="1607">
        <v>3</v>
      </c>
      <c r="I187" s="1607">
        <v>3</v>
      </c>
      <c r="J187" s="1607">
        <v>2</v>
      </c>
      <c r="K187" s="1607">
        <v>36</v>
      </c>
      <c r="L187" s="1607">
        <v>42</v>
      </c>
      <c r="M187" s="1607">
        <v>8</v>
      </c>
      <c r="N187" s="1607">
        <v>43</v>
      </c>
    </row>
    <row r="188" spans="1:14" x14ac:dyDescent="0.2">
      <c r="A188" s="1607" t="s">
        <v>603</v>
      </c>
      <c r="B188" s="1607" t="s">
        <v>118</v>
      </c>
      <c r="C188" s="1607" t="s">
        <v>35</v>
      </c>
      <c r="D188" s="1607">
        <v>707</v>
      </c>
      <c r="E188" s="1607">
        <v>371410</v>
      </c>
      <c r="F188" s="1607">
        <v>28</v>
      </c>
      <c r="G188" s="1607">
        <v>244</v>
      </c>
      <c r="H188" s="1607">
        <v>9</v>
      </c>
      <c r="I188" s="1607">
        <v>19</v>
      </c>
      <c r="J188" s="1607">
        <v>5</v>
      </c>
      <c r="K188" s="1607">
        <v>94</v>
      </c>
      <c r="L188" s="1607">
        <v>102</v>
      </c>
      <c r="M188" s="1607">
        <v>13</v>
      </c>
      <c r="N188" s="1607">
        <v>193</v>
      </c>
    </row>
    <row r="189" spans="1:14" x14ac:dyDescent="0.2">
      <c r="A189" s="1607" t="s">
        <v>603</v>
      </c>
      <c r="B189" s="1607" t="s">
        <v>118</v>
      </c>
      <c r="C189" s="1607" t="s">
        <v>36</v>
      </c>
      <c r="D189" s="1607">
        <v>2227</v>
      </c>
      <c r="E189" s="1607">
        <v>621020</v>
      </c>
      <c r="F189" s="1607">
        <v>44</v>
      </c>
      <c r="G189" s="1607">
        <v>412</v>
      </c>
      <c r="H189" s="1607">
        <v>7</v>
      </c>
      <c r="I189" s="1607">
        <v>44</v>
      </c>
      <c r="J189" s="1607">
        <v>1</v>
      </c>
      <c r="K189" s="1607">
        <v>282</v>
      </c>
      <c r="L189" s="1607">
        <v>751</v>
      </c>
      <c r="M189" s="1607">
        <v>70</v>
      </c>
      <c r="N189" s="1607">
        <v>616</v>
      </c>
    </row>
    <row r="190" spans="1:14" x14ac:dyDescent="0.2">
      <c r="A190" s="1607" t="s">
        <v>603</v>
      </c>
      <c r="B190" s="1607" t="s">
        <v>118</v>
      </c>
      <c r="C190" s="1607" t="s">
        <v>37</v>
      </c>
      <c r="D190" s="1607">
        <v>131</v>
      </c>
      <c r="E190" s="1607">
        <v>235180</v>
      </c>
      <c r="F190" s="1607">
        <v>7</v>
      </c>
      <c r="G190" s="1607">
        <v>71</v>
      </c>
      <c r="H190" s="1607"/>
      <c r="I190" s="1607">
        <v>4</v>
      </c>
      <c r="J190" s="1607">
        <v>4</v>
      </c>
      <c r="K190" s="1607">
        <v>18</v>
      </c>
      <c r="L190" s="1607">
        <v>17</v>
      </c>
      <c r="M190" s="1607"/>
      <c r="N190" s="1607">
        <v>10</v>
      </c>
    </row>
    <row r="191" spans="1:14" x14ac:dyDescent="0.2">
      <c r="A191" s="1607" t="s">
        <v>603</v>
      </c>
      <c r="B191" s="1607" t="s">
        <v>118</v>
      </c>
      <c r="C191" s="1607" t="s">
        <v>38</v>
      </c>
      <c r="D191" s="1607">
        <v>340</v>
      </c>
      <c r="E191" s="1607">
        <v>78760</v>
      </c>
      <c r="F191" s="1607">
        <v>5</v>
      </c>
      <c r="G191" s="1607">
        <v>196</v>
      </c>
      <c r="H191" s="1607">
        <v>1</v>
      </c>
      <c r="I191" s="1607">
        <v>1</v>
      </c>
      <c r="J191" s="1607">
        <v>1</v>
      </c>
      <c r="K191" s="1607">
        <v>29</v>
      </c>
      <c r="L191" s="1607">
        <v>39</v>
      </c>
      <c r="M191" s="1607">
        <v>2</v>
      </c>
      <c r="N191" s="1607">
        <v>66</v>
      </c>
    </row>
    <row r="192" spans="1:14" x14ac:dyDescent="0.2">
      <c r="A192" s="1607" t="s">
        <v>603</v>
      </c>
      <c r="B192" s="1607" t="s">
        <v>118</v>
      </c>
      <c r="C192" s="1607" t="s">
        <v>39</v>
      </c>
      <c r="D192" s="1607">
        <v>329</v>
      </c>
      <c r="E192" s="1607">
        <v>90090</v>
      </c>
      <c r="F192" s="1607">
        <v>6</v>
      </c>
      <c r="G192" s="1607">
        <v>138</v>
      </c>
      <c r="H192" s="1607">
        <v>3</v>
      </c>
      <c r="I192" s="1607">
        <v>6</v>
      </c>
      <c r="J192" s="1607"/>
      <c r="K192" s="1607">
        <v>80</v>
      </c>
      <c r="L192" s="1607">
        <v>37</v>
      </c>
      <c r="M192" s="1607">
        <v>9</v>
      </c>
      <c r="N192" s="1607">
        <v>50</v>
      </c>
    </row>
    <row r="193" spans="1:14" x14ac:dyDescent="0.2">
      <c r="A193" s="1607" t="s">
        <v>603</v>
      </c>
      <c r="B193" s="1607" t="s">
        <v>118</v>
      </c>
      <c r="C193" s="1607" t="s">
        <v>40</v>
      </c>
      <c r="D193" s="1607">
        <v>44</v>
      </c>
      <c r="E193" s="1607">
        <v>95780</v>
      </c>
      <c r="F193" s="1607">
        <v>4</v>
      </c>
      <c r="G193" s="1607">
        <v>22</v>
      </c>
      <c r="H193" s="1607"/>
      <c r="I193" s="1607">
        <v>3</v>
      </c>
      <c r="J193" s="1607"/>
      <c r="K193" s="1607">
        <v>7</v>
      </c>
      <c r="L193" s="1607">
        <v>3</v>
      </c>
      <c r="M193" s="1607"/>
      <c r="N193" s="1607">
        <v>5</v>
      </c>
    </row>
    <row r="194" spans="1:14" x14ac:dyDescent="0.2">
      <c r="A194" s="1607" t="s">
        <v>603</v>
      </c>
      <c r="B194" s="1607" t="s">
        <v>118</v>
      </c>
      <c r="C194" s="1607" t="s">
        <v>393</v>
      </c>
      <c r="D194" s="1607">
        <v>1</v>
      </c>
      <c r="E194" s="1607">
        <v>26950</v>
      </c>
      <c r="F194" s="1607"/>
      <c r="G194" s="1607">
        <v>1</v>
      </c>
      <c r="H194" s="1607"/>
      <c r="I194" s="1607"/>
      <c r="J194" s="1607"/>
      <c r="K194" s="1607"/>
      <c r="L194" s="1607"/>
      <c r="M194" s="1607"/>
      <c r="N194" s="1607"/>
    </row>
    <row r="195" spans="1:14" x14ac:dyDescent="0.2">
      <c r="A195" s="1607" t="s">
        <v>603</v>
      </c>
      <c r="B195" s="1607" t="s">
        <v>118</v>
      </c>
      <c r="C195" s="1607" t="s">
        <v>41</v>
      </c>
      <c r="D195" s="1607">
        <v>545</v>
      </c>
      <c r="E195" s="1607">
        <v>135790</v>
      </c>
      <c r="F195" s="1607">
        <v>15</v>
      </c>
      <c r="G195" s="1607">
        <v>212</v>
      </c>
      <c r="H195" s="1607">
        <v>3</v>
      </c>
      <c r="I195" s="1607">
        <v>5</v>
      </c>
      <c r="J195" s="1607">
        <v>1</v>
      </c>
      <c r="K195" s="1607">
        <v>121</v>
      </c>
      <c r="L195" s="1607">
        <v>81</v>
      </c>
      <c r="M195" s="1607">
        <v>10</v>
      </c>
      <c r="N195" s="1607">
        <v>97</v>
      </c>
    </row>
    <row r="196" spans="1:14" x14ac:dyDescent="0.2">
      <c r="A196" s="1607" t="s">
        <v>603</v>
      </c>
      <c r="B196" s="1607" t="s">
        <v>118</v>
      </c>
      <c r="C196" s="1607" t="s">
        <v>42</v>
      </c>
      <c r="D196" s="1607">
        <v>1176</v>
      </c>
      <c r="E196" s="1607">
        <v>339960</v>
      </c>
      <c r="F196" s="1607">
        <v>20</v>
      </c>
      <c r="G196" s="1607">
        <v>356</v>
      </c>
      <c r="H196" s="1607">
        <v>3</v>
      </c>
      <c r="I196" s="1607">
        <v>36</v>
      </c>
      <c r="J196" s="1607">
        <v>5</v>
      </c>
      <c r="K196" s="1607">
        <v>164</v>
      </c>
      <c r="L196" s="1607">
        <v>186</v>
      </c>
      <c r="M196" s="1607">
        <v>27</v>
      </c>
      <c r="N196" s="1607">
        <v>379</v>
      </c>
    </row>
    <row r="197" spans="1:14" x14ac:dyDescent="0.2">
      <c r="A197" s="1607" t="s">
        <v>603</v>
      </c>
      <c r="B197" s="1607" t="s">
        <v>118</v>
      </c>
      <c r="C197" s="1607" t="s">
        <v>43</v>
      </c>
      <c r="D197" s="1607">
        <v>2</v>
      </c>
      <c r="E197" s="1607">
        <v>22000</v>
      </c>
      <c r="F197" s="1607"/>
      <c r="G197" s="1607"/>
      <c r="H197" s="1607"/>
      <c r="I197" s="1607"/>
      <c r="J197" s="1607"/>
      <c r="K197" s="1607">
        <v>2</v>
      </c>
      <c r="L197" s="1607"/>
      <c r="M197" s="1607"/>
      <c r="N197" s="1607"/>
    </row>
    <row r="198" spans="1:14" x14ac:dyDescent="0.2">
      <c r="A198" s="1607" t="s">
        <v>603</v>
      </c>
      <c r="B198" s="1607" t="s">
        <v>118</v>
      </c>
      <c r="C198" s="1607" t="s">
        <v>44</v>
      </c>
      <c r="D198" s="1607">
        <v>88</v>
      </c>
      <c r="E198" s="1607">
        <v>151100</v>
      </c>
      <c r="F198" s="1607">
        <v>2</v>
      </c>
      <c r="G198" s="1607">
        <v>36</v>
      </c>
      <c r="H198" s="1607"/>
      <c r="I198" s="1607">
        <v>5</v>
      </c>
      <c r="J198" s="1607"/>
      <c r="K198" s="1607">
        <v>11</v>
      </c>
      <c r="L198" s="1607">
        <v>9</v>
      </c>
      <c r="M198" s="1607">
        <v>2</v>
      </c>
      <c r="N198" s="1607">
        <v>23</v>
      </c>
    </row>
    <row r="199" spans="1:14" x14ac:dyDescent="0.2">
      <c r="A199" s="1607" t="s">
        <v>603</v>
      </c>
      <c r="B199" s="1607" t="s">
        <v>118</v>
      </c>
      <c r="C199" s="1607" t="s">
        <v>45</v>
      </c>
      <c r="D199" s="1607">
        <v>468</v>
      </c>
      <c r="E199" s="1607">
        <v>176830</v>
      </c>
      <c r="F199" s="1607">
        <v>12</v>
      </c>
      <c r="G199" s="1607">
        <v>127</v>
      </c>
      <c r="H199" s="1607">
        <v>2</v>
      </c>
      <c r="I199" s="1607">
        <v>12</v>
      </c>
      <c r="J199" s="1607">
        <v>1</v>
      </c>
      <c r="K199" s="1607">
        <v>71</v>
      </c>
      <c r="L199" s="1607">
        <v>107</v>
      </c>
      <c r="M199" s="1607">
        <v>8</v>
      </c>
      <c r="N199" s="1607">
        <v>128</v>
      </c>
    </row>
    <row r="200" spans="1:14" x14ac:dyDescent="0.2">
      <c r="A200" s="1607" t="s">
        <v>603</v>
      </c>
      <c r="B200" s="1607" t="s">
        <v>118</v>
      </c>
      <c r="C200" s="1607" t="s">
        <v>46</v>
      </c>
      <c r="D200" s="1607">
        <v>102</v>
      </c>
      <c r="E200" s="1607">
        <v>115020</v>
      </c>
      <c r="F200" s="1607">
        <v>2</v>
      </c>
      <c r="G200" s="1607">
        <v>45</v>
      </c>
      <c r="H200" s="1607">
        <v>2</v>
      </c>
      <c r="I200" s="1607">
        <v>2</v>
      </c>
      <c r="J200" s="1607"/>
      <c r="K200" s="1607">
        <v>24</v>
      </c>
      <c r="L200" s="1607">
        <v>15</v>
      </c>
      <c r="M200" s="1607">
        <v>2</v>
      </c>
      <c r="N200" s="1607">
        <v>10</v>
      </c>
    </row>
    <row r="201" spans="1:14" x14ac:dyDescent="0.2">
      <c r="A201" s="1607" t="s">
        <v>603</v>
      </c>
      <c r="B201" s="1607" t="s">
        <v>118</v>
      </c>
      <c r="C201" s="1607" t="s">
        <v>47</v>
      </c>
      <c r="D201" s="1607">
        <v>2</v>
      </c>
      <c r="E201" s="1607">
        <v>23080</v>
      </c>
      <c r="F201" s="1607"/>
      <c r="G201" s="1607">
        <v>2</v>
      </c>
      <c r="H201" s="1607"/>
      <c r="I201" s="1607"/>
      <c r="J201" s="1607"/>
      <c r="K201" s="1607"/>
      <c r="L201" s="1607"/>
      <c r="M201" s="1607"/>
      <c r="N201" s="1607"/>
    </row>
    <row r="202" spans="1:14" x14ac:dyDescent="0.2">
      <c r="A202" s="1607" t="s">
        <v>603</v>
      </c>
      <c r="B202" s="1607" t="s">
        <v>118</v>
      </c>
      <c r="C202" s="1607" t="s">
        <v>48</v>
      </c>
      <c r="D202" s="1607">
        <v>223</v>
      </c>
      <c r="E202" s="1607">
        <v>112680</v>
      </c>
      <c r="F202" s="1607">
        <v>3</v>
      </c>
      <c r="G202" s="1607">
        <v>99</v>
      </c>
      <c r="H202" s="1607">
        <v>1</v>
      </c>
      <c r="I202" s="1607">
        <v>2</v>
      </c>
      <c r="J202" s="1607">
        <v>2</v>
      </c>
      <c r="K202" s="1607">
        <v>46</v>
      </c>
      <c r="L202" s="1607">
        <v>40</v>
      </c>
      <c r="M202" s="1607">
        <v>2</v>
      </c>
      <c r="N202" s="1607">
        <v>28</v>
      </c>
    </row>
    <row r="203" spans="1:14" x14ac:dyDescent="0.2">
      <c r="A203" s="1607" t="s">
        <v>603</v>
      </c>
      <c r="B203" s="1607" t="s">
        <v>118</v>
      </c>
      <c r="C203" s="1607" t="s">
        <v>49</v>
      </c>
      <c r="D203" s="1607">
        <v>757</v>
      </c>
      <c r="E203" s="1607">
        <v>318170</v>
      </c>
      <c r="F203" s="1607">
        <v>20</v>
      </c>
      <c r="G203" s="1607">
        <v>195</v>
      </c>
      <c r="H203" s="1607">
        <v>6</v>
      </c>
      <c r="I203" s="1607">
        <v>6</v>
      </c>
      <c r="J203" s="1607">
        <v>4</v>
      </c>
      <c r="K203" s="1607">
        <v>70</v>
      </c>
      <c r="L203" s="1607">
        <v>179</v>
      </c>
      <c r="M203" s="1607">
        <v>28</v>
      </c>
      <c r="N203" s="1607">
        <v>249</v>
      </c>
    </row>
    <row r="204" spans="1:14" x14ac:dyDescent="0.2">
      <c r="A204" s="1607" t="s">
        <v>603</v>
      </c>
      <c r="B204" s="1607" t="s">
        <v>118</v>
      </c>
      <c r="C204" s="1607" t="s">
        <v>50</v>
      </c>
      <c r="D204" s="1607">
        <v>124</v>
      </c>
      <c r="E204" s="1607">
        <v>94000</v>
      </c>
      <c r="F204" s="1607">
        <v>2</v>
      </c>
      <c r="G204" s="1607">
        <v>55</v>
      </c>
      <c r="H204" s="1607">
        <v>1</v>
      </c>
      <c r="I204" s="1607">
        <v>5</v>
      </c>
      <c r="J204" s="1607"/>
      <c r="K204" s="1607">
        <v>14</v>
      </c>
      <c r="L204" s="1607">
        <v>23</v>
      </c>
      <c r="M204" s="1607">
        <v>3</v>
      </c>
      <c r="N204" s="1607">
        <v>21</v>
      </c>
    </row>
    <row r="205" spans="1:14" x14ac:dyDescent="0.2">
      <c r="A205" s="1607" t="s">
        <v>603</v>
      </c>
      <c r="B205" s="1607" t="s">
        <v>118</v>
      </c>
      <c r="C205" s="1607" t="s">
        <v>51</v>
      </c>
      <c r="D205" s="1607">
        <v>236</v>
      </c>
      <c r="E205" s="1607">
        <v>89610</v>
      </c>
      <c r="F205" s="1607">
        <v>3</v>
      </c>
      <c r="G205" s="1607">
        <v>69</v>
      </c>
      <c r="H205" s="1607">
        <v>1</v>
      </c>
      <c r="I205" s="1607">
        <v>1</v>
      </c>
      <c r="J205" s="1607">
        <v>1</v>
      </c>
      <c r="K205" s="1607">
        <v>34</v>
      </c>
      <c r="L205" s="1607">
        <v>55</v>
      </c>
      <c r="M205" s="1607">
        <v>6</v>
      </c>
      <c r="N205" s="1607">
        <v>66</v>
      </c>
    </row>
    <row r="206" spans="1:14" x14ac:dyDescent="0.2">
      <c r="A206" s="1607" t="s">
        <v>603</v>
      </c>
      <c r="B206" s="1607" t="s">
        <v>118</v>
      </c>
      <c r="C206" s="1607" t="s">
        <v>52</v>
      </c>
      <c r="D206" s="1607">
        <v>636</v>
      </c>
      <c r="E206" s="1607">
        <v>181310</v>
      </c>
      <c r="F206" s="1607">
        <v>4</v>
      </c>
      <c r="G206" s="1607">
        <v>287</v>
      </c>
      <c r="H206" s="1607">
        <v>1</v>
      </c>
      <c r="I206" s="1607">
        <v>10</v>
      </c>
      <c r="J206" s="1607">
        <v>4</v>
      </c>
      <c r="K206" s="1607">
        <v>68</v>
      </c>
      <c r="L206" s="1607">
        <v>148</v>
      </c>
      <c r="M206" s="1607">
        <v>19</v>
      </c>
      <c r="N206" s="1607">
        <v>95</v>
      </c>
    </row>
  </sheetData>
  <pageMargins left="0.7" right="0.7" top="0.75" bottom="0.75" header="0.3" footer="0.3"/>
  <pageSetup paperSize="9" scale="51" fitToHeight="50" orientation="landscape" r:id="rId1"/>
  <legacy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fitToPage="1"/>
  </sheetPr>
  <dimension ref="A1:G21"/>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7.42578125" bestFit="1" customWidth="1"/>
    <col min="2" max="2" width="7.85546875" bestFit="1" customWidth="1"/>
    <col min="3" max="3" width="12.7109375" bestFit="1" customWidth="1"/>
    <col min="4" max="4" width="7.140625" bestFit="1" customWidth="1"/>
    <col min="5" max="5" width="5" bestFit="1" customWidth="1"/>
    <col min="6" max="6" width="9.85546875" bestFit="1" customWidth="1"/>
    <col min="7" max="7" width="11.7109375" bestFit="1" customWidth="1"/>
  </cols>
  <sheetData>
    <row r="1" spans="1:7" x14ac:dyDescent="0.2"/>
    <row r="4" spans="1:7" x14ac:dyDescent="0.2">
      <c r="A4" s="1606" t="s">
        <v>815</v>
      </c>
      <c r="B4" s="1606" t="s">
        <v>4</v>
      </c>
      <c r="C4" s="1606" t="s">
        <v>1219</v>
      </c>
      <c r="D4" s="1606" t="s">
        <v>180</v>
      </c>
      <c r="E4" s="1606" t="s">
        <v>181</v>
      </c>
      <c r="F4" s="1606" t="s">
        <v>209</v>
      </c>
    </row>
    <row r="5" spans="1:7" x14ac:dyDescent="0.2">
      <c r="A5" s="1607" t="s">
        <v>785</v>
      </c>
      <c r="B5" s="1607" t="s">
        <v>160</v>
      </c>
      <c r="C5" s="1607">
        <v>45</v>
      </c>
      <c r="D5" s="1607">
        <v>19</v>
      </c>
      <c r="E5" s="1607">
        <v>25</v>
      </c>
      <c r="F5" s="1607">
        <v>1</v>
      </c>
    </row>
    <row r="6" spans="1:7" x14ac:dyDescent="0.2">
      <c r="A6" s="1607" t="s">
        <v>785</v>
      </c>
      <c r="B6" s="1607" t="s">
        <v>379</v>
      </c>
      <c r="C6" s="1607">
        <v>44</v>
      </c>
      <c r="D6" s="1607">
        <v>16</v>
      </c>
      <c r="E6" s="1607">
        <v>28</v>
      </c>
      <c r="F6" s="1607"/>
    </row>
    <row r="7" spans="1:7" x14ac:dyDescent="0.2">
      <c r="A7" s="1607" t="s">
        <v>785</v>
      </c>
      <c r="B7" s="1607" t="s">
        <v>603</v>
      </c>
      <c r="C7" s="1607">
        <v>44</v>
      </c>
      <c r="D7" s="1607">
        <v>18</v>
      </c>
      <c r="E7" s="1607">
        <v>26</v>
      </c>
      <c r="F7" s="1607"/>
    </row>
    <row r="15" spans="1:7" x14ac:dyDescent="0.2">
      <c r="A15" s="1608" t="s">
        <v>1043</v>
      </c>
      <c r="B15" s="1608" t="s">
        <v>4</v>
      </c>
      <c r="C15" s="1608" t="s">
        <v>1220</v>
      </c>
      <c r="D15" s="1608" t="s">
        <v>180</v>
      </c>
      <c r="E15" s="1608" t="s">
        <v>181</v>
      </c>
      <c r="F15" s="1608" t="s">
        <v>209</v>
      </c>
      <c r="G15" s="1608" t="s">
        <v>1221</v>
      </c>
    </row>
    <row r="16" spans="1:7" x14ac:dyDescent="0.2">
      <c r="A16" s="1607" t="s">
        <v>792</v>
      </c>
      <c r="B16" s="1607" t="s">
        <v>160</v>
      </c>
      <c r="C16" s="1607">
        <v>10</v>
      </c>
      <c r="D16" s="1607">
        <v>2</v>
      </c>
      <c r="E16" s="1607">
        <v>8</v>
      </c>
      <c r="F16" s="1607"/>
      <c r="G16" s="1607"/>
    </row>
    <row r="17" spans="1:7" x14ac:dyDescent="0.2">
      <c r="A17" s="1607" t="s">
        <v>792</v>
      </c>
      <c r="B17" s="1607" t="s">
        <v>379</v>
      </c>
      <c r="C17" s="1607">
        <v>18</v>
      </c>
      <c r="D17" s="1607"/>
      <c r="E17" s="1607">
        <v>17</v>
      </c>
      <c r="F17" s="1607">
        <v>1</v>
      </c>
      <c r="G17" s="1607"/>
    </row>
    <row r="18" spans="1:7" x14ac:dyDescent="0.2">
      <c r="A18" s="1607" t="s">
        <v>792</v>
      </c>
      <c r="B18" s="1607" t="s">
        <v>603</v>
      </c>
      <c r="C18" s="1607">
        <v>27</v>
      </c>
      <c r="D18" s="1607">
        <v>1</v>
      </c>
      <c r="E18" s="1607">
        <v>22</v>
      </c>
      <c r="F18" s="1607">
        <v>3</v>
      </c>
      <c r="G18" s="1607">
        <v>1</v>
      </c>
    </row>
    <row r="19" spans="1:7" x14ac:dyDescent="0.2">
      <c r="A19" s="1607" t="s">
        <v>785</v>
      </c>
      <c r="B19" s="1607" t="s">
        <v>160</v>
      </c>
      <c r="C19" s="1607">
        <v>1266</v>
      </c>
      <c r="D19" s="1607">
        <v>551</v>
      </c>
      <c r="E19" s="1607">
        <v>710</v>
      </c>
      <c r="F19" s="1607">
        <v>4</v>
      </c>
      <c r="G19" s="1607">
        <v>1</v>
      </c>
    </row>
    <row r="20" spans="1:7" x14ac:dyDescent="0.2">
      <c r="A20" s="1607" t="s">
        <v>785</v>
      </c>
      <c r="B20" s="1607" t="s">
        <v>379</v>
      </c>
      <c r="C20" s="1607">
        <v>1248</v>
      </c>
      <c r="D20" s="1607">
        <v>548</v>
      </c>
      <c r="E20" s="1607">
        <v>695</v>
      </c>
      <c r="F20" s="1607">
        <v>5</v>
      </c>
      <c r="G20" s="1607"/>
    </row>
    <row r="21" spans="1:7" x14ac:dyDescent="0.2">
      <c r="A21" s="1607" t="s">
        <v>785</v>
      </c>
      <c r="B21" s="1607" t="s">
        <v>603</v>
      </c>
      <c r="C21" s="1607">
        <v>1086</v>
      </c>
      <c r="D21" s="1607">
        <v>479</v>
      </c>
      <c r="E21" s="1607">
        <v>596</v>
      </c>
      <c r="F21" s="1607">
        <v>10</v>
      </c>
      <c r="G21" s="1607">
        <v>1</v>
      </c>
    </row>
  </sheetData>
  <pageMargins left="0.7" right="0.7" top="0.75" bottom="0.75" header="0.3" footer="0.3"/>
  <pageSetup paperSize="9" fitToHeight="5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5"/>
  <dimension ref="A2:Q39"/>
  <sheetViews>
    <sheetView workbookViewId="0">
      <selection activeCell="G7" sqref="G7"/>
    </sheetView>
  </sheetViews>
  <sheetFormatPr defaultRowHeight="12.75" x14ac:dyDescent="0.2"/>
  <cols>
    <col min="1" max="1" width="20.28515625" customWidth="1"/>
    <col min="2" max="2" width="17.85546875" customWidth="1"/>
    <col min="3" max="3" width="24" customWidth="1"/>
    <col min="4" max="4" width="22.140625" customWidth="1"/>
    <col min="5" max="5" width="15.5703125" customWidth="1"/>
    <col min="6" max="6" width="17.85546875" customWidth="1"/>
    <col min="7" max="7" width="24" customWidth="1"/>
    <col min="8" max="8" width="22.140625" customWidth="1"/>
    <col min="9" max="9" width="15.5703125" customWidth="1"/>
    <col min="10" max="10" width="30.42578125" customWidth="1"/>
    <col min="11" max="11" width="24" customWidth="1"/>
    <col min="12" max="12" width="22.140625" customWidth="1"/>
    <col min="13" max="13" width="15.5703125" customWidth="1"/>
    <col min="14" max="14" width="23.140625" bestFit="1" customWidth="1"/>
    <col min="15" max="15" width="29.28515625" customWidth="1"/>
    <col min="16" max="16" width="27.42578125" customWidth="1"/>
    <col min="17" max="17" width="20.85546875" customWidth="1"/>
    <col min="18" max="18" width="29.28515625" bestFit="1" customWidth="1"/>
    <col min="19" max="19" width="27.42578125" bestFit="1" customWidth="1"/>
    <col min="20" max="20" width="20.85546875" bestFit="1" customWidth="1"/>
    <col min="21" max="21" width="18" bestFit="1" customWidth="1"/>
  </cols>
  <sheetData>
    <row r="2" spans="1:17" x14ac:dyDescent="0.2">
      <c r="A2" s="1300" t="s">
        <v>4</v>
      </c>
      <c r="B2" t="s">
        <v>603</v>
      </c>
    </row>
    <row r="4" spans="1:17" x14ac:dyDescent="0.2">
      <c r="B4" s="1300" t="s">
        <v>670</v>
      </c>
    </row>
    <row r="5" spans="1:17" x14ac:dyDescent="0.2">
      <c r="B5" t="s">
        <v>678</v>
      </c>
      <c r="F5" t="s">
        <v>679</v>
      </c>
      <c r="J5" t="s">
        <v>680</v>
      </c>
      <c r="N5" t="s">
        <v>671</v>
      </c>
      <c r="O5" t="s">
        <v>672</v>
      </c>
      <c r="P5" t="s">
        <v>673</v>
      </c>
      <c r="Q5" t="s">
        <v>674</v>
      </c>
    </row>
    <row r="6" spans="1:17" x14ac:dyDescent="0.2">
      <c r="A6" s="1300" t="s">
        <v>658</v>
      </c>
      <c r="B6" t="s">
        <v>660</v>
      </c>
      <c r="C6" t="s">
        <v>661</v>
      </c>
      <c r="D6" t="s">
        <v>662</v>
      </c>
      <c r="E6" t="s">
        <v>663</v>
      </c>
      <c r="F6" t="s">
        <v>660</v>
      </c>
      <c r="G6" t="s">
        <v>661</v>
      </c>
      <c r="H6" t="s">
        <v>662</v>
      </c>
      <c r="I6" t="s">
        <v>663</v>
      </c>
      <c r="J6" t="s">
        <v>660</v>
      </c>
      <c r="K6" t="s">
        <v>661</v>
      </c>
      <c r="L6" t="s">
        <v>662</v>
      </c>
      <c r="M6" t="s">
        <v>663</v>
      </c>
    </row>
    <row r="7" spans="1:17" x14ac:dyDescent="0.2">
      <c r="A7" s="1301" t="s">
        <v>23</v>
      </c>
      <c r="B7">
        <v>26</v>
      </c>
      <c r="C7">
        <v>1</v>
      </c>
      <c r="E7">
        <v>1</v>
      </c>
      <c r="F7">
        <v>3</v>
      </c>
      <c r="J7">
        <v>29</v>
      </c>
      <c r="K7">
        <v>2</v>
      </c>
      <c r="M7">
        <v>1</v>
      </c>
      <c r="N7">
        <v>58</v>
      </c>
      <c r="O7">
        <v>3</v>
      </c>
      <c r="Q7">
        <v>2</v>
      </c>
    </row>
    <row r="8" spans="1:17" x14ac:dyDescent="0.2">
      <c r="A8" s="1301" t="s">
        <v>24</v>
      </c>
      <c r="B8">
        <v>28</v>
      </c>
      <c r="C8">
        <v>4</v>
      </c>
      <c r="D8">
        <v>4</v>
      </c>
      <c r="E8">
        <v>5</v>
      </c>
      <c r="F8">
        <v>1</v>
      </c>
      <c r="J8">
        <v>32</v>
      </c>
      <c r="K8">
        <v>4</v>
      </c>
      <c r="L8">
        <v>5</v>
      </c>
      <c r="M8">
        <v>5</v>
      </c>
      <c r="N8">
        <v>61</v>
      </c>
      <c r="O8">
        <v>8</v>
      </c>
      <c r="P8">
        <v>9</v>
      </c>
      <c r="Q8">
        <v>10</v>
      </c>
    </row>
    <row r="9" spans="1:17" x14ac:dyDescent="0.2">
      <c r="A9" s="1301" t="s">
        <v>25</v>
      </c>
      <c r="B9">
        <v>16</v>
      </c>
      <c r="C9">
        <v>2</v>
      </c>
      <c r="D9">
        <v>1</v>
      </c>
      <c r="J9">
        <v>18</v>
      </c>
      <c r="K9">
        <v>2</v>
      </c>
      <c r="L9">
        <v>1</v>
      </c>
      <c r="N9">
        <v>34</v>
      </c>
      <c r="O9">
        <v>4</v>
      </c>
      <c r="P9">
        <v>2</v>
      </c>
    </row>
    <row r="10" spans="1:17" x14ac:dyDescent="0.2">
      <c r="A10" s="1301" t="s">
        <v>26</v>
      </c>
      <c r="B10">
        <v>13</v>
      </c>
      <c r="F10">
        <v>1</v>
      </c>
      <c r="J10">
        <v>18</v>
      </c>
      <c r="K10">
        <v>1</v>
      </c>
      <c r="M10">
        <v>1</v>
      </c>
      <c r="N10">
        <v>32</v>
      </c>
      <c r="O10">
        <v>1</v>
      </c>
      <c r="Q10">
        <v>1</v>
      </c>
    </row>
    <row r="11" spans="1:17" x14ac:dyDescent="0.2">
      <c r="A11" s="1301" t="s">
        <v>27</v>
      </c>
      <c r="B11">
        <v>5</v>
      </c>
      <c r="J11">
        <v>8</v>
      </c>
      <c r="K11">
        <v>1</v>
      </c>
      <c r="N11">
        <v>13</v>
      </c>
      <c r="O11">
        <v>1</v>
      </c>
    </row>
    <row r="12" spans="1:17" x14ac:dyDescent="0.2">
      <c r="A12" s="1301" t="s">
        <v>28</v>
      </c>
      <c r="B12">
        <v>4</v>
      </c>
      <c r="C12">
        <v>2</v>
      </c>
      <c r="F12">
        <v>3</v>
      </c>
      <c r="H12">
        <v>2</v>
      </c>
      <c r="J12">
        <v>4</v>
      </c>
      <c r="K12">
        <v>2</v>
      </c>
      <c r="N12">
        <v>11</v>
      </c>
      <c r="O12">
        <v>4</v>
      </c>
      <c r="P12">
        <v>2</v>
      </c>
    </row>
    <row r="13" spans="1:17" x14ac:dyDescent="0.2">
      <c r="A13" s="1301" t="s">
        <v>29</v>
      </c>
      <c r="B13">
        <v>29</v>
      </c>
      <c r="C13">
        <v>2</v>
      </c>
      <c r="D13">
        <v>1</v>
      </c>
      <c r="E13">
        <v>1</v>
      </c>
      <c r="J13">
        <v>34</v>
      </c>
      <c r="K13">
        <v>2</v>
      </c>
      <c r="L13">
        <v>1</v>
      </c>
      <c r="M13">
        <v>1</v>
      </c>
      <c r="N13">
        <v>63</v>
      </c>
      <c r="O13">
        <v>4</v>
      </c>
      <c r="P13">
        <v>2</v>
      </c>
      <c r="Q13">
        <v>2</v>
      </c>
    </row>
    <row r="14" spans="1:17" x14ac:dyDescent="0.2">
      <c r="A14" s="1301" t="s">
        <v>30</v>
      </c>
      <c r="B14">
        <v>22</v>
      </c>
      <c r="C14">
        <v>1</v>
      </c>
      <c r="D14">
        <v>2</v>
      </c>
      <c r="F14">
        <v>1</v>
      </c>
      <c r="J14">
        <v>26</v>
      </c>
      <c r="K14">
        <v>3</v>
      </c>
      <c r="L14">
        <v>2</v>
      </c>
      <c r="N14">
        <v>49</v>
      </c>
      <c r="O14">
        <v>4</v>
      </c>
      <c r="P14">
        <v>4</v>
      </c>
    </row>
    <row r="15" spans="1:17" x14ac:dyDescent="0.2">
      <c r="A15" s="1301" t="s">
        <v>31</v>
      </c>
      <c r="B15">
        <v>9</v>
      </c>
      <c r="C15">
        <v>4</v>
      </c>
      <c r="J15">
        <v>13</v>
      </c>
      <c r="K15">
        <v>4</v>
      </c>
      <c r="N15">
        <v>22</v>
      </c>
      <c r="O15">
        <v>8</v>
      </c>
    </row>
    <row r="16" spans="1:17" x14ac:dyDescent="0.2">
      <c r="A16" s="1301" t="s">
        <v>32</v>
      </c>
      <c r="B16">
        <v>7</v>
      </c>
      <c r="C16">
        <v>1</v>
      </c>
      <c r="D16">
        <v>4</v>
      </c>
      <c r="F16">
        <v>2</v>
      </c>
      <c r="J16">
        <v>7</v>
      </c>
      <c r="K16">
        <v>1</v>
      </c>
      <c r="L16">
        <v>4</v>
      </c>
      <c r="N16">
        <v>16</v>
      </c>
      <c r="O16">
        <v>2</v>
      </c>
      <c r="P16">
        <v>8</v>
      </c>
    </row>
    <row r="17" spans="1:17" x14ac:dyDescent="0.2">
      <c r="A17" s="1301" t="s">
        <v>33</v>
      </c>
      <c r="B17">
        <v>9</v>
      </c>
      <c r="J17">
        <v>9</v>
      </c>
      <c r="N17">
        <v>18</v>
      </c>
    </row>
    <row r="18" spans="1:17" x14ac:dyDescent="0.2">
      <c r="A18" s="1301" t="s">
        <v>665</v>
      </c>
      <c r="B18">
        <v>75</v>
      </c>
      <c r="C18">
        <v>10</v>
      </c>
      <c r="D18">
        <v>1</v>
      </c>
      <c r="F18">
        <v>1</v>
      </c>
      <c r="J18">
        <v>79</v>
      </c>
      <c r="K18">
        <v>11</v>
      </c>
      <c r="L18">
        <v>1</v>
      </c>
      <c r="N18">
        <v>155</v>
      </c>
      <c r="O18">
        <v>21</v>
      </c>
      <c r="P18">
        <v>2</v>
      </c>
    </row>
    <row r="19" spans="1:17" x14ac:dyDescent="0.2">
      <c r="A19" s="1301" t="s">
        <v>34</v>
      </c>
      <c r="B19">
        <v>16</v>
      </c>
      <c r="C19">
        <v>7</v>
      </c>
      <c r="E19">
        <v>1</v>
      </c>
      <c r="F19">
        <v>2</v>
      </c>
      <c r="J19">
        <v>20</v>
      </c>
      <c r="K19">
        <v>8</v>
      </c>
      <c r="M19">
        <v>1</v>
      </c>
      <c r="N19">
        <v>38</v>
      </c>
      <c r="O19">
        <v>15</v>
      </c>
      <c r="Q19">
        <v>2</v>
      </c>
    </row>
    <row r="20" spans="1:17" x14ac:dyDescent="0.2">
      <c r="A20" s="1301" t="s">
        <v>35</v>
      </c>
      <c r="B20">
        <v>29</v>
      </c>
      <c r="C20">
        <v>3</v>
      </c>
      <c r="D20">
        <v>2</v>
      </c>
      <c r="E20">
        <v>1</v>
      </c>
      <c r="F20">
        <v>2</v>
      </c>
      <c r="J20">
        <v>32</v>
      </c>
      <c r="K20">
        <v>5</v>
      </c>
      <c r="L20">
        <v>2</v>
      </c>
      <c r="M20">
        <v>1</v>
      </c>
      <c r="N20">
        <v>63</v>
      </c>
      <c r="O20">
        <v>8</v>
      </c>
      <c r="P20">
        <v>4</v>
      </c>
      <c r="Q20">
        <v>2</v>
      </c>
    </row>
    <row r="21" spans="1:17" x14ac:dyDescent="0.2">
      <c r="A21" s="1301" t="s">
        <v>36</v>
      </c>
      <c r="B21">
        <v>137</v>
      </c>
      <c r="C21">
        <v>12</v>
      </c>
      <c r="D21">
        <v>2</v>
      </c>
      <c r="E21">
        <v>2</v>
      </c>
      <c r="F21">
        <v>5</v>
      </c>
      <c r="J21">
        <v>185</v>
      </c>
      <c r="K21">
        <v>16</v>
      </c>
      <c r="L21">
        <v>10</v>
      </c>
      <c r="M21">
        <v>2</v>
      </c>
      <c r="N21">
        <v>327</v>
      </c>
      <c r="O21">
        <v>28</v>
      </c>
      <c r="P21">
        <v>12</v>
      </c>
      <c r="Q21">
        <v>4</v>
      </c>
    </row>
    <row r="22" spans="1:17" x14ac:dyDescent="0.2">
      <c r="A22" s="1301" t="s">
        <v>37</v>
      </c>
      <c r="B22">
        <v>21</v>
      </c>
      <c r="C22">
        <v>1</v>
      </c>
      <c r="D22">
        <v>4</v>
      </c>
      <c r="E22">
        <v>2</v>
      </c>
      <c r="F22">
        <v>2</v>
      </c>
      <c r="J22">
        <v>31</v>
      </c>
      <c r="K22">
        <v>2</v>
      </c>
      <c r="L22">
        <v>5</v>
      </c>
      <c r="M22">
        <v>3</v>
      </c>
      <c r="N22">
        <v>54</v>
      </c>
      <c r="O22">
        <v>3</v>
      </c>
      <c r="P22">
        <v>9</v>
      </c>
      <c r="Q22">
        <v>5</v>
      </c>
    </row>
    <row r="23" spans="1:17" x14ac:dyDescent="0.2">
      <c r="A23" s="1301" t="s">
        <v>38</v>
      </c>
      <c r="B23">
        <v>9</v>
      </c>
      <c r="E23">
        <v>1</v>
      </c>
      <c r="J23">
        <v>14</v>
      </c>
      <c r="K23">
        <v>8</v>
      </c>
      <c r="M23">
        <v>1</v>
      </c>
      <c r="N23">
        <v>23</v>
      </c>
      <c r="O23">
        <v>8</v>
      </c>
      <c r="Q23">
        <v>2</v>
      </c>
    </row>
    <row r="24" spans="1:17" x14ac:dyDescent="0.2">
      <c r="A24" s="1301" t="s">
        <v>39</v>
      </c>
      <c r="B24">
        <v>15</v>
      </c>
      <c r="J24">
        <v>15</v>
      </c>
      <c r="N24">
        <v>30</v>
      </c>
    </row>
    <row r="25" spans="1:17" x14ac:dyDescent="0.2">
      <c r="A25" s="1301" t="s">
        <v>40</v>
      </c>
      <c r="B25">
        <v>13</v>
      </c>
      <c r="C25">
        <v>3</v>
      </c>
      <c r="D25">
        <v>2</v>
      </c>
      <c r="I25">
        <v>1</v>
      </c>
      <c r="J25">
        <v>13</v>
      </c>
      <c r="K25">
        <v>3</v>
      </c>
      <c r="L25">
        <v>3</v>
      </c>
      <c r="M25">
        <v>2</v>
      </c>
      <c r="N25">
        <v>26</v>
      </c>
      <c r="O25">
        <v>6</v>
      </c>
      <c r="P25">
        <v>5</v>
      </c>
      <c r="Q25">
        <v>3</v>
      </c>
    </row>
    <row r="26" spans="1:17" x14ac:dyDescent="0.2">
      <c r="A26" s="1301" t="s">
        <v>393</v>
      </c>
      <c r="B26">
        <v>2</v>
      </c>
      <c r="F26">
        <v>1</v>
      </c>
      <c r="J26">
        <v>2</v>
      </c>
      <c r="N26">
        <v>5</v>
      </c>
    </row>
    <row r="27" spans="1:17" x14ac:dyDescent="0.2">
      <c r="A27" s="1301" t="s">
        <v>41</v>
      </c>
      <c r="B27">
        <v>12</v>
      </c>
      <c r="C27">
        <v>2</v>
      </c>
      <c r="J27">
        <v>18</v>
      </c>
      <c r="K27">
        <v>2</v>
      </c>
      <c r="N27">
        <v>30</v>
      </c>
      <c r="O27">
        <v>4</v>
      </c>
    </row>
    <row r="28" spans="1:17" x14ac:dyDescent="0.2">
      <c r="A28" s="1301" t="s">
        <v>42</v>
      </c>
      <c r="B28">
        <v>56</v>
      </c>
      <c r="C28">
        <v>9</v>
      </c>
      <c r="D28">
        <v>2</v>
      </c>
      <c r="F28">
        <v>1</v>
      </c>
      <c r="G28">
        <v>1</v>
      </c>
      <c r="J28">
        <v>84</v>
      </c>
      <c r="K28">
        <v>10</v>
      </c>
      <c r="L28">
        <v>3</v>
      </c>
      <c r="M28">
        <v>1</v>
      </c>
      <c r="N28">
        <v>141</v>
      </c>
      <c r="O28">
        <v>20</v>
      </c>
      <c r="P28">
        <v>5</v>
      </c>
      <c r="Q28">
        <v>1</v>
      </c>
    </row>
    <row r="29" spans="1:17" x14ac:dyDescent="0.2">
      <c r="A29" s="1301" t="s">
        <v>43</v>
      </c>
      <c r="D29">
        <v>1</v>
      </c>
      <c r="J29">
        <v>3</v>
      </c>
      <c r="L29">
        <v>1</v>
      </c>
      <c r="N29">
        <v>3</v>
      </c>
      <c r="P29">
        <v>2</v>
      </c>
    </row>
    <row r="30" spans="1:17" x14ac:dyDescent="0.2">
      <c r="A30" s="1301" t="s">
        <v>44</v>
      </c>
      <c r="B30">
        <v>16</v>
      </c>
      <c r="C30">
        <v>2</v>
      </c>
      <c r="J30">
        <v>20</v>
      </c>
      <c r="K30">
        <v>2</v>
      </c>
      <c r="N30">
        <v>36</v>
      </c>
      <c r="O30">
        <v>4</v>
      </c>
    </row>
    <row r="31" spans="1:17" x14ac:dyDescent="0.2">
      <c r="A31" s="1301" t="s">
        <v>45</v>
      </c>
      <c r="B31">
        <v>30</v>
      </c>
      <c r="C31">
        <v>1</v>
      </c>
      <c r="D31">
        <v>4</v>
      </c>
      <c r="F31">
        <v>1</v>
      </c>
      <c r="J31">
        <v>37</v>
      </c>
      <c r="K31">
        <v>1</v>
      </c>
      <c r="L31">
        <v>4</v>
      </c>
      <c r="N31">
        <v>68</v>
      </c>
      <c r="O31">
        <v>2</v>
      </c>
      <c r="P31">
        <v>8</v>
      </c>
    </row>
    <row r="32" spans="1:17" x14ac:dyDescent="0.2">
      <c r="A32" s="1301" t="s">
        <v>46</v>
      </c>
      <c r="B32">
        <v>15</v>
      </c>
      <c r="E32">
        <v>1</v>
      </c>
      <c r="F32">
        <v>1</v>
      </c>
      <c r="J32">
        <v>16</v>
      </c>
      <c r="M32">
        <v>1</v>
      </c>
      <c r="N32">
        <v>32</v>
      </c>
      <c r="Q32">
        <v>2</v>
      </c>
    </row>
    <row r="33" spans="1:17" x14ac:dyDescent="0.2">
      <c r="A33" s="1301" t="s">
        <v>47</v>
      </c>
      <c r="B33">
        <v>5</v>
      </c>
      <c r="C33">
        <v>1</v>
      </c>
      <c r="J33">
        <v>5</v>
      </c>
      <c r="K33">
        <v>1</v>
      </c>
      <c r="N33">
        <v>10</v>
      </c>
      <c r="O33">
        <v>2</v>
      </c>
    </row>
    <row r="34" spans="1:17" x14ac:dyDescent="0.2">
      <c r="A34" s="1301" t="s">
        <v>48</v>
      </c>
      <c r="B34">
        <v>14</v>
      </c>
      <c r="C34">
        <v>2</v>
      </c>
      <c r="D34">
        <v>2</v>
      </c>
      <c r="F34">
        <v>3</v>
      </c>
      <c r="H34">
        <v>1</v>
      </c>
      <c r="J34">
        <v>20</v>
      </c>
      <c r="K34">
        <v>4</v>
      </c>
      <c r="L34">
        <v>5</v>
      </c>
      <c r="N34">
        <v>37</v>
      </c>
      <c r="O34">
        <v>6</v>
      </c>
      <c r="P34">
        <v>8</v>
      </c>
    </row>
    <row r="35" spans="1:17" x14ac:dyDescent="0.2">
      <c r="A35" s="1301" t="s">
        <v>49</v>
      </c>
      <c r="B35">
        <v>44</v>
      </c>
      <c r="C35">
        <v>5</v>
      </c>
      <c r="E35">
        <v>2</v>
      </c>
      <c r="F35">
        <v>4</v>
      </c>
      <c r="J35">
        <v>60</v>
      </c>
      <c r="K35">
        <v>6</v>
      </c>
      <c r="L35">
        <v>1</v>
      </c>
      <c r="M35">
        <v>2</v>
      </c>
      <c r="N35">
        <v>108</v>
      </c>
      <c r="O35">
        <v>11</v>
      </c>
      <c r="P35">
        <v>1</v>
      </c>
      <c r="Q35">
        <v>4</v>
      </c>
    </row>
    <row r="36" spans="1:17" x14ac:dyDescent="0.2">
      <c r="A36" s="1301" t="s">
        <v>50</v>
      </c>
      <c r="B36">
        <v>11</v>
      </c>
      <c r="C36">
        <v>6</v>
      </c>
      <c r="D36">
        <v>2</v>
      </c>
      <c r="F36">
        <v>2</v>
      </c>
      <c r="J36">
        <v>15</v>
      </c>
      <c r="K36">
        <v>7</v>
      </c>
      <c r="L36">
        <v>2</v>
      </c>
      <c r="N36">
        <v>28</v>
      </c>
      <c r="O36">
        <v>13</v>
      </c>
      <c r="P36">
        <v>4</v>
      </c>
    </row>
    <row r="37" spans="1:17" x14ac:dyDescent="0.2">
      <c r="A37" s="1301" t="s">
        <v>51</v>
      </c>
      <c r="B37">
        <v>18</v>
      </c>
      <c r="C37">
        <v>1</v>
      </c>
      <c r="E37">
        <v>1</v>
      </c>
      <c r="F37">
        <v>1</v>
      </c>
      <c r="G37">
        <v>2</v>
      </c>
      <c r="J37">
        <v>22</v>
      </c>
      <c r="K37">
        <v>2</v>
      </c>
      <c r="M37">
        <v>1</v>
      </c>
      <c r="N37">
        <v>41</v>
      </c>
      <c r="O37">
        <v>5</v>
      </c>
      <c r="Q37">
        <v>2</v>
      </c>
    </row>
    <row r="38" spans="1:17" x14ac:dyDescent="0.2">
      <c r="A38" s="1301" t="s">
        <v>52</v>
      </c>
      <c r="B38">
        <v>31</v>
      </c>
      <c r="C38">
        <v>6</v>
      </c>
      <c r="D38">
        <v>1</v>
      </c>
      <c r="E38">
        <v>1</v>
      </c>
      <c r="J38">
        <v>32</v>
      </c>
      <c r="K38">
        <v>7</v>
      </c>
      <c r="L38">
        <v>1</v>
      </c>
      <c r="M38">
        <v>1</v>
      </c>
      <c r="N38">
        <v>63</v>
      </c>
      <c r="O38">
        <v>13</v>
      </c>
      <c r="P38">
        <v>2</v>
      </c>
      <c r="Q38">
        <v>2</v>
      </c>
    </row>
    <row r="39" spans="1:17" x14ac:dyDescent="0.2">
      <c r="A39" s="1301" t="s">
        <v>666</v>
      </c>
      <c r="B39">
        <v>737</v>
      </c>
      <c r="C39">
        <v>88</v>
      </c>
      <c r="D39">
        <v>35</v>
      </c>
      <c r="E39">
        <v>19</v>
      </c>
      <c r="F39">
        <v>37</v>
      </c>
      <c r="G39">
        <v>3</v>
      </c>
      <c r="H39">
        <v>3</v>
      </c>
      <c r="I39">
        <v>1</v>
      </c>
      <c r="J39">
        <v>921</v>
      </c>
      <c r="K39">
        <v>117</v>
      </c>
      <c r="L39">
        <v>51</v>
      </c>
      <c r="M39">
        <v>24</v>
      </c>
      <c r="N39">
        <v>1695</v>
      </c>
      <c r="O39">
        <v>208</v>
      </c>
      <c r="P39">
        <v>89</v>
      </c>
      <c r="Q39">
        <v>44</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fitToPage="1"/>
  </sheetPr>
  <dimension ref="A1:J18"/>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7.42578125" bestFit="1" customWidth="1"/>
    <col min="2" max="2" width="13.140625" bestFit="1" customWidth="1"/>
    <col min="3" max="3" width="43.85546875" bestFit="1" customWidth="1"/>
    <col min="4" max="4" width="7.85546875" bestFit="1" customWidth="1"/>
    <col min="5" max="5" width="10.140625" bestFit="1" customWidth="1"/>
    <col min="6" max="7" width="8.140625" bestFit="1" customWidth="1"/>
    <col min="8" max="8" width="7.140625" bestFit="1" customWidth="1"/>
    <col min="9" max="9" width="5" bestFit="1" customWidth="1"/>
    <col min="10" max="10" width="9.85546875" bestFit="1" customWidth="1"/>
  </cols>
  <sheetData>
    <row r="1" spans="1:10" x14ac:dyDescent="0.2"/>
    <row r="4" spans="1:10" x14ac:dyDescent="0.2">
      <c r="A4" s="1606" t="s">
        <v>815</v>
      </c>
      <c r="B4" s="1606" t="s">
        <v>1223</v>
      </c>
      <c r="C4" s="1606" t="s">
        <v>1224</v>
      </c>
      <c r="D4" s="1606" t="s">
        <v>4</v>
      </c>
      <c r="E4" s="1606" t="s">
        <v>1219</v>
      </c>
      <c r="F4" s="1606" t="s">
        <v>1225</v>
      </c>
      <c r="G4" s="1606" t="s">
        <v>1226</v>
      </c>
      <c r="H4" s="1606" t="s">
        <v>180</v>
      </c>
      <c r="I4" s="1606" t="s">
        <v>181</v>
      </c>
      <c r="J4" s="1606" t="s">
        <v>209</v>
      </c>
    </row>
    <row r="5" spans="1:10" x14ac:dyDescent="0.2">
      <c r="A5" s="1607" t="s">
        <v>785</v>
      </c>
      <c r="B5" s="1607">
        <v>1</v>
      </c>
      <c r="C5" s="1607" t="s">
        <v>184</v>
      </c>
      <c r="D5" s="1607" t="s">
        <v>160</v>
      </c>
      <c r="E5" s="1607">
        <v>8</v>
      </c>
      <c r="F5" s="1607">
        <v>2762531</v>
      </c>
      <c r="G5" s="1607">
        <v>2610469</v>
      </c>
      <c r="H5" s="1607">
        <v>5</v>
      </c>
      <c r="I5" s="1607">
        <v>3</v>
      </c>
      <c r="J5" s="1607"/>
    </row>
    <row r="6" spans="1:10" x14ac:dyDescent="0.2">
      <c r="A6" s="1607" t="s">
        <v>785</v>
      </c>
      <c r="B6" s="1607">
        <v>2</v>
      </c>
      <c r="C6" s="1607" t="s">
        <v>788</v>
      </c>
      <c r="D6" s="1607" t="s">
        <v>160</v>
      </c>
      <c r="E6" s="1607">
        <v>9</v>
      </c>
      <c r="F6" s="1607">
        <v>2762531</v>
      </c>
      <c r="G6" s="1607">
        <v>2610469</v>
      </c>
      <c r="H6" s="1607">
        <v>6</v>
      </c>
      <c r="I6" s="1607">
        <v>3</v>
      </c>
      <c r="J6" s="1607"/>
    </row>
    <row r="7" spans="1:10" x14ac:dyDescent="0.2">
      <c r="A7" s="1607" t="s">
        <v>785</v>
      </c>
      <c r="B7" s="1607">
        <v>3</v>
      </c>
      <c r="C7" s="1607" t="s">
        <v>789</v>
      </c>
      <c r="D7" s="1607" t="s">
        <v>160</v>
      </c>
      <c r="E7" s="1607">
        <v>19</v>
      </c>
      <c r="F7" s="1607">
        <v>2762531</v>
      </c>
      <c r="G7" s="1607">
        <v>2610469</v>
      </c>
      <c r="H7" s="1607">
        <v>5</v>
      </c>
      <c r="I7" s="1607">
        <v>14</v>
      </c>
      <c r="J7" s="1607"/>
    </row>
    <row r="8" spans="1:10" x14ac:dyDescent="0.2">
      <c r="A8" s="1607" t="s">
        <v>785</v>
      </c>
      <c r="B8" s="1607">
        <v>6</v>
      </c>
      <c r="C8" s="1607" t="s">
        <v>1222</v>
      </c>
      <c r="D8" s="1607" t="s">
        <v>160</v>
      </c>
      <c r="E8" s="1607">
        <v>1</v>
      </c>
      <c r="F8" s="1607">
        <v>2762531</v>
      </c>
      <c r="G8" s="1607">
        <v>2610469</v>
      </c>
      <c r="H8" s="1607">
        <v>1</v>
      </c>
      <c r="I8" s="1607"/>
      <c r="J8" s="1607"/>
    </row>
    <row r="9" spans="1:10" x14ac:dyDescent="0.2">
      <c r="A9" s="1607" t="s">
        <v>785</v>
      </c>
      <c r="B9" s="1607">
        <v>8</v>
      </c>
      <c r="C9" s="1607" t="s">
        <v>228</v>
      </c>
      <c r="D9" s="1607" t="s">
        <v>160</v>
      </c>
      <c r="E9" s="1607">
        <v>8</v>
      </c>
      <c r="F9" s="1607">
        <v>2762531</v>
      </c>
      <c r="G9" s="1607">
        <v>2610469</v>
      </c>
      <c r="H9" s="1607">
        <v>2</v>
      </c>
      <c r="I9" s="1607">
        <v>5</v>
      </c>
      <c r="J9" s="1607">
        <v>1</v>
      </c>
    </row>
    <row r="10" spans="1:10" x14ac:dyDescent="0.2">
      <c r="A10" s="1607" t="s">
        <v>785</v>
      </c>
      <c r="B10" s="1607">
        <v>1</v>
      </c>
      <c r="C10" s="1607" t="s">
        <v>184</v>
      </c>
      <c r="D10" s="1607" t="s">
        <v>379</v>
      </c>
      <c r="E10" s="1607">
        <v>7</v>
      </c>
      <c r="F10" s="1607">
        <v>2777197</v>
      </c>
      <c r="G10" s="1607">
        <v>2627503</v>
      </c>
      <c r="H10" s="1607">
        <v>2</v>
      </c>
      <c r="I10" s="1607">
        <v>5</v>
      </c>
      <c r="J10" s="1607"/>
    </row>
    <row r="11" spans="1:10" x14ac:dyDescent="0.2">
      <c r="A11" s="1607" t="s">
        <v>785</v>
      </c>
      <c r="B11" s="1607">
        <v>2</v>
      </c>
      <c r="C11" s="1607" t="s">
        <v>788</v>
      </c>
      <c r="D11" s="1607" t="s">
        <v>379</v>
      </c>
      <c r="E11" s="1607">
        <v>6</v>
      </c>
      <c r="F11" s="1607">
        <v>2777197</v>
      </c>
      <c r="G11" s="1607">
        <v>2627503</v>
      </c>
      <c r="H11" s="1607">
        <v>4</v>
      </c>
      <c r="I11" s="1607">
        <v>2</v>
      </c>
      <c r="J11" s="1607"/>
    </row>
    <row r="12" spans="1:10" x14ac:dyDescent="0.2">
      <c r="A12" s="1607" t="s">
        <v>785</v>
      </c>
      <c r="B12" s="1607">
        <v>3</v>
      </c>
      <c r="C12" s="1607" t="s">
        <v>789</v>
      </c>
      <c r="D12" s="1607" t="s">
        <v>379</v>
      </c>
      <c r="E12" s="1607">
        <v>22</v>
      </c>
      <c r="F12" s="1607">
        <v>2777197</v>
      </c>
      <c r="G12" s="1607">
        <v>2627503</v>
      </c>
      <c r="H12" s="1607">
        <v>7</v>
      </c>
      <c r="I12" s="1607">
        <v>15</v>
      </c>
      <c r="J12" s="1607"/>
    </row>
    <row r="13" spans="1:10" x14ac:dyDescent="0.2">
      <c r="A13" s="1607" t="s">
        <v>785</v>
      </c>
      <c r="B13" s="1607">
        <v>8</v>
      </c>
      <c r="C13" s="1607" t="s">
        <v>228</v>
      </c>
      <c r="D13" s="1607" t="s">
        <v>379</v>
      </c>
      <c r="E13" s="1607">
        <v>9</v>
      </c>
      <c r="F13" s="1607">
        <v>2777197</v>
      </c>
      <c r="G13" s="1607">
        <v>2627503</v>
      </c>
      <c r="H13" s="1607">
        <v>3</v>
      </c>
      <c r="I13" s="1607">
        <v>6</v>
      </c>
      <c r="J13" s="1607"/>
    </row>
    <row r="14" spans="1:10" x14ac:dyDescent="0.2">
      <c r="A14" s="1607" t="s">
        <v>785</v>
      </c>
      <c r="B14" s="1607">
        <v>1</v>
      </c>
      <c r="C14" s="1607" t="s">
        <v>184</v>
      </c>
      <c r="D14" s="1607" t="s">
        <v>603</v>
      </c>
      <c r="E14" s="1607">
        <v>15</v>
      </c>
      <c r="F14" s="1607">
        <v>2784500</v>
      </c>
      <c r="G14" s="1607">
        <v>2640300</v>
      </c>
      <c r="H14" s="1607">
        <v>6</v>
      </c>
      <c r="I14" s="1607">
        <v>9</v>
      </c>
      <c r="J14" s="1607"/>
    </row>
    <row r="15" spans="1:10" x14ac:dyDescent="0.2">
      <c r="A15" s="1607" t="s">
        <v>785</v>
      </c>
      <c r="B15" s="1607">
        <v>2</v>
      </c>
      <c r="C15" s="1607" t="s">
        <v>788</v>
      </c>
      <c r="D15" s="1607" t="s">
        <v>603</v>
      </c>
      <c r="E15" s="1607">
        <v>2</v>
      </c>
      <c r="F15" s="1607">
        <v>2784500</v>
      </c>
      <c r="G15" s="1607">
        <v>2640300</v>
      </c>
      <c r="H15" s="1607"/>
      <c r="I15" s="1607">
        <v>2</v>
      </c>
      <c r="J15" s="1607"/>
    </row>
    <row r="16" spans="1:10" x14ac:dyDescent="0.2">
      <c r="A16" s="1607" t="s">
        <v>785</v>
      </c>
      <c r="B16" s="1607">
        <v>3</v>
      </c>
      <c r="C16" s="1607" t="s">
        <v>789</v>
      </c>
      <c r="D16" s="1607" t="s">
        <v>603</v>
      </c>
      <c r="E16" s="1607">
        <v>16</v>
      </c>
      <c r="F16" s="1607">
        <v>2784500</v>
      </c>
      <c r="G16" s="1607">
        <v>2640300</v>
      </c>
      <c r="H16" s="1607">
        <v>9</v>
      </c>
      <c r="I16" s="1607">
        <v>7</v>
      </c>
      <c r="J16" s="1607"/>
    </row>
    <row r="17" spans="1:10" x14ac:dyDescent="0.2">
      <c r="A17" s="1607" t="s">
        <v>785</v>
      </c>
      <c r="B17" s="1607">
        <v>4</v>
      </c>
      <c r="C17" s="1607" t="s">
        <v>194</v>
      </c>
      <c r="D17" s="1607" t="s">
        <v>603</v>
      </c>
      <c r="E17" s="1607">
        <v>1</v>
      </c>
      <c r="F17" s="1607">
        <v>2784500</v>
      </c>
      <c r="G17" s="1607">
        <v>2640300</v>
      </c>
      <c r="H17" s="1607"/>
      <c r="I17" s="1607">
        <v>1</v>
      </c>
      <c r="J17" s="1607"/>
    </row>
    <row r="18" spans="1:10" x14ac:dyDescent="0.2">
      <c r="A18" s="1607" t="s">
        <v>785</v>
      </c>
      <c r="B18" s="1607">
        <v>8</v>
      </c>
      <c r="C18" s="1607" t="s">
        <v>228</v>
      </c>
      <c r="D18" s="1607" t="s">
        <v>603</v>
      </c>
      <c r="E18" s="1607">
        <v>10</v>
      </c>
      <c r="F18" s="1607">
        <v>2784500</v>
      </c>
      <c r="G18" s="1607">
        <v>2640300</v>
      </c>
      <c r="H18" s="1607">
        <v>3</v>
      </c>
      <c r="I18" s="1607">
        <v>7</v>
      </c>
      <c r="J18" s="1607"/>
    </row>
  </sheetData>
  <pageMargins left="0.7" right="0.7" top="0.75" bottom="0.75" header="0.3" footer="0.3"/>
  <pageSetup paperSize="9" fitToHeight="50" orientation="landscape"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fitToPage="1"/>
  </sheetPr>
  <dimension ref="A1:J3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7.42578125" bestFit="1" customWidth="1"/>
    <col min="3" max="3" width="44.85546875" bestFit="1" customWidth="1"/>
    <col min="4" max="4" width="12.7109375" bestFit="1" customWidth="1"/>
    <col min="5" max="6" width="8.140625" bestFit="1" customWidth="1"/>
    <col min="7" max="7" width="7.140625" bestFit="1" customWidth="1"/>
    <col min="8" max="8" width="5" bestFit="1" customWidth="1"/>
    <col min="9" max="9" width="9.85546875" bestFit="1" customWidth="1"/>
    <col min="10" max="10" width="11.7109375" bestFit="1" customWidth="1"/>
  </cols>
  <sheetData>
    <row r="1" spans="1:10" x14ac:dyDescent="0.2"/>
    <row r="4" spans="1:10" x14ac:dyDescent="0.2">
      <c r="A4" s="1606" t="s">
        <v>4</v>
      </c>
      <c r="B4" s="1606" t="s">
        <v>1043</v>
      </c>
      <c r="C4" s="1606" t="s">
        <v>1227</v>
      </c>
      <c r="D4" s="1606" t="s">
        <v>1220</v>
      </c>
      <c r="E4" s="1606" t="s">
        <v>1225</v>
      </c>
      <c r="F4" s="1606" t="s">
        <v>1226</v>
      </c>
      <c r="G4" s="1606" t="s">
        <v>180</v>
      </c>
      <c r="H4" s="1606" t="s">
        <v>181</v>
      </c>
      <c r="I4" s="1606" t="s">
        <v>209</v>
      </c>
      <c r="J4" s="1606" t="s">
        <v>1221</v>
      </c>
    </row>
    <row r="5" spans="1:10" x14ac:dyDescent="0.2">
      <c r="A5" s="1607" t="s">
        <v>160</v>
      </c>
      <c r="B5" s="1607" t="s">
        <v>792</v>
      </c>
      <c r="C5" s="1607" t="s">
        <v>795</v>
      </c>
      <c r="D5" s="1607">
        <v>1</v>
      </c>
      <c r="E5" s="1607">
        <v>2762531</v>
      </c>
      <c r="F5" s="1607">
        <v>2610469</v>
      </c>
      <c r="G5" s="1607"/>
      <c r="H5" s="1607">
        <v>1</v>
      </c>
      <c r="I5" s="1607"/>
      <c r="J5" s="1607"/>
    </row>
    <row r="6" spans="1:10" x14ac:dyDescent="0.2">
      <c r="A6" s="1607" t="s">
        <v>160</v>
      </c>
      <c r="B6" s="1607" t="s">
        <v>792</v>
      </c>
      <c r="C6" s="1607" t="s">
        <v>798</v>
      </c>
      <c r="D6" s="1607">
        <v>7</v>
      </c>
      <c r="E6" s="1607">
        <v>2762531</v>
      </c>
      <c r="F6" s="1607">
        <v>2610469</v>
      </c>
      <c r="G6" s="1607">
        <v>2</v>
      </c>
      <c r="H6" s="1607">
        <v>5</v>
      </c>
      <c r="I6" s="1607"/>
      <c r="J6" s="1607"/>
    </row>
    <row r="7" spans="1:10" x14ac:dyDescent="0.2">
      <c r="A7" s="1607" t="s">
        <v>160</v>
      </c>
      <c r="B7" s="1607" t="s">
        <v>792</v>
      </c>
      <c r="C7" s="1607" t="s">
        <v>800</v>
      </c>
      <c r="D7" s="1607">
        <v>1</v>
      </c>
      <c r="E7" s="1607">
        <v>2762531</v>
      </c>
      <c r="F7" s="1607">
        <v>2610469</v>
      </c>
      <c r="G7" s="1607"/>
      <c r="H7" s="1607">
        <v>1</v>
      </c>
      <c r="I7" s="1607"/>
      <c r="J7" s="1607"/>
    </row>
    <row r="8" spans="1:10" x14ac:dyDescent="0.2">
      <c r="A8" s="1607" t="s">
        <v>160</v>
      </c>
      <c r="B8" s="1607" t="s">
        <v>792</v>
      </c>
      <c r="C8" s="1607" t="s">
        <v>801</v>
      </c>
      <c r="D8" s="1607">
        <v>1</v>
      </c>
      <c r="E8" s="1607">
        <v>2762531</v>
      </c>
      <c r="F8" s="1607">
        <v>2610469</v>
      </c>
      <c r="G8" s="1607"/>
      <c r="H8" s="1607">
        <v>1</v>
      </c>
      <c r="I8" s="1607"/>
      <c r="J8" s="1607"/>
    </row>
    <row r="9" spans="1:10" x14ac:dyDescent="0.2">
      <c r="A9" s="1607" t="s">
        <v>160</v>
      </c>
      <c r="B9" s="1607" t="s">
        <v>785</v>
      </c>
      <c r="C9" s="1607" t="s">
        <v>795</v>
      </c>
      <c r="D9" s="1607">
        <v>156</v>
      </c>
      <c r="E9" s="1607">
        <v>2762531</v>
      </c>
      <c r="F9" s="1607">
        <v>2610469</v>
      </c>
      <c r="G9" s="1607">
        <v>50</v>
      </c>
      <c r="H9" s="1607">
        <v>106</v>
      </c>
      <c r="I9" s="1607"/>
      <c r="J9" s="1607"/>
    </row>
    <row r="10" spans="1:10" x14ac:dyDescent="0.2">
      <c r="A10" s="1607" t="s">
        <v>160</v>
      </c>
      <c r="B10" s="1607" t="s">
        <v>785</v>
      </c>
      <c r="C10" s="1607" t="s">
        <v>796</v>
      </c>
      <c r="D10" s="1607">
        <v>37</v>
      </c>
      <c r="E10" s="1607">
        <v>2762531</v>
      </c>
      <c r="F10" s="1607">
        <v>2610469</v>
      </c>
      <c r="G10" s="1607">
        <v>11</v>
      </c>
      <c r="H10" s="1607">
        <v>26</v>
      </c>
      <c r="I10" s="1607"/>
      <c r="J10" s="1607"/>
    </row>
    <row r="11" spans="1:10" x14ac:dyDescent="0.2">
      <c r="A11" s="1607" t="s">
        <v>160</v>
      </c>
      <c r="B11" s="1607" t="s">
        <v>785</v>
      </c>
      <c r="C11" s="1607" t="s">
        <v>797</v>
      </c>
      <c r="D11" s="1607">
        <v>708</v>
      </c>
      <c r="E11" s="1607">
        <v>2762531</v>
      </c>
      <c r="F11" s="1607">
        <v>2610469</v>
      </c>
      <c r="G11" s="1607">
        <v>304</v>
      </c>
      <c r="H11" s="1607">
        <v>399</v>
      </c>
      <c r="I11" s="1607">
        <v>4</v>
      </c>
      <c r="J11" s="1607">
        <v>1</v>
      </c>
    </row>
    <row r="12" spans="1:10" x14ac:dyDescent="0.2">
      <c r="A12" s="1607" t="s">
        <v>160</v>
      </c>
      <c r="B12" s="1607" t="s">
        <v>785</v>
      </c>
      <c r="C12" s="1607" t="s">
        <v>798</v>
      </c>
      <c r="D12" s="1607">
        <v>60</v>
      </c>
      <c r="E12" s="1607">
        <v>2762531</v>
      </c>
      <c r="F12" s="1607">
        <v>2610469</v>
      </c>
      <c r="G12" s="1607">
        <v>17</v>
      </c>
      <c r="H12" s="1607">
        <v>43</v>
      </c>
      <c r="I12" s="1607"/>
      <c r="J12" s="1607"/>
    </row>
    <row r="13" spans="1:10" x14ac:dyDescent="0.2">
      <c r="A13" s="1607" t="s">
        <v>160</v>
      </c>
      <c r="B13" s="1607" t="s">
        <v>785</v>
      </c>
      <c r="C13" s="1607" t="s">
        <v>799</v>
      </c>
      <c r="D13" s="1607">
        <v>29</v>
      </c>
      <c r="E13" s="1607">
        <v>2762531</v>
      </c>
      <c r="F13" s="1607">
        <v>2610469</v>
      </c>
      <c r="G13" s="1607">
        <v>23</v>
      </c>
      <c r="H13" s="1607">
        <v>6</v>
      </c>
      <c r="I13" s="1607"/>
      <c r="J13" s="1607"/>
    </row>
    <row r="14" spans="1:10" x14ac:dyDescent="0.2">
      <c r="A14" s="1607" t="s">
        <v>160</v>
      </c>
      <c r="B14" s="1607" t="s">
        <v>785</v>
      </c>
      <c r="C14" s="1607" t="s">
        <v>800</v>
      </c>
      <c r="D14" s="1607">
        <v>167</v>
      </c>
      <c r="E14" s="1607">
        <v>2762531</v>
      </c>
      <c r="F14" s="1607">
        <v>2610469</v>
      </c>
      <c r="G14" s="1607">
        <v>83</v>
      </c>
      <c r="H14" s="1607">
        <v>84</v>
      </c>
      <c r="I14" s="1607"/>
      <c r="J14" s="1607"/>
    </row>
    <row r="15" spans="1:10" x14ac:dyDescent="0.2">
      <c r="A15" s="1607" t="s">
        <v>160</v>
      </c>
      <c r="B15" s="1607" t="s">
        <v>785</v>
      </c>
      <c r="C15" s="1607" t="s">
        <v>801</v>
      </c>
      <c r="D15" s="1607">
        <v>109</v>
      </c>
      <c r="E15" s="1607">
        <v>2762531</v>
      </c>
      <c r="F15" s="1607">
        <v>2610469</v>
      </c>
      <c r="G15" s="1607">
        <v>63</v>
      </c>
      <c r="H15" s="1607">
        <v>46</v>
      </c>
      <c r="I15" s="1607"/>
      <c r="J15" s="1607"/>
    </row>
    <row r="16" spans="1:10" x14ac:dyDescent="0.2">
      <c r="A16" s="1607" t="s">
        <v>379</v>
      </c>
      <c r="B16" s="1607" t="s">
        <v>792</v>
      </c>
      <c r="C16" s="1607" t="s">
        <v>798</v>
      </c>
      <c r="D16" s="1607">
        <v>8</v>
      </c>
      <c r="E16" s="1607">
        <v>2777197</v>
      </c>
      <c r="F16" s="1607">
        <v>2627503</v>
      </c>
      <c r="G16" s="1607"/>
      <c r="H16" s="1607">
        <v>8</v>
      </c>
      <c r="I16" s="1607"/>
      <c r="J16" s="1607"/>
    </row>
    <row r="17" spans="1:10" x14ac:dyDescent="0.2">
      <c r="A17" s="1607" t="s">
        <v>379</v>
      </c>
      <c r="B17" s="1607" t="s">
        <v>792</v>
      </c>
      <c r="C17" s="1607" t="s">
        <v>800</v>
      </c>
      <c r="D17" s="1607">
        <v>6</v>
      </c>
      <c r="E17" s="1607">
        <v>2777197</v>
      </c>
      <c r="F17" s="1607">
        <v>2627503</v>
      </c>
      <c r="G17" s="1607"/>
      <c r="H17" s="1607">
        <v>6</v>
      </c>
      <c r="I17" s="1607"/>
      <c r="J17" s="1607"/>
    </row>
    <row r="18" spans="1:10" x14ac:dyDescent="0.2">
      <c r="A18" s="1607" t="s">
        <v>379</v>
      </c>
      <c r="B18" s="1607" t="s">
        <v>792</v>
      </c>
      <c r="C18" s="1607" t="s">
        <v>801</v>
      </c>
      <c r="D18" s="1607">
        <v>4</v>
      </c>
      <c r="E18" s="1607">
        <v>2777197</v>
      </c>
      <c r="F18" s="1607">
        <v>2627503</v>
      </c>
      <c r="G18" s="1607"/>
      <c r="H18" s="1607">
        <v>3</v>
      </c>
      <c r="I18" s="1607">
        <v>1</v>
      </c>
      <c r="J18" s="1607"/>
    </row>
    <row r="19" spans="1:10" x14ac:dyDescent="0.2">
      <c r="A19" s="1607" t="s">
        <v>379</v>
      </c>
      <c r="B19" s="1607" t="s">
        <v>785</v>
      </c>
      <c r="C19" s="1607" t="s">
        <v>795</v>
      </c>
      <c r="D19" s="1607">
        <v>129</v>
      </c>
      <c r="E19" s="1607">
        <v>2777197</v>
      </c>
      <c r="F19" s="1607">
        <v>2627503</v>
      </c>
      <c r="G19" s="1607">
        <v>38</v>
      </c>
      <c r="H19" s="1607">
        <v>91</v>
      </c>
      <c r="I19" s="1607"/>
      <c r="J19" s="1607"/>
    </row>
    <row r="20" spans="1:10" x14ac:dyDescent="0.2">
      <c r="A20" s="1607" t="s">
        <v>379</v>
      </c>
      <c r="B20" s="1607" t="s">
        <v>785</v>
      </c>
      <c r="C20" s="1607" t="s">
        <v>796</v>
      </c>
      <c r="D20" s="1607">
        <v>26</v>
      </c>
      <c r="E20" s="1607">
        <v>2777197</v>
      </c>
      <c r="F20" s="1607">
        <v>2627503</v>
      </c>
      <c r="G20" s="1607">
        <v>7</v>
      </c>
      <c r="H20" s="1607">
        <v>19</v>
      </c>
      <c r="I20" s="1607"/>
      <c r="J20" s="1607"/>
    </row>
    <row r="21" spans="1:10" x14ac:dyDescent="0.2">
      <c r="A21" s="1607" t="s">
        <v>379</v>
      </c>
      <c r="B21" s="1607" t="s">
        <v>785</v>
      </c>
      <c r="C21" s="1607" t="s">
        <v>797</v>
      </c>
      <c r="D21" s="1607">
        <v>752</v>
      </c>
      <c r="E21" s="1607">
        <v>2777197</v>
      </c>
      <c r="F21" s="1607">
        <v>2627503</v>
      </c>
      <c r="G21" s="1607">
        <v>343</v>
      </c>
      <c r="H21" s="1607">
        <v>405</v>
      </c>
      <c r="I21" s="1607">
        <v>4</v>
      </c>
      <c r="J21" s="1607"/>
    </row>
    <row r="22" spans="1:10" x14ac:dyDescent="0.2">
      <c r="A22" s="1607" t="s">
        <v>379</v>
      </c>
      <c r="B22" s="1607" t="s">
        <v>785</v>
      </c>
      <c r="C22" s="1607" t="s">
        <v>798</v>
      </c>
      <c r="D22" s="1607">
        <v>41</v>
      </c>
      <c r="E22" s="1607">
        <v>2777197</v>
      </c>
      <c r="F22" s="1607">
        <v>2627503</v>
      </c>
      <c r="G22" s="1607">
        <v>10</v>
      </c>
      <c r="H22" s="1607">
        <v>31</v>
      </c>
      <c r="I22" s="1607"/>
      <c r="J22" s="1607"/>
    </row>
    <row r="23" spans="1:10" x14ac:dyDescent="0.2">
      <c r="A23" s="1607" t="s">
        <v>379</v>
      </c>
      <c r="B23" s="1607" t="s">
        <v>785</v>
      </c>
      <c r="C23" s="1607" t="s">
        <v>799</v>
      </c>
      <c r="D23" s="1607">
        <v>33</v>
      </c>
      <c r="E23" s="1607">
        <v>2777197</v>
      </c>
      <c r="F23" s="1607">
        <v>2627503</v>
      </c>
      <c r="G23" s="1607">
        <v>20</v>
      </c>
      <c r="H23" s="1607">
        <v>13</v>
      </c>
      <c r="I23" s="1607"/>
      <c r="J23" s="1607"/>
    </row>
    <row r="24" spans="1:10" x14ac:dyDescent="0.2">
      <c r="A24" s="1607" t="s">
        <v>379</v>
      </c>
      <c r="B24" s="1607" t="s">
        <v>785</v>
      </c>
      <c r="C24" s="1607" t="s">
        <v>800</v>
      </c>
      <c r="D24" s="1607">
        <v>132</v>
      </c>
      <c r="E24" s="1607">
        <v>2777197</v>
      </c>
      <c r="F24" s="1607">
        <v>2627503</v>
      </c>
      <c r="G24" s="1607">
        <v>67</v>
      </c>
      <c r="H24" s="1607">
        <v>65</v>
      </c>
      <c r="I24" s="1607"/>
      <c r="J24" s="1607"/>
    </row>
    <row r="25" spans="1:10" x14ac:dyDescent="0.2">
      <c r="A25" s="1607" t="s">
        <v>379</v>
      </c>
      <c r="B25" s="1607" t="s">
        <v>785</v>
      </c>
      <c r="C25" s="1607" t="s">
        <v>801</v>
      </c>
      <c r="D25" s="1607">
        <v>135</v>
      </c>
      <c r="E25" s="1607">
        <v>2777197</v>
      </c>
      <c r="F25" s="1607">
        <v>2627503</v>
      </c>
      <c r="G25" s="1607">
        <v>63</v>
      </c>
      <c r="H25" s="1607">
        <v>71</v>
      </c>
      <c r="I25" s="1607">
        <v>1</v>
      </c>
      <c r="J25" s="1607"/>
    </row>
    <row r="26" spans="1:10" x14ac:dyDescent="0.2">
      <c r="A26" s="1607" t="s">
        <v>603</v>
      </c>
      <c r="B26" s="1607" t="s">
        <v>792</v>
      </c>
      <c r="C26" s="1607" t="s">
        <v>795</v>
      </c>
      <c r="D26" s="1607">
        <v>4</v>
      </c>
      <c r="E26" s="1607">
        <v>2784500</v>
      </c>
      <c r="F26" s="1607">
        <v>2640300</v>
      </c>
      <c r="G26" s="1607"/>
      <c r="H26" s="1607">
        <v>3</v>
      </c>
      <c r="I26" s="1607"/>
      <c r="J26" s="1607">
        <v>1</v>
      </c>
    </row>
    <row r="27" spans="1:10" x14ac:dyDescent="0.2">
      <c r="A27" s="1607" t="s">
        <v>603</v>
      </c>
      <c r="B27" s="1607" t="s">
        <v>792</v>
      </c>
      <c r="C27" s="1607" t="s">
        <v>798</v>
      </c>
      <c r="D27" s="1607">
        <v>13</v>
      </c>
      <c r="E27" s="1607">
        <v>2784500</v>
      </c>
      <c r="F27" s="1607">
        <v>2640300</v>
      </c>
      <c r="G27" s="1607">
        <v>1</v>
      </c>
      <c r="H27" s="1607">
        <v>12</v>
      </c>
      <c r="I27" s="1607"/>
      <c r="J27" s="1607"/>
    </row>
    <row r="28" spans="1:10" x14ac:dyDescent="0.2">
      <c r="A28" s="1607" t="s">
        <v>603</v>
      </c>
      <c r="B28" s="1607" t="s">
        <v>792</v>
      </c>
      <c r="C28" s="1607" t="s">
        <v>800</v>
      </c>
      <c r="D28" s="1607">
        <v>7</v>
      </c>
      <c r="E28" s="1607">
        <v>2784500</v>
      </c>
      <c r="F28" s="1607">
        <v>2640300</v>
      </c>
      <c r="G28" s="1607"/>
      <c r="H28" s="1607">
        <v>6</v>
      </c>
      <c r="I28" s="1607">
        <v>1</v>
      </c>
      <c r="J28" s="1607"/>
    </row>
    <row r="29" spans="1:10" x14ac:dyDescent="0.2">
      <c r="A29" s="1607" t="s">
        <v>603</v>
      </c>
      <c r="B29" s="1607" t="s">
        <v>792</v>
      </c>
      <c r="C29" s="1607" t="s">
        <v>801</v>
      </c>
      <c r="D29" s="1607">
        <v>3</v>
      </c>
      <c r="E29" s="1607">
        <v>2784500</v>
      </c>
      <c r="F29" s="1607">
        <v>2640300</v>
      </c>
      <c r="G29" s="1607"/>
      <c r="H29" s="1607">
        <v>1</v>
      </c>
      <c r="I29" s="1607">
        <v>2</v>
      </c>
      <c r="J29" s="1607"/>
    </row>
    <row r="30" spans="1:10" x14ac:dyDescent="0.2">
      <c r="A30" s="1607" t="s">
        <v>603</v>
      </c>
      <c r="B30" s="1607" t="s">
        <v>785</v>
      </c>
      <c r="C30" s="1607" t="s">
        <v>795</v>
      </c>
      <c r="D30" s="1607">
        <v>114</v>
      </c>
      <c r="E30" s="1607">
        <v>2784500</v>
      </c>
      <c r="F30" s="1607">
        <v>2640300</v>
      </c>
      <c r="G30" s="1607">
        <v>32</v>
      </c>
      <c r="H30" s="1607">
        <v>81</v>
      </c>
      <c r="I30" s="1607">
        <v>1</v>
      </c>
      <c r="J30" s="1607"/>
    </row>
    <row r="31" spans="1:10" x14ac:dyDescent="0.2">
      <c r="A31" s="1607" t="s">
        <v>603</v>
      </c>
      <c r="B31" s="1607" t="s">
        <v>785</v>
      </c>
      <c r="C31" s="1607" t="s">
        <v>796</v>
      </c>
      <c r="D31" s="1607">
        <v>16</v>
      </c>
      <c r="E31" s="1607">
        <v>2784500</v>
      </c>
      <c r="F31" s="1607">
        <v>2640300</v>
      </c>
      <c r="G31" s="1607">
        <v>10</v>
      </c>
      <c r="H31" s="1607">
        <v>6</v>
      </c>
      <c r="I31" s="1607"/>
      <c r="J31" s="1607"/>
    </row>
    <row r="32" spans="1:10" x14ac:dyDescent="0.2">
      <c r="A32" s="1607" t="s">
        <v>603</v>
      </c>
      <c r="B32" s="1607" t="s">
        <v>785</v>
      </c>
      <c r="C32" s="1607" t="s">
        <v>797</v>
      </c>
      <c r="D32" s="1607">
        <v>659</v>
      </c>
      <c r="E32" s="1607">
        <v>2784500</v>
      </c>
      <c r="F32" s="1607">
        <v>2640300</v>
      </c>
      <c r="G32" s="1607">
        <v>306</v>
      </c>
      <c r="H32" s="1607">
        <v>345</v>
      </c>
      <c r="I32" s="1607">
        <v>8</v>
      </c>
      <c r="J32" s="1607"/>
    </row>
    <row r="33" spans="1:10" x14ac:dyDescent="0.2">
      <c r="A33" s="1607" t="s">
        <v>603</v>
      </c>
      <c r="B33" s="1607" t="s">
        <v>785</v>
      </c>
      <c r="C33" s="1607" t="s">
        <v>798</v>
      </c>
      <c r="D33" s="1607">
        <v>35</v>
      </c>
      <c r="E33" s="1607">
        <v>2784500</v>
      </c>
      <c r="F33" s="1607">
        <v>2640300</v>
      </c>
      <c r="G33" s="1607">
        <v>15</v>
      </c>
      <c r="H33" s="1607">
        <v>20</v>
      </c>
      <c r="I33" s="1607"/>
      <c r="J33" s="1607"/>
    </row>
    <row r="34" spans="1:10" x14ac:dyDescent="0.2">
      <c r="A34" s="1607" t="s">
        <v>603</v>
      </c>
      <c r="B34" s="1607" t="s">
        <v>785</v>
      </c>
      <c r="C34" s="1607" t="s">
        <v>799</v>
      </c>
      <c r="D34" s="1607">
        <v>17</v>
      </c>
      <c r="E34" s="1607">
        <v>2784500</v>
      </c>
      <c r="F34" s="1607">
        <v>2640300</v>
      </c>
      <c r="G34" s="1607">
        <v>8</v>
      </c>
      <c r="H34" s="1607">
        <v>9</v>
      </c>
      <c r="I34" s="1607"/>
      <c r="J34" s="1607"/>
    </row>
    <row r="35" spans="1:10" x14ac:dyDescent="0.2">
      <c r="A35" s="1607" t="s">
        <v>603</v>
      </c>
      <c r="B35" s="1607" t="s">
        <v>785</v>
      </c>
      <c r="C35" s="1607" t="s">
        <v>800</v>
      </c>
      <c r="D35" s="1607">
        <v>141</v>
      </c>
      <c r="E35" s="1607">
        <v>2784500</v>
      </c>
      <c r="F35" s="1607">
        <v>2640300</v>
      </c>
      <c r="G35" s="1607">
        <v>67</v>
      </c>
      <c r="H35" s="1607">
        <v>74</v>
      </c>
      <c r="I35" s="1607"/>
      <c r="J35" s="1607"/>
    </row>
    <row r="36" spans="1:10" x14ac:dyDescent="0.2">
      <c r="A36" s="1607" t="s">
        <v>603</v>
      </c>
      <c r="B36" s="1607" t="s">
        <v>785</v>
      </c>
      <c r="C36" s="1607" t="s">
        <v>801</v>
      </c>
      <c r="D36" s="1607">
        <v>104</v>
      </c>
      <c r="E36" s="1607">
        <v>2784500</v>
      </c>
      <c r="F36" s="1607">
        <v>2640300</v>
      </c>
      <c r="G36" s="1607">
        <v>41</v>
      </c>
      <c r="H36" s="1607">
        <v>61</v>
      </c>
      <c r="I36" s="1607">
        <v>1</v>
      </c>
      <c r="J36" s="1607">
        <v>1</v>
      </c>
    </row>
  </sheetData>
  <pageMargins left="0.7" right="0.7" top="0.75" bottom="0.75" header="0.3" footer="0.3"/>
  <pageSetup paperSize="9" fitToHeight="50" orientation="landscape" r:id="rId1"/>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fitToPage="1"/>
  </sheetPr>
  <dimension ref="A1:M1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45.7109375" customWidth="1"/>
    <col min="3" max="3" width="12.7109375" bestFit="1" customWidth="1"/>
    <col min="4" max="5" width="8.140625" bestFit="1" customWidth="1"/>
    <col min="6" max="6" width="19.7109375" bestFit="1" customWidth="1"/>
    <col min="7" max="7" width="17.5703125" bestFit="1" customWidth="1"/>
    <col min="8" max="8" width="22.42578125" bestFit="1" customWidth="1"/>
    <col min="9" max="9" width="24.42578125" bestFit="1" customWidth="1"/>
    <col min="10" max="10" width="23.7109375" bestFit="1" customWidth="1"/>
    <col min="11" max="11" width="21.5703125" bestFit="1" customWidth="1"/>
    <col min="12" max="12" width="26.42578125" bestFit="1" customWidth="1"/>
    <col min="13" max="13" width="28.42578125" bestFit="1" customWidth="1"/>
  </cols>
  <sheetData>
    <row r="1" spans="1:13" x14ac:dyDescent="0.2"/>
    <row r="4" spans="1:13" x14ac:dyDescent="0.2">
      <c r="A4" s="1606" t="s">
        <v>4</v>
      </c>
      <c r="B4" s="1606" t="s">
        <v>1228</v>
      </c>
      <c r="C4" s="1606" t="s">
        <v>1220</v>
      </c>
      <c r="D4" s="1606" t="s">
        <v>1225</v>
      </c>
      <c r="E4" s="1606" t="s">
        <v>1226</v>
      </c>
      <c r="F4" s="1606" t="s">
        <v>1229</v>
      </c>
      <c r="G4" s="1606" t="s">
        <v>1230</v>
      </c>
      <c r="H4" s="1606" t="s">
        <v>1231</v>
      </c>
      <c r="I4" s="1606" t="s">
        <v>1232</v>
      </c>
      <c r="J4" s="1606" t="s">
        <v>1233</v>
      </c>
      <c r="K4" s="1606" t="s">
        <v>1234</v>
      </c>
      <c r="L4" s="1606" t="s">
        <v>1235</v>
      </c>
      <c r="M4" s="1606" t="s">
        <v>1236</v>
      </c>
    </row>
    <row r="5" spans="1:13" x14ac:dyDescent="0.2">
      <c r="A5" s="1607" t="s">
        <v>160</v>
      </c>
      <c r="B5" s="1607" t="s">
        <v>803</v>
      </c>
      <c r="C5" s="1607">
        <v>263</v>
      </c>
      <c r="D5" s="1607">
        <v>2762531</v>
      </c>
      <c r="E5" s="1607">
        <v>2610469</v>
      </c>
      <c r="F5" s="1607">
        <v>1</v>
      </c>
      <c r="G5" s="1607">
        <v>1</v>
      </c>
      <c r="H5" s="1607"/>
      <c r="I5" s="1607"/>
      <c r="J5" s="1607">
        <v>112</v>
      </c>
      <c r="K5" s="1607">
        <v>146</v>
      </c>
      <c r="L5" s="1607">
        <v>2</v>
      </c>
      <c r="M5" s="1607">
        <v>1</v>
      </c>
    </row>
    <row r="6" spans="1:13" x14ac:dyDescent="0.2">
      <c r="A6" s="1607" t="s">
        <v>160</v>
      </c>
      <c r="B6" s="1607" t="s">
        <v>804</v>
      </c>
      <c r="C6" s="1607">
        <v>512</v>
      </c>
      <c r="D6" s="1607">
        <v>2762531</v>
      </c>
      <c r="E6" s="1607">
        <v>2610469</v>
      </c>
      <c r="F6" s="1607"/>
      <c r="G6" s="1607">
        <v>1</v>
      </c>
      <c r="H6" s="1607"/>
      <c r="I6" s="1607"/>
      <c r="J6" s="1607">
        <v>257</v>
      </c>
      <c r="K6" s="1607">
        <v>252</v>
      </c>
      <c r="L6" s="1607">
        <v>2</v>
      </c>
      <c r="M6" s="1607"/>
    </row>
    <row r="7" spans="1:13" x14ac:dyDescent="0.2">
      <c r="A7" s="1607" t="s">
        <v>160</v>
      </c>
      <c r="B7" s="1607" t="s">
        <v>805</v>
      </c>
      <c r="C7" s="1607">
        <v>431</v>
      </c>
      <c r="D7" s="1607">
        <v>2762531</v>
      </c>
      <c r="E7" s="1607">
        <v>2610469</v>
      </c>
      <c r="F7" s="1607">
        <v>1</v>
      </c>
      <c r="G7" s="1607">
        <v>6</v>
      </c>
      <c r="H7" s="1607"/>
      <c r="I7" s="1607"/>
      <c r="J7" s="1607">
        <v>160</v>
      </c>
      <c r="K7" s="1607">
        <v>264</v>
      </c>
      <c r="L7" s="1607"/>
      <c r="M7" s="1607"/>
    </row>
    <row r="8" spans="1:13" x14ac:dyDescent="0.2">
      <c r="A8" s="1607" t="s">
        <v>160</v>
      </c>
      <c r="B8" s="1607" t="s">
        <v>806</v>
      </c>
      <c r="C8" s="1607">
        <v>70</v>
      </c>
      <c r="D8" s="1607">
        <v>2762531</v>
      </c>
      <c r="E8" s="1607">
        <v>2610469</v>
      </c>
      <c r="F8" s="1607"/>
      <c r="G8" s="1607"/>
      <c r="H8" s="1607"/>
      <c r="I8" s="1607"/>
      <c r="J8" s="1607">
        <v>22</v>
      </c>
      <c r="K8" s="1607">
        <v>48</v>
      </c>
      <c r="L8" s="1607"/>
      <c r="M8" s="1607"/>
    </row>
    <row r="9" spans="1:13" x14ac:dyDescent="0.2">
      <c r="A9" s="1607" t="s">
        <v>379</v>
      </c>
      <c r="B9" s="1607" t="s">
        <v>803</v>
      </c>
      <c r="C9" s="1607">
        <v>330</v>
      </c>
      <c r="D9" s="1607">
        <v>2777197</v>
      </c>
      <c r="E9" s="1607">
        <v>2627503</v>
      </c>
      <c r="F9" s="1607"/>
      <c r="G9" s="1607">
        <v>4</v>
      </c>
      <c r="H9" s="1607"/>
      <c r="I9" s="1607"/>
      <c r="J9" s="1607">
        <v>138</v>
      </c>
      <c r="K9" s="1607">
        <v>187</v>
      </c>
      <c r="L9" s="1607">
        <v>1</v>
      </c>
      <c r="M9" s="1607"/>
    </row>
    <row r="10" spans="1:13" x14ac:dyDescent="0.2">
      <c r="A10" s="1607" t="s">
        <v>379</v>
      </c>
      <c r="B10" s="1607" t="s">
        <v>804</v>
      </c>
      <c r="C10" s="1607">
        <v>487</v>
      </c>
      <c r="D10" s="1607">
        <v>2777197</v>
      </c>
      <c r="E10" s="1607">
        <v>2627503</v>
      </c>
      <c r="F10" s="1607"/>
      <c r="G10" s="1607">
        <v>2</v>
      </c>
      <c r="H10" s="1607">
        <v>1</v>
      </c>
      <c r="I10" s="1607"/>
      <c r="J10" s="1607">
        <v>227</v>
      </c>
      <c r="K10" s="1607">
        <v>253</v>
      </c>
      <c r="L10" s="1607">
        <v>4</v>
      </c>
      <c r="M10" s="1607"/>
    </row>
    <row r="11" spans="1:13" x14ac:dyDescent="0.2">
      <c r="A11" s="1607" t="s">
        <v>379</v>
      </c>
      <c r="B11" s="1607" t="s">
        <v>805</v>
      </c>
      <c r="C11" s="1607">
        <v>384</v>
      </c>
      <c r="D11" s="1607">
        <v>2777197</v>
      </c>
      <c r="E11" s="1607">
        <v>2627503</v>
      </c>
      <c r="F11" s="1607"/>
      <c r="G11" s="1607">
        <v>9</v>
      </c>
      <c r="H11" s="1607"/>
      <c r="I11" s="1607"/>
      <c r="J11" s="1607">
        <v>165</v>
      </c>
      <c r="K11" s="1607">
        <v>210</v>
      </c>
      <c r="L11" s="1607"/>
      <c r="M11" s="1607"/>
    </row>
    <row r="12" spans="1:13" x14ac:dyDescent="0.2">
      <c r="A12" s="1607" t="s">
        <v>379</v>
      </c>
      <c r="B12" s="1607" t="s">
        <v>806</v>
      </c>
      <c r="C12" s="1607">
        <v>65</v>
      </c>
      <c r="D12" s="1607">
        <v>2777197</v>
      </c>
      <c r="E12" s="1607">
        <v>2627503</v>
      </c>
      <c r="F12" s="1607"/>
      <c r="G12" s="1607">
        <v>2</v>
      </c>
      <c r="H12" s="1607"/>
      <c r="I12" s="1607"/>
      <c r="J12" s="1607">
        <v>18</v>
      </c>
      <c r="K12" s="1607">
        <v>45</v>
      </c>
      <c r="L12" s="1607"/>
      <c r="M12" s="1607"/>
    </row>
    <row r="13" spans="1:13" x14ac:dyDescent="0.2">
      <c r="A13" s="1607" t="s">
        <v>603</v>
      </c>
      <c r="B13" s="1607" t="s">
        <v>803</v>
      </c>
      <c r="C13" s="1607">
        <v>234</v>
      </c>
      <c r="D13" s="1607">
        <v>2784500</v>
      </c>
      <c r="E13" s="1607">
        <v>2640300</v>
      </c>
      <c r="F13" s="1607">
        <v>1</v>
      </c>
      <c r="G13" s="1607">
        <v>5</v>
      </c>
      <c r="H13" s="1607">
        <v>3</v>
      </c>
      <c r="I13" s="1607"/>
      <c r="J13" s="1607">
        <v>100</v>
      </c>
      <c r="K13" s="1607">
        <v>123</v>
      </c>
      <c r="L13" s="1607">
        <v>1</v>
      </c>
      <c r="M13" s="1607">
        <v>1</v>
      </c>
    </row>
    <row r="14" spans="1:13" x14ac:dyDescent="0.2">
      <c r="A14" s="1607" t="s">
        <v>603</v>
      </c>
      <c r="B14" s="1607" t="s">
        <v>804</v>
      </c>
      <c r="C14" s="1607">
        <v>462</v>
      </c>
      <c r="D14" s="1607">
        <v>2784500</v>
      </c>
      <c r="E14" s="1607">
        <v>2640300</v>
      </c>
      <c r="F14" s="1607"/>
      <c r="G14" s="1607">
        <v>6</v>
      </c>
      <c r="H14" s="1607"/>
      <c r="I14" s="1607">
        <v>1</v>
      </c>
      <c r="J14" s="1607">
        <v>207</v>
      </c>
      <c r="K14" s="1607">
        <v>241</v>
      </c>
      <c r="L14" s="1607">
        <v>7</v>
      </c>
      <c r="M14" s="1607"/>
    </row>
    <row r="15" spans="1:13" x14ac:dyDescent="0.2">
      <c r="A15" s="1607" t="s">
        <v>603</v>
      </c>
      <c r="B15" s="1607" t="s">
        <v>805</v>
      </c>
      <c r="C15" s="1607">
        <v>354</v>
      </c>
      <c r="D15" s="1607">
        <v>2784500</v>
      </c>
      <c r="E15" s="1607">
        <v>2640300</v>
      </c>
      <c r="F15" s="1607"/>
      <c r="G15" s="1607">
        <v>10</v>
      </c>
      <c r="H15" s="1607"/>
      <c r="I15" s="1607"/>
      <c r="J15" s="1607">
        <v>157</v>
      </c>
      <c r="K15" s="1607">
        <v>185</v>
      </c>
      <c r="L15" s="1607">
        <v>2</v>
      </c>
      <c r="M15" s="1607"/>
    </row>
    <row r="16" spans="1:13" x14ac:dyDescent="0.2">
      <c r="A16" s="1607" t="s">
        <v>603</v>
      </c>
      <c r="B16" s="1607" t="s">
        <v>806</v>
      </c>
      <c r="C16" s="1607">
        <v>63</v>
      </c>
      <c r="D16" s="1607">
        <v>2784500</v>
      </c>
      <c r="E16" s="1607">
        <v>2640300</v>
      </c>
      <c r="F16" s="1607"/>
      <c r="G16" s="1607">
        <v>1</v>
      </c>
      <c r="H16" s="1607"/>
      <c r="I16" s="1607"/>
      <c r="J16" s="1607">
        <v>15</v>
      </c>
      <c r="K16" s="1607">
        <v>47</v>
      </c>
      <c r="L16" s="1607"/>
      <c r="M16" s="1607"/>
    </row>
  </sheetData>
  <pageMargins left="0.7" right="0.7" top="0.75" bottom="0.75" header="0.3" footer="0.3"/>
  <pageSetup paperSize="9" fitToHeight="50" orientation="landscape" r:id="rId1"/>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fitToPage="1"/>
  </sheetPr>
  <dimension ref="A1:E7"/>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32" bestFit="1" customWidth="1"/>
    <col min="3" max="3" width="21.5703125" bestFit="1" customWidth="1"/>
    <col min="4" max="4" width="45.140625" bestFit="1" customWidth="1"/>
    <col min="5" max="5" width="45.7109375" customWidth="1"/>
  </cols>
  <sheetData>
    <row r="1" spans="1:5" x14ac:dyDescent="0.2"/>
    <row r="4" spans="1:5" x14ac:dyDescent="0.2">
      <c r="A4" s="1606" t="s">
        <v>4</v>
      </c>
      <c r="B4" s="1606" t="s">
        <v>803</v>
      </c>
      <c r="C4" s="1606" t="s">
        <v>804</v>
      </c>
      <c r="D4" s="1606" t="s">
        <v>805</v>
      </c>
      <c r="E4" s="1606" t="s">
        <v>806</v>
      </c>
    </row>
    <row r="5" spans="1:5" x14ac:dyDescent="0.2">
      <c r="A5" s="1607" t="s">
        <v>160</v>
      </c>
      <c r="B5" s="1607">
        <v>263</v>
      </c>
      <c r="C5" s="1607">
        <v>512</v>
      </c>
      <c r="D5" s="1607">
        <v>431</v>
      </c>
      <c r="E5" s="1607">
        <v>70</v>
      </c>
    </row>
    <row r="6" spans="1:5" x14ac:dyDescent="0.2">
      <c r="A6" s="1607" t="s">
        <v>379</v>
      </c>
      <c r="B6" s="1607">
        <v>330</v>
      </c>
      <c r="C6" s="1607">
        <v>487</v>
      </c>
      <c r="D6" s="1607">
        <v>384</v>
      </c>
      <c r="E6" s="1607">
        <v>65</v>
      </c>
    </row>
    <row r="7" spans="1:5" x14ac:dyDescent="0.2">
      <c r="A7" s="1607" t="s">
        <v>603</v>
      </c>
      <c r="B7" s="1607">
        <v>234</v>
      </c>
      <c r="C7" s="1607">
        <v>462</v>
      </c>
      <c r="D7" s="1607">
        <v>354</v>
      </c>
      <c r="E7" s="1607">
        <v>63</v>
      </c>
    </row>
  </sheetData>
  <pageMargins left="0.7" right="0.7" top="0.75" bottom="0.75" header="0.3" footer="0.3"/>
  <pageSetup paperSize="9" fitToHeight="50" orientation="landscape"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fitToPage="1"/>
  </sheetPr>
  <dimension ref="A1:F7"/>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2.7109375" bestFit="1" customWidth="1"/>
    <col min="3" max="3" width="32" bestFit="1" customWidth="1"/>
    <col min="4" max="4" width="21.5703125" bestFit="1" customWidth="1"/>
    <col min="5" max="5" width="45.140625" bestFit="1" customWidth="1"/>
    <col min="6" max="6" width="45.7109375" customWidth="1"/>
  </cols>
  <sheetData>
    <row r="1" spans="1:6" x14ac:dyDescent="0.2"/>
    <row r="4" spans="1:6" x14ac:dyDescent="0.2">
      <c r="A4" s="1606" t="s">
        <v>4</v>
      </c>
      <c r="B4" s="1606" t="s">
        <v>1220</v>
      </c>
      <c r="C4" s="1606" t="s">
        <v>803</v>
      </c>
      <c r="D4" s="1606" t="s">
        <v>804</v>
      </c>
      <c r="E4" s="1606" t="s">
        <v>805</v>
      </c>
      <c r="F4" s="1606" t="s">
        <v>806</v>
      </c>
    </row>
    <row r="5" spans="1:6" x14ac:dyDescent="0.2">
      <c r="A5" s="1607" t="s">
        <v>160</v>
      </c>
      <c r="B5" s="1607">
        <v>1063</v>
      </c>
      <c r="C5" s="1607">
        <v>238</v>
      </c>
      <c r="D5" s="1607">
        <v>447</v>
      </c>
      <c r="E5" s="1607">
        <v>330</v>
      </c>
      <c r="F5" s="1607">
        <v>48</v>
      </c>
    </row>
    <row r="6" spans="1:6" x14ac:dyDescent="0.2">
      <c r="A6" s="1607" t="s">
        <v>379</v>
      </c>
      <c r="B6" s="1607">
        <v>1115</v>
      </c>
      <c r="C6" s="1607">
        <v>301</v>
      </c>
      <c r="D6" s="1607">
        <v>440</v>
      </c>
      <c r="E6" s="1607">
        <v>321</v>
      </c>
      <c r="F6" s="1607">
        <v>53</v>
      </c>
    </row>
    <row r="7" spans="1:6" x14ac:dyDescent="0.2">
      <c r="A7" s="1607" t="s">
        <v>603</v>
      </c>
      <c r="B7" s="1607">
        <v>921</v>
      </c>
      <c r="C7" s="1607">
        <v>184</v>
      </c>
      <c r="D7" s="1607">
        <v>392</v>
      </c>
      <c r="E7" s="1607">
        <v>304</v>
      </c>
      <c r="F7" s="1607">
        <v>41</v>
      </c>
    </row>
  </sheetData>
  <pageMargins left="0.7" right="0.7" top="0.75" bottom="0.75" header="0.3" footer="0.3"/>
  <pageSetup paperSize="9" fitToHeight="50" orientation="landscape" r:id="rId1"/>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fitToPage="1"/>
  </sheetPr>
  <dimension ref="A1:I44"/>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customWidth="1"/>
    <col min="2" max="2" width="17.42578125" bestFit="1" customWidth="1"/>
    <col min="3" max="3" width="13.140625" bestFit="1" customWidth="1"/>
    <col min="4" max="4" width="43.85546875" customWidth="1"/>
    <col min="5" max="5" width="10.140625" bestFit="1" customWidth="1"/>
    <col min="6" max="6" width="5.85546875" bestFit="1" customWidth="1"/>
    <col min="7" max="7" width="5.85546875" customWidth="1"/>
    <col min="8" max="8" width="4.140625" customWidth="1"/>
    <col min="9" max="9" width="8.85546875" customWidth="1"/>
  </cols>
  <sheetData>
    <row r="1" spans="1:8" x14ac:dyDescent="0.2"/>
    <row r="4" spans="1:8" x14ac:dyDescent="0.2">
      <c r="A4" s="1606" t="s">
        <v>815</v>
      </c>
      <c r="B4" s="1606" t="s">
        <v>4</v>
      </c>
      <c r="C4" s="1606" t="s">
        <v>1219</v>
      </c>
      <c r="D4" s="1606" t="s">
        <v>201</v>
      </c>
      <c r="E4" s="1606" t="s">
        <v>202</v>
      </c>
      <c r="F4" s="1606" t="s">
        <v>203</v>
      </c>
      <c r="G4" s="1606" t="s">
        <v>190</v>
      </c>
    </row>
    <row r="5" spans="1:8" x14ac:dyDescent="0.2">
      <c r="A5" s="1607" t="s">
        <v>785</v>
      </c>
      <c r="B5" s="1607" t="s">
        <v>160</v>
      </c>
      <c r="C5" s="1607">
        <v>45</v>
      </c>
      <c r="D5" s="1607">
        <v>3</v>
      </c>
      <c r="E5" s="1607">
        <v>18</v>
      </c>
      <c r="F5" s="1607">
        <v>23</v>
      </c>
      <c r="G5" s="1607">
        <v>1</v>
      </c>
    </row>
    <row r="6" spans="1:8" x14ac:dyDescent="0.2">
      <c r="A6" s="1607" t="s">
        <v>785</v>
      </c>
      <c r="B6" s="1607" t="s">
        <v>379</v>
      </c>
      <c r="C6" s="1607">
        <v>44</v>
      </c>
      <c r="D6" s="1607">
        <v>4</v>
      </c>
      <c r="E6" s="1607">
        <v>22</v>
      </c>
      <c r="F6" s="1607">
        <v>18</v>
      </c>
      <c r="G6" s="1607"/>
    </row>
    <row r="7" spans="1:8" x14ac:dyDescent="0.2">
      <c r="A7" s="1607" t="s">
        <v>785</v>
      </c>
      <c r="B7" s="1607" t="s">
        <v>603</v>
      </c>
      <c r="C7" s="1607">
        <v>44</v>
      </c>
      <c r="D7" s="1607">
        <v>3</v>
      </c>
      <c r="E7" s="1607">
        <v>18</v>
      </c>
      <c r="F7" s="1607">
        <v>23</v>
      </c>
      <c r="G7" s="1607"/>
    </row>
    <row r="15" spans="1:8" x14ac:dyDescent="0.2">
      <c r="A15" s="1608" t="s">
        <v>1043</v>
      </c>
      <c r="B15" s="1608" t="s">
        <v>4</v>
      </c>
      <c r="C15" s="1608" t="s">
        <v>1220</v>
      </c>
      <c r="D15" s="1608" t="s">
        <v>200</v>
      </c>
      <c r="E15" s="1608" t="s">
        <v>201</v>
      </c>
      <c r="F15" s="1608" t="s">
        <v>202</v>
      </c>
      <c r="G15" s="1608" t="s">
        <v>203</v>
      </c>
      <c r="H15" s="1608" t="s">
        <v>190</v>
      </c>
    </row>
    <row r="16" spans="1:8" x14ac:dyDescent="0.2">
      <c r="A16" s="1607" t="s">
        <v>792</v>
      </c>
      <c r="B16" s="1607" t="s">
        <v>160</v>
      </c>
      <c r="C16" s="1607">
        <v>10</v>
      </c>
      <c r="D16" s="1607"/>
      <c r="E16" s="1607">
        <v>2</v>
      </c>
      <c r="F16" s="1607">
        <v>7</v>
      </c>
      <c r="G16" s="1607"/>
      <c r="H16" s="1607">
        <v>1</v>
      </c>
    </row>
    <row r="17" spans="1:9" x14ac:dyDescent="0.2">
      <c r="A17" s="1607" t="s">
        <v>792</v>
      </c>
      <c r="B17" s="1607" t="s">
        <v>379</v>
      </c>
      <c r="C17" s="1607">
        <v>18</v>
      </c>
      <c r="D17" s="1607"/>
      <c r="E17" s="1607">
        <v>1</v>
      </c>
      <c r="F17" s="1607">
        <v>13</v>
      </c>
      <c r="G17" s="1607"/>
      <c r="H17" s="1607">
        <v>4</v>
      </c>
    </row>
    <row r="18" spans="1:9" x14ac:dyDescent="0.2">
      <c r="A18" s="1607" t="s">
        <v>792</v>
      </c>
      <c r="B18" s="1607" t="s">
        <v>603</v>
      </c>
      <c r="C18" s="1607">
        <v>27</v>
      </c>
      <c r="D18" s="1607"/>
      <c r="E18" s="1607">
        <v>4</v>
      </c>
      <c r="F18" s="1607">
        <v>13</v>
      </c>
      <c r="G18" s="1607">
        <v>1</v>
      </c>
      <c r="H18" s="1607">
        <v>9</v>
      </c>
    </row>
    <row r="19" spans="1:9" x14ac:dyDescent="0.2">
      <c r="A19" s="1607" t="s">
        <v>785</v>
      </c>
      <c r="B19" s="1607" t="s">
        <v>160</v>
      </c>
      <c r="C19" s="1607">
        <v>1266</v>
      </c>
      <c r="D19" s="1607">
        <v>77</v>
      </c>
      <c r="E19" s="1607">
        <v>204</v>
      </c>
      <c r="F19" s="1607">
        <v>542</v>
      </c>
      <c r="G19" s="1607">
        <v>381</v>
      </c>
      <c r="H19" s="1607">
        <v>62</v>
      </c>
    </row>
    <row r="20" spans="1:9" x14ac:dyDescent="0.2">
      <c r="A20" s="1607" t="s">
        <v>785</v>
      </c>
      <c r="B20" s="1607" t="s">
        <v>379</v>
      </c>
      <c r="C20" s="1607">
        <v>1248</v>
      </c>
      <c r="D20" s="1607">
        <v>78</v>
      </c>
      <c r="E20" s="1607">
        <v>201</v>
      </c>
      <c r="F20" s="1607">
        <v>574</v>
      </c>
      <c r="G20" s="1607">
        <v>334</v>
      </c>
      <c r="H20" s="1607">
        <v>61</v>
      </c>
    </row>
    <row r="21" spans="1:9" x14ac:dyDescent="0.2">
      <c r="A21" s="1607" t="s">
        <v>785</v>
      </c>
      <c r="B21" s="1607" t="s">
        <v>603</v>
      </c>
      <c r="C21" s="1607">
        <v>1086</v>
      </c>
      <c r="D21" s="1607">
        <v>87</v>
      </c>
      <c r="E21" s="1607">
        <v>182</v>
      </c>
      <c r="F21" s="1607">
        <v>475</v>
      </c>
      <c r="G21" s="1607">
        <v>270</v>
      </c>
      <c r="H21" s="1607">
        <v>72</v>
      </c>
    </row>
    <row r="30" spans="1:9" x14ac:dyDescent="0.2">
      <c r="A30" s="1608" t="s">
        <v>4</v>
      </c>
      <c r="B30" s="1608" t="s">
        <v>815</v>
      </c>
      <c r="C30" s="1608" t="s">
        <v>1223</v>
      </c>
      <c r="D30" s="1608" t="s">
        <v>1224</v>
      </c>
      <c r="E30" s="1608" t="s">
        <v>1219</v>
      </c>
      <c r="F30" s="1608" t="s">
        <v>201</v>
      </c>
      <c r="G30" s="1608" t="s">
        <v>202</v>
      </c>
      <c r="H30" s="1608" t="s">
        <v>203</v>
      </c>
      <c r="I30" s="1608" t="s">
        <v>190</v>
      </c>
    </row>
    <row r="31" spans="1:9" x14ac:dyDescent="0.2">
      <c r="A31" s="1607" t="s">
        <v>160</v>
      </c>
      <c r="B31" s="1607" t="s">
        <v>785</v>
      </c>
      <c r="C31" s="1607">
        <v>1</v>
      </c>
      <c r="D31" s="1607" t="s">
        <v>184</v>
      </c>
      <c r="E31" s="1607">
        <v>8</v>
      </c>
      <c r="F31" s="1607"/>
      <c r="G31" s="1607">
        <v>3</v>
      </c>
      <c r="H31" s="1607">
        <v>5</v>
      </c>
      <c r="I31" s="1607"/>
    </row>
    <row r="32" spans="1:9" x14ac:dyDescent="0.2">
      <c r="A32" s="1607" t="s">
        <v>160</v>
      </c>
      <c r="B32" s="1607" t="s">
        <v>785</v>
      </c>
      <c r="C32" s="1607">
        <v>2</v>
      </c>
      <c r="D32" s="1607" t="s">
        <v>788</v>
      </c>
      <c r="E32" s="1607">
        <v>9</v>
      </c>
      <c r="F32" s="1607"/>
      <c r="G32" s="1607">
        <v>4</v>
      </c>
      <c r="H32" s="1607">
        <v>5</v>
      </c>
      <c r="I32" s="1607"/>
    </row>
    <row r="33" spans="1:9" x14ac:dyDescent="0.2">
      <c r="A33" s="1607" t="s">
        <v>160</v>
      </c>
      <c r="B33" s="1607" t="s">
        <v>785</v>
      </c>
      <c r="C33" s="1607">
        <v>3</v>
      </c>
      <c r="D33" s="1607" t="s">
        <v>789</v>
      </c>
      <c r="E33" s="1607">
        <v>19</v>
      </c>
      <c r="F33" s="1607">
        <v>2</v>
      </c>
      <c r="G33" s="1607">
        <v>8</v>
      </c>
      <c r="H33" s="1607">
        <v>9</v>
      </c>
      <c r="I33" s="1607"/>
    </row>
    <row r="34" spans="1:9" x14ac:dyDescent="0.2">
      <c r="A34" s="1607" t="s">
        <v>160</v>
      </c>
      <c r="B34" s="1607" t="s">
        <v>785</v>
      </c>
      <c r="C34" s="1607">
        <v>6</v>
      </c>
      <c r="D34" s="1607" t="s">
        <v>1222</v>
      </c>
      <c r="E34" s="1607">
        <v>1</v>
      </c>
      <c r="F34" s="1607"/>
      <c r="G34" s="1607"/>
      <c r="H34" s="1607">
        <v>1</v>
      </c>
      <c r="I34" s="1607"/>
    </row>
    <row r="35" spans="1:9" x14ac:dyDescent="0.2">
      <c r="A35" s="1607" t="s">
        <v>160</v>
      </c>
      <c r="B35" s="1607" t="s">
        <v>785</v>
      </c>
      <c r="C35" s="1607">
        <v>8</v>
      </c>
      <c r="D35" s="1607" t="s">
        <v>228</v>
      </c>
      <c r="E35" s="1607">
        <v>8</v>
      </c>
      <c r="F35" s="1607">
        <v>1</v>
      </c>
      <c r="G35" s="1607">
        <v>3</v>
      </c>
      <c r="H35" s="1607">
        <v>3</v>
      </c>
      <c r="I35" s="1607">
        <v>1</v>
      </c>
    </row>
    <row r="36" spans="1:9" x14ac:dyDescent="0.2">
      <c r="A36" s="1607" t="s">
        <v>379</v>
      </c>
      <c r="B36" s="1607" t="s">
        <v>785</v>
      </c>
      <c r="C36" s="1607">
        <v>1</v>
      </c>
      <c r="D36" s="1607" t="s">
        <v>184</v>
      </c>
      <c r="E36" s="1607">
        <v>7</v>
      </c>
      <c r="F36" s="1607"/>
      <c r="G36" s="1607">
        <v>5</v>
      </c>
      <c r="H36" s="1607">
        <v>2</v>
      </c>
      <c r="I36" s="1607"/>
    </row>
    <row r="37" spans="1:9" x14ac:dyDescent="0.2">
      <c r="A37" s="1607" t="s">
        <v>379</v>
      </c>
      <c r="B37" s="1607" t="s">
        <v>785</v>
      </c>
      <c r="C37" s="1607">
        <v>2</v>
      </c>
      <c r="D37" s="1607" t="s">
        <v>788</v>
      </c>
      <c r="E37" s="1607">
        <v>6</v>
      </c>
      <c r="F37" s="1607">
        <v>1</v>
      </c>
      <c r="G37" s="1607">
        <v>3</v>
      </c>
      <c r="H37" s="1607">
        <v>2</v>
      </c>
      <c r="I37" s="1607"/>
    </row>
    <row r="38" spans="1:9" x14ac:dyDescent="0.2">
      <c r="A38" s="1607" t="s">
        <v>379</v>
      </c>
      <c r="B38" s="1607" t="s">
        <v>785</v>
      </c>
      <c r="C38" s="1607">
        <v>3</v>
      </c>
      <c r="D38" s="1607" t="s">
        <v>789</v>
      </c>
      <c r="E38" s="1607">
        <v>22</v>
      </c>
      <c r="F38" s="1607">
        <v>3</v>
      </c>
      <c r="G38" s="1607">
        <v>9</v>
      </c>
      <c r="H38" s="1607">
        <v>10</v>
      </c>
      <c r="I38" s="1607"/>
    </row>
    <row r="39" spans="1:9" x14ac:dyDescent="0.2">
      <c r="A39" s="1607" t="s">
        <v>379</v>
      </c>
      <c r="B39" s="1607" t="s">
        <v>785</v>
      </c>
      <c r="C39" s="1607">
        <v>8</v>
      </c>
      <c r="D39" s="1607" t="s">
        <v>228</v>
      </c>
      <c r="E39" s="1607">
        <v>9</v>
      </c>
      <c r="F39" s="1607"/>
      <c r="G39" s="1607">
        <v>5</v>
      </c>
      <c r="H39" s="1607">
        <v>4</v>
      </c>
      <c r="I39" s="1607"/>
    </row>
    <row r="40" spans="1:9" x14ac:dyDescent="0.2">
      <c r="A40" s="1607" t="s">
        <v>603</v>
      </c>
      <c r="B40" s="1607" t="s">
        <v>785</v>
      </c>
      <c r="C40" s="1607">
        <v>1</v>
      </c>
      <c r="D40" s="1607" t="s">
        <v>184</v>
      </c>
      <c r="E40" s="1607">
        <v>15</v>
      </c>
      <c r="F40" s="1607">
        <v>1</v>
      </c>
      <c r="G40" s="1607">
        <v>4</v>
      </c>
      <c r="H40" s="1607">
        <v>10</v>
      </c>
      <c r="I40" s="1607"/>
    </row>
    <row r="41" spans="1:9" x14ac:dyDescent="0.2">
      <c r="A41" s="1607" t="s">
        <v>603</v>
      </c>
      <c r="B41" s="1607" t="s">
        <v>785</v>
      </c>
      <c r="C41" s="1607">
        <v>2</v>
      </c>
      <c r="D41" s="1607" t="s">
        <v>788</v>
      </c>
      <c r="E41" s="1607">
        <v>2</v>
      </c>
      <c r="F41" s="1607"/>
      <c r="G41" s="1607"/>
      <c r="H41" s="1607">
        <v>2</v>
      </c>
      <c r="I41" s="1607"/>
    </row>
    <row r="42" spans="1:9" x14ac:dyDescent="0.2">
      <c r="A42" s="1607" t="s">
        <v>603</v>
      </c>
      <c r="B42" s="1607" t="s">
        <v>785</v>
      </c>
      <c r="C42" s="1607">
        <v>3</v>
      </c>
      <c r="D42" s="1607" t="s">
        <v>789</v>
      </c>
      <c r="E42" s="1607">
        <v>16</v>
      </c>
      <c r="F42" s="1607">
        <v>2</v>
      </c>
      <c r="G42" s="1607">
        <v>6</v>
      </c>
      <c r="H42" s="1607">
        <v>8</v>
      </c>
      <c r="I42" s="1607"/>
    </row>
    <row r="43" spans="1:9" x14ac:dyDescent="0.2">
      <c r="A43" s="1607" t="s">
        <v>603</v>
      </c>
      <c r="B43" s="1607" t="s">
        <v>785</v>
      </c>
      <c r="C43" s="1607">
        <v>4</v>
      </c>
      <c r="D43" s="1607" t="s">
        <v>194</v>
      </c>
      <c r="E43" s="1607">
        <v>1</v>
      </c>
      <c r="F43" s="1607"/>
      <c r="G43" s="1607">
        <v>1</v>
      </c>
      <c r="H43" s="1607"/>
      <c r="I43" s="1607"/>
    </row>
    <row r="44" spans="1:9" x14ac:dyDescent="0.2">
      <c r="A44" s="1607" t="s">
        <v>603</v>
      </c>
      <c r="B44" s="1607" t="s">
        <v>785</v>
      </c>
      <c r="C44" s="1607">
        <v>8</v>
      </c>
      <c r="D44" s="1607" t="s">
        <v>228</v>
      </c>
      <c r="E44" s="1607">
        <v>10</v>
      </c>
      <c r="F44" s="1607"/>
      <c r="G44" s="1607">
        <v>7</v>
      </c>
      <c r="H44" s="1607">
        <v>3</v>
      </c>
      <c r="I44" s="1607"/>
    </row>
  </sheetData>
  <pageMargins left="0.7" right="0.7" top="0.75" bottom="0.75" header="0.3" footer="0.3"/>
  <pageSetup paperSize="9" fitToHeight="50" orientation="landscape" r:id="rId1"/>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fitToPage="1"/>
  </sheetPr>
  <dimension ref="A1:I3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7.42578125" bestFit="1" customWidth="1"/>
    <col min="3" max="3" width="44.85546875" bestFit="1" customWidth="1"/>
    <col min="4" max="4" width="12.7109375" bestFit="1" customWidth="1"/>
    <col min="5" max="5" width="4.85546875" bestFit="1" customWidth="1"/>
    <col min="6" max="7" width="5.85546875" bestFit="1" customWidth="1"/>
    <col min="8" max="8" width="4.140625" bestFit="1" customWidth="1"/>
    <col min="9" max="9" width="8.85546875" bestFit="1" customWidth="1"/>
  </cols>
  <sheetData>
    <row r="1" spans="1:9" x14ac:dyDescent="0.2"/>
    <row r="4" spans="1:9" x14ac:dyDescent="0.2">
      <c r="A4" s="1606" t="s">
        <v>4</v>
      </c>
      <c r="B4" s="1606" t="s">
        <v>1043</v>
      </c>
      <c r="C4" s="1606" t="s">
        <v>1227</v>
      </c>
      <c r="D4" s="1606" t="s">
        <v>1220</v>
      </c>
      <c r="E4" s="1606" t="s">
        <v>200</v>
      </c>
      <c r="F4" s="1606" t="s">
        <v>201</v>
      </c>
      <c r="G4" s="1606" t="s">
        <v>202</v>
      </c>
      <c r="H4" s="1606" t="s">
        <v>203</v>
      </c>
      <c r="I4" s="1606" t="s">
        <v>190</v>
      </c>
    </row>
    <row r="5" spans="1:9" x14ac:dyDescent="0.2">
      <c r="A5" s="1607" t="s">
        <v>160</v>
      </c>
      <c r="B5" s="1607" t="s">
        <v>792</v>
      </c>
      <c r="C5" s="1607" t="s">
        <v>795</v>
      </c>
      <c r="D5" s="1607">
        <v>1</v>
      </c>
      <c r="E5" s="1607"/>
      <c r="F5" s="1607">
        <v>1</v>
      </c>
      <c r="G5" s="1607"/>
      <c r="H5" s="1607"/>
      <c r="I5" s="1607"/>
    </row>
    <row r="6" spans="1:9" x14ac:dyDescent="0.2">
      <c r="A6" s="1607" t="s">
        <v>160</v>
      </c>
      <c r="B6" s="1607" t="s">
        <v>792</v>
      </c>
      <c r="C6" s="1607" t="s">
        <v>798</v>
      </c>
      <c r="D6" s="1607">
        <v>7</v>
      </c>
      <c r="E6" s="1607"/>
      <c r="F6" s="1607">
        <v>1</v>
      </c>
      <c r="G6" s="1607">
        <v>5</v>
      </c>
      <c r="H6" s="1607"/>
      <c r="I6" s="1607">
        <v>1</v>
      </c>
    </row>
    <row r="7" spans="1:9" x14ac:dyDescent="0.2">
      <c r="A7" s="1607" t="s">
        <v>160</v>
      </c>
      <c r="B7" s="1607" t="s">
        <v>792</v>
      </c>
      <c r="C7" s="1607" t="s">
        <v>800</v>
      </c>
      <c r="D7" s="1607">
        <v>1</v>
      </c>
      <c r="E7" s="1607"/>
      <c r="F7" s="1607"/>
      <c r="G7" s="1607">
        <v>1</v>
      </c>
      <c r="H7" s="1607"/>
      <c r="I7" s="1607"/>
    </row>
    <row r="8" spans="1:9" x14ac:dyDescent="0.2">
      <c r="A8" s="1607" t="s">
        <v>160</v>
      </c>
      <c r="B8" s="1607" t="s">
        <v>792</v>
      </c>
      <c r="C8" s="1607" t="s">
        <v>801</v>
      </c>
      <c r="D8" s="1607">
        <v>1</v>
      </c>
      <c r="E8" s="1607"/>
      <c r="F8" s="1607"/>
      <c r="G8" s="1607">
        <v>1</v>
      </c>
      <c r="H8" s="1607"/>
      <c r="I8" s="1607"/>
    </row>
    <row r="9" spans="1:9" x14ac:dyDescent="0.2">
      <c r="A9" s="1607" t="s">
        <v>160</v>
      </c>
      <c r="B9" s="1607" t="s">
        <v>785</v>
      </c>
      <c r="C9" s="1607" t="s">
        <v>795</v>
      </c>
      <c r="D9" s="1607">
        <v>156</v>
      </c>
      <c r="E9" s="1607">
        <v>14</v>
      </c>
      <c r="F9" s="1607">
        <v>34</v>
      </c>
      <c r="G9" s="1607">
        <v>68</v>
      </c>
      <c r="H9" s="1607">
        <v>35</v>
      </c>
      <c r="I9" s="1607">
        <v>5</v>
      </c>
    </row>
    <row r="10" spans="1:9" x14ac:dyDescent="0.2">
      <c r="A10" s="1607" t="s">
        <v>160</v>
      </c>
      <c r="B10" s="1607" t="s">
        <v>785</v>
      </c>
      <c r="C10" s="1607" t="s">
        <v>796</v>
      </c>
      <c r="D10" s="1607">
        <v>37</v>
      </c>
      <c r="E10" s="1607"/>
      <c r="F10" s="1607">
        <v>8</v>
      </c>
      <c r="G10" s="1607">
        <v>19</v>
      </c>
      <c r="H10" s="1607">
        <v>7</v>
      </c>
      <c r="I10" s="1607">
        <v>3</v>
      </c>
    </row>
    <row r="11" spans="1:9" x14ac:dyDescent="0.2">
      <c r="A11" s="1607" t="s">
        <v>160</v>
      </c>
      <c r="B11" s="1607" t="s">
        <v>785</v>
      </c>
      <c r="C11" s="1607" t="s">
        <v>797</v>
      </c>
      <c r="D11" s="1607">
        <v>708</v>
      </c>
      <c r="E11" s="1607">
        <v>46</v>
      </c>
      <c r="F11" s="1607">
        <v>102</v>
      </c>
      <c r="G11" s="1607">
        <v>303</v>
      </c>
      <c r="H11" s="1607">
        <v>221</v>
      </c>
      <c r="I11" s="1607">
        <v>36</v>
      </c>
    </row>
    <row r="12" spans="1:9" x14ac:dyDescent="0.2">
      <c r="A12" s="1607" t="s">
        <v>160</v>
      </c>
      <c r="B12" s="1607" t="s">
        <v>785</v>
      </c>
      <c r="C12" s="1607" t="s">
        <v>798</v>
      </c>
      <c r="D12" s="1607">
        <v>60</v>
      </c>
      <c r="E12" s="1607">
        <v>4</v>
      </c>
      <c r="F12" s="1607">
        <v>13</v>
      </c>
      <c r="G12" s="1607">
        <v>28</v>
      </c>
      <c r="H12" s="1607">
        <v>11</v>
      </c>
      <c r="I12" s="1607">
        <v>4</v>
      </c>
    </row>
    <row r="13" spans="1:9" x14ac:dyDescent="0.2">
      <c r="A13" s="1607" t="s">
        <v>160</v>
      </c>
      <c r="B13" s="1607" t="s">
        <v>785</v>
      </c>
      <c r="C13" s="1607" t="s">
        <v>799</v>
      </c>
      <c r="D13" s="1607">
        <v>29</v>
      </c>
      <c r="E13" s="1607">
        <v>1</v>
      </c>
      <c r="F13" s="1607">
        <v>2</v>
      </c>
      <c r="G13" s="1607">
        <v>14</v>
      </c>
      <c r="H13" s="1607">
        <v>9</v>
      </c>
      <c r="I13" s="1607">
        <v>3</v>
      </c>
    </row>
    <row r="14" spans="1:9" x14ac:dyDescent="0.2">
      <c r="A14" s="1607" t="s">
        <v>160</v>
      </c>
      <c r="B14" s="1607" t="s">
        <v>785</v>
      </c>
      <c r="C14" s="1607" t="s">
        <v>800</v>
      </c>
      <c r="D14" s="1607">
        <v>167</v>
      </c>
      <c r="E14" s="1607">
        <v>2</v>
      </c>
      <c r="F14" s="1607">
        <v>21</v>
      </c>
      <c r="G14" s="1607">
        <v>73</v>
      </c>
      <c r="H14" s="1607">
        <v>67</v>
      </c>
      <c r="I14" s="1607">
        <v>4</v>
      </c>
    </row>
    <row r="15" spans="1:9" x14ac:dyDescent="0.2">
      <c r="A15" s="1607" t="s">
        <v>160</v>
      </c>
      <c r="B15" s="1607" t="s">
        <v>785</v>
      </c>
      <c r="C15" s="1607" t="s">
        <v>801</v>
      </c>
      <c r="D15" s="1607">
        <v>109</v>
      </c>
      <c r="E15" s="1607">
        <v>10</v>
      </c>
      <c r="F15" s="1607">
        <v>24</v>
      </c>
      <c r="G15" s="1607">
        <v>37</v>
      </c>
      <c r="H15" s="1607">
        <v>31</v>
      </c>
      <c r="I15" s="1607">
        <v>7</v>
      </c>
    </row>
    <row r="16" spans="1:9" x14ac:dyDescent="0.2">
      <c r="A16" s="1607" t="s">
        <v>379</v>
      </c>
      <c r="B16" s="1607" t="s">
        <v>792</v>
      </c>
      <c r="C16" s="1607" t="s">
        <v>798</v>
      </c>
      <c r="D16" s="1607">
        <v>8</v>
      </c>
      <c r="E16" s="1607"/>
      <c r="F16" s="1607"/>
      <c r="G16" s="1607">
        <v>6</v>
      </c>
      <c r="H16" s="1607"/>
      <c r="I16" s="1607">
        <v>2</v>
      </c>
    </row>
    <row r="17" spans="1:9" x14ac:dyDescent="0.2">
      <c r="A17" s="1607" t="s">
        <v>379</v>
      </c>
      <c r="B17" s="1607" t="s">
        <v>792</v>
      </c>
      <c r="C17" s="1607" t="s">
        <v>800</v>
      </c>
      <c r="D17" s="1607">
        <v>6</v>
      </c>
      <c r="E17" s="1607"/>
      <c r="F17" s="1607">
        <v>1</v>
      </c>
      <c r="G17" s="1607">
        <v>4</v>
      </c>
      <c r="H17" s="1607"/>
      <c r="I17" s="1607">
        <v>1</v>
      </c>
    </row>
    <row r="18" spans="1:9" x14ac:dyDescent="0.2">
      <c r="A18" s="1607" t="s">
        <v>379</v>
      </c>
      <c r="B18" s="1607" t="s">
        <v>792</v>
      </c>
      <c r="C18" s="1607" t="s">
        <v>801</v>
      </c>
      <c r="D18" s="1607">
        <v>4</v>
      </c>
      <c r="E18" s="1607"/>
      <c r="F18" s="1607"/>
      <c r="G18" s="1607">
        <v>3</v>
      </c>
      <c r="H18" s="1607"/>
      <c r="I18" s="1607">
        <v>1</v>
      </c>
    </row>
    <row r="19" spans="1:9" x14ac:dyDescent="0.2">
      <c r="A19" s="1607" t="s">
        <v>379</v>
      </c>
      <c r="B19" s="1607" t="s">
        <v>785</v>
      </c>
      <c r="C19" s="1607" t="s">
        <v>795</v>
      </c>
      <c r="D19" s="1607">
        <v>129</v>
      </c>
      <c r="E19" s="1607">
        <v>5</v>
      </c>
      <c r="F19" s="1607">
        <v>25</v>
      </c>
      <c r="G19" s="1607">
        <v>72</v>
      </c>
      <c r="H19" s="1607">
        <v>22</v>
      </c>
      <c r="I19" s="1607">
        <v>5</v>
      </c>
    </row>
    <row r="20" spans="1:9" x14ac:dyDescent="0.2">
      <c r="A20" s="1607" t="s">
        <v>379</v>
      </c>
      <c r="B20" s="1607" t="s">
        <v>785</v>
      </c>
      <c r="C20" s="1607" t="s">
        <v>796</v>
      </c>
      <c r="D20" s="1607">
        <v>26</v>
      </c>
      <c r="E20" s="1607"/>
      <c r="F20" s="1607">
        <v>4</v>
      </c>
      <c r="G20" s="1607">
        <v>15</v>
      </c>
      <c r="H20" s="1607">
        <v>7</v>
      </c>
      <c r="I20" s="1607"/>
    </row>
    <row r="21" spans="1:9" x14ac:dyDescent="0.2">
      <c r="A21" s="1607" t="s">
        <v>379</v>
      </c>
      <c r="B21" s="1607" t="s">
        <v>785</v>
      </c>
      <c r="C21" s="1607" t="s">
        <v>797</v>
      </c>
      <c r="D21" s="1607">
        <v>752</v>
      </c>
      <c r="E21" s="1607">
        <v>54</v>
      </c>
      <c r="F21" s="1607">
        <v>122</v>
      </c>
      <c r="G21" s="1607">
        <v>349</v>
      </c>
      <c r="H21" s="1607">
        <v>190</v>
      </c>
      <c r="I21" s="1607">
        <v>37</v>
      </c>
    </row>
    <row r="22" spans="1:9" x14ac:dyDescent="0.2">
      <c r="A22" s="1607" t="s">
        <v>379</v>
      </c>
      <c r="B22" s="1607" t="s">
        <v>785</v>
      </c>
      <c r="C22" s="1607" t="s">
        <v>798</v>
      </c>
      <c r="D22" s="1607">
        <v>41</v>
      </c>
      <c r="E22" s="1607">
        <v>3</v>
      </c>
      <c r="F22" s="1607">
        <v>9</v>
      </c>
      <c r="G22" s="1607">
        <v>19</v>
      </c>
      <c r="H22" s="1607">
        <v>7</v>
      </c>
      <c r="I22" s="1607">
        <v>3</v>
      </c>
    </row>
    <row r="23" spans="1:9" x14ac:dyDescent="0.2">
      <c r="A23" s="1607" t="s">
        <v>379</v>
      </c>
      <c r="B23" s="1607" t="s">
        <v>785</v>
      </c>
      <c r="C23" s="1607" t="s">
        <v>799</v>
      </c>
      <c r="D23" s="1607">
        <v>33</v>
      </c>
      <c r="E23" s="1607">
        <v>2</v>
      </c>
      <c r="F23" s="1607">
        <v>5</v>
      </c>
      <c r="G23" s="1607">
        <v>12</v>
      </c>
      <c r="H23" s="1607">
        <v>12</v>
      </c>
      <c r="I23" s="1607">
        <v>2</v>
      </c>
    </row>
    <row r="24" spans="1:9" x14ac:dyDescent="0.2">
      <c r="A24" s="1607" t="s">
        <v>379</v>
      </c>
      <c r="B24" s="1607" t="s">
        <v>785</v>
      </c>
      <c r="C24" s="1607" t="s">
        <v>800</v>
      </c>
      <c r="D24" s="1607">
        <v>132</v>
      </c>
      <c r="E24" s="1607">
        <v>5</v>
      </c>
      <c r="F24" s="1607">
        <v>15</v>
      </c>
      <c r="G24" s="1607">
        <v>49</v>
      </c>
      <c r="H24" s="1607">
        <v>56</v>
      </c>
      <c r="I24" s="1607">
        <v>7</v>
      </c>
    </row>
    <row r="25" spans="1:9" x14ac:dyDescent="0.2">
      <c r="A25" s="1607" t="s">
        <v>379</v>
      </c>
      <c r="B25" s="1607" t="s">
        <v>785</v>
      </c>
      <c r="C25" s="1607" t="s">
        <v>801</v>
      </c>
      <c r="D25" s="1607">
        <v>135</v>
      </c>
      <c r="E25" s="1607">
        <v>9</v>
      </c>
      <c r="F25" s="1607">
        <v>21</v>
      </c>
      <c r="G25" s="1607">
        <v>58</v>
      </c>
      <c r="H25" s="1607">
        <v>40</v>
      </c>
      <c r="I25" s="1607">
        <v>7</v>
      </c>
    </row>
    <row r="26" spans="1:9" x14ac:dyDescent="0.2">
      <c r="A26" s="1607" t="s">
        <v>603</v>
      </c>
      <c r="B26" s="1607" t="s">
        <v>792</v>
      </c>
      <c r="C26" s="1607" t="s">
        <v>795</v>
      </c>
      <c r="D26" s="1607">
        <v>4</v>
      </c>
      <c r="E26" s="1607"/>
      <c r="F26" s="1607">
        <v>2</v>
      </c>
      <c r="G26" s="1607">
        <v>1</v>
      </c>
      <c r="H26" s="1607"/>
      <c r="I26" s="1607">
        <v>1</v>
      </c>
    </row>
    <row r="27" spans="1:9" x14ac:dyDescent="0.2">
      <c r="A27" s="1607" t="s">
        <v>603</v>
      </c>
      <c r="B27" s="1607" t="s">
        <v>792</v>
      </c>
      <c r="C27" s="1607" t="s">
        <v>798</v>
      </c>
      <c r="D27" s="1607">
        <v>13</v>
      </c>
      <c r="E27" s="1607"/>
      <c r="F27" s="1607">
        <v>1</v>
      </c>
      <c r="G27" s="1607">
        <v>6</v>
      </c>
      <c r="H27" s="1607">
        <v>1</v>
      </c>
      <c r="I27" s="1607">
        <v>5</v>
      </c>
    </row>
    <row r="28" spans="1:9" x14ac:dyDescent="0.2">
      <c r="A28" s="1607" t="s">
        <v>603</v>
      </c>
      <c r="B28" s="1607" t="s">
        <v>792</v>
      </c>
      <c r="C28" s="1607" t="s">
        <v>800</v>
      </c>
      <c r="D28" s="1607">
        <v>7</v>
      </c>
      <c r="E28" s="1607"/>
      <c r="F28" s="1607">
        <v>1</v>
      </c>
      <c r="G28" s="1607">
        <v>5</v>
      </c>
      <c r="H28" s="1607"/>
      <c r="I28" s="1607">
        <v>1</v>
      </c>
    </row>
    <row r="29" spans="1:9" x14ac:dyDescent="0.2">
      <c r="A29" s="1607" t="s">
        <v>603</v>
      </c>
      <c r="B29" s="1607" t="s">
        <v>792</v>
      </c>
      <c r="C29" s="1607" t="s">
        <v>801</v>
      </c>
      <c r="D29" s="1607">
        <v>3</v>
      </c>
      <c r="E29" s="1607"/>
      <c r="F29" s="1607"/>
      <c r="G29" s="1607">
        <v>1</v>
      </c>
      <c r="H29" s="1607"/>
      <c r="I29" s="1607">
        <v>2</v>
      </c>
    </row>
    <row r="30" spans="1:9" x14ac:dyDescent="0.2">
      <c r="A30" s="1607" t="s">
        <v>603</v>
      </c>
      <c r="B30" s="1607" t="s">
        <v>785</v>
      </c>
      <c r="C30" s="1607" t="s">
        <v>795</v>
      </c>
      <c r="D30" s="1607">
        <v>114</v>
      </c>
      <c r="E30" s="1607">
        <v>5</v>
      </c>
      <c r="F30" s="1607">
        <v>29</v>
      </c>
      <c r="G30" s="1607">
        <v>61</v>
      </c>
      <c r="H30" s="1607">
        <v>14</v>
      </c>
      <c r="I30" s="1607">
        <v>5</v>
      </c>
    </row>
    <row r="31" spans="1:9" x14ac:dyDescent="0.2">
      <c r="A31" s="1607" t="s">
        <v>603</v>
      </c>
      <c r="B31" s="1607" t="s">
        <v>785</v>
      </c>
      <c r="C31" s="1607" t="s">
        <v>796</v>
      </c>
      <c r="D31" s="1607">
        <v>16</v>
      </c>
      <c r="E31" s="1607">
        <v>1</v>
      </c>
      <c r="F31" s="1607">
        <v>1</v>
      </c>
      <c r="G31" s="1607">
        <v>8</v>
      </c>
      <c r="H31" s="1607">
        <v>6</v>
      </c>
      <c r="I31" s="1607"/>
    </row>
    <row r="32" spans="1:9" x14ac:dyDescent="0.2">
      <c r="A32" s="1607" t="s">
        <v>603</v>
      </c>
      <c r="B32" s="1607" t="s">
        <v>785</v>
      </c>
      <c r="C32" s="1607" t="s">
        <v>797</v>
      </c>
      <c r="D32" s="1607">
        <v>659</v>
      </c>
      <c r="E32" s="1607">
        <v>61</v>
      </c>
      <c r="F32" s="1607">
        <v>102</v>
      </c>
      <c r="G32" s="1607">
        <v>278</v>
      </c>
      <c r="H32" s="1607">
        <v>164</v>
      </c>
      <c r="I32" s="1607">
        <v>54</v>
      </c>
    </row>
    <row r="33" spans="1:9" x14ac:dyDescent="0.2">
      <c r="A33" s="1607" t="s">
        <v>603</v>
      </c>
      <c r="B33" s="1607" t="s">
        <v>785</v>
      </c>
      <c r="C33" s="1607" t="s">
        <v>798</v>
      </c>
      <c r="D33" s="1607">
        <v>35</v>
      </c>
      <c r="E33" s="1607">
        <v>2</v>
      </c>
      <c r="F33" s="1607">
        <v>10</v>
      </c>
      <c r="G33" s="1607">
        <v>16</v>
      </c>
      <c r="H33" s="1607">
        <v>7</v>
      </c>
      <c r="I33" s="1607"/>
    </row>
    <row r="34" spans="1:9" x14ac:dyDescent="0.2">
      <c r="A34" s="1607" t="s">
        <v>603</v>
      </c>
      <c r="B34" s="1607" t="s">
        <v>785</v>
      </c>
      <c r="C34" s="1607" t="s">
        <v>799</v>
      </c>
      <c r="D34" s="1607">
        <v>17</v>
      </c>
      <c r="E34" s="1607"/>
      <c r="F34" s="1607">
        <v>4</v>
      </c>
      <c r="G34" s="1607">
        <v>7</v>
      </c>
      <c r="H34" s="1607">
        <v>4</v>
      </c>
      <c r="I34" s="1607">
        <v>2</v>
      </c>
    </row>
    <row r="35" spans="1:9" x14ac:dyDescent="0.2">
      <c r="A35" s="1607" t="s">
        <v>603</v>
      </c>
      <c r="B35" s="1607" t="s">
        <v>785</v>
      </c>
      <c r="C35" s="1607" t="s">
        <v>800</v>
      </c>
      <c r="D35" s="1607">
        <v>141</v>
      </c>
      <c r="E35" s="1607">
        <v>4</v>
      </c>
      <c r="F35" s="1607">
        <v>19</v>
      </c>
      <c r="G35" s="1607">
        <v>63</v>
      </c>
      <c r="H35" s="1607">
        <v>47</v>
      </c>
      <c r="I35" s="1607">
        <v>8</v>
      </c>
    </row>
    <row r="36" spans="1:9" x14ac:dyDescent="0.2">
      <c r="A36" s="1607" t="s">
        <v>603</v>
      </c>
      <c r="B36" s="1607" t="s">
        <v>785</v>
      </c>
      <c r="C36" s="1607" t="s">
        <v>801</v>
      </c>
      <c r="D36" s="1607">
        <v>104</v>
      </c>
      <c r="E36" s="1607">
        <v>14</v>
      </c>
      <c r="F36" s="1607">
        <v>17</v>
      </c>
      <c r="G36" s="1607">
        <v>42</v>
      </c>
      <c r="H36" s="1607">
        <v>28</v>
      </c>
      <c r="I36" s="1607">
        <v>3</v>
      </c>
    </row>
  </sheetData>
  <pageMargins left="0.7" right="0.7" top="0.75" bottom="0.75" header="0.3" footer="0.3"/>
  <pageSetup paperSize="9" fitToHeight="50" orientation="landscape" r:id="rId1"/>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fitToPage="1"/>
  </sheetPr>
  <dimension ref="A1:L1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45.7109375" customWidth="1"/>
    <col min="3" max="3" width="12.7109375" bestFit="1" customWidth="1"/>
    <col min="4" max="5" width="18.140625" bestFit="1" customWidth="1"/>
    <col min="6" max="6" width="16.5703125" bestFit="1" customWidth="1"/>
    <col min="7" max="7" width="21.140625" bestFit="1" customWidth="1"/>
    <col min="8" max="8" width="21" bestFit="1" customWidth="1"/>
    <col min="9" max="10" width="22.140625" bestFit="1" customWidth="1"/>
    <col min="11" max="11" width="20.5703125" bestFit="1" customWidth="1"/>
    <col min="12" max="12" width="25.140625" bestFit="1" customWidth="1"/>
  </cols>
  <sheetData>
    <row r="1" spans="1:12" x14ac:dyDescent="0.2"/>
    <row r="4" spans="1:12" x14ac:dyDescent="0.2">
      <c r="A4" s="1606" t="s">
        <v>4</v>
      </c>
      <c r="B4" s="1606" t="s">
        <v>1228</v>
      </c>
      <c r="C4" s="1606" t="s">
        <v>1220</v>
      </c>
      <c r="D4" s="1606" t="s">
        <v>1237</v>
      </c>
      <c r="E4" s="1606" t="s">
        <v>1238</v>
      </c>
      <c r="F4" s="1606" t="s">
        <v>1239</v>
      </c>
      <c r="G4" s="1606" t="s">
        <v>1240</v>
      </c>
      <c r="H4" s="1606" t="s">
        <v>1241</v>
      </c>
      <c r="I4" s="1606" t="s">
        <v>1242</v>
      </c>
      <c r="J4" s="1606" t="s">
        <v>1243</v>
      </c>
      <c r="K4" s="1606" t="s">
        <v>1244</v>
      </c>
      <c r="L4" s="1606" t="s">
        <v>1245</v>
      </c>
    </row>
    <row r="5" spans="1:12" x14ac:dyDescent="0.2">
      <c r="A5" s="1607" t="s">
        <v>160</v>
      </c>
      <c r="B5" s="1607" t="s">
        <v>803</v>
      </c>
      <c r="C5" s="1607">
        <v>263</v>
      </c>
      <c r="D5" s="1607"/>
      <c r="E5" s="1607">
        <v>1</v>
      </c>
      <c r="F5" s="1607"/>
      <c r="G5" s="1607">
        <v>1</v>
      </c>
      <c r="H5" s="1607">
        <v>24</v>
      </c>
      <c r="I5" s="1607">
        <v>57</v>
      </c>
      <c r="J5" s="1607">
        <v>99</v>
      </c>
      <c r="K5" s="1607">
        <v>66</v>
      </c>
      <c r="L5" s="1607">
        <v>15</v>
      </c>
    </row>
    <row r="6" spans="1:12" x14ac:dyDescent="0.2">
      <c r="A6" s="1607" t="s">
        <v>160</v>
      </c>
      <c r="B6" s="1607" t="s">
        <v>804</v>
      </c>
      <c r="C6" s="1607">
        <v>512</v>
      </c>
      <c r="D6" s="1607">
        <v>1</v>
      </c>
      <c r="E6" s="1607"/>
      <c r="F6" s="1607"/>
      <c r="G6" s="1607"/>
      <c r="H6" s="1607">
        <v>25</v>
      </c>
      <c r="I6" s="1607">
        <v>76</v>
      </c>
      <c r="J6" s="1607">
        <v>218</v>
      </c>
      <c r="K6" s="1607">
        <v>167</v>
      </c>
      <c r="L6" s="1607">
        <v>25</v>
      </c>
    </row>
    <row r="7" spans="1:12" x14ac:dyDescent="0.2">
      <c r="A7" s="1607" t="s">
        <v>160</v>
      </c>
      <c r="B7" s="1607" t="s">
        <v>805</v>
      </c>
      <c r="C7" s="1607">
        <v>431</v>
      </c>
      <c r="D7" s="1607">
        <v>1</v>
      </c>
      <c r="E7" s="1607">
        <v>6</v>
      </c>
      <c r="F7" s="1607"/>
      <c r="G7" s="1607"/>
      <c r="H7" s="1607">
        <v>27</v>
      </c>
      <c r="I7" s="1607">
        <v>63</v>
      </c>
      <c r="J7" s="1607">
        <v>182</v>
      </c>
      <c r="K7" s="1607">
        <v>134</v>
      </c>
      <c r="L7" s="1607">
        <v>18</v>
      </c>
    </row>
    <row r="8" spans="1:12" x14ac:dyDescent="0.2">
      <c r="A8" s="1607" t="s">
        <v>160</v>
      </c>
      <c r="B8" s="1607" t="s">
        <v>806</v>
      </c>
      <c r="C8" s="1607">
        <v>70</v>
      </c>
      <c r="D8" s="1607"/>
      <c r="E8" s="1607"/>
      <c r="F8" s="1607"/>
      <c r="G8" s="1607"/>
      <c r="H8" s="1607">
        <v>1</v>
      </c>
      <c r="I8" s="1607">
        <v>8</v>
      </c>
      <c r="J8" s="1607">
        <v>43</v>
      </c>
      <c r="K8" s="1607">
        <v>14</v>
      </c>
      <c r="L8" s="1607">
        <v>4</v>
      </c>
    </row>
    <row r="9" spans="1:12" x14ac:dyDescent="0.2">
      <c r="A9" s="1607" t="s">
        <v>379</v>
      </c>
      <c r="B9" s="1607" t="s">
        <v>803</v>
      </c>
      <c r="C9" s="1607">
        <v>330</v>
      </c>
      <c r="D9" s="1607">
        <v>1</v>
      </c>
      <c r="E9" s="1607">
        <v>3</v>
      </c>
      <c r="F9" s="1607"/>
      <c r="G9" s="1607"/>
      <c r="H9" s="1607">
        <v>23</v>
      </c>
      <c r="I9" s="1607">
        <v>50</v>
      </c>
      <c r="J9" s="1607">
        <v>139</v>
      </c>
      <c r="K9" s="1607">
        <v>92</v>
      </c>
      <c r="L9" s="1607">
        <v>22</v>
      </c>
    </row>
    <row r="10" spans="1:12" x14ac:dyDescent="0.2">
      <c r="A10" s="1607" t="s">
        <v>379</v>
      </c>
      <c r="B10" s="1607" t="s">
        <v>804</v>
      </c>
      <c r="C10" s="1607">
        <v>487</v>
      </c>
      <c r="D10" s="1607"/>
      <c r="E10" s="1607">
        <v>2</v>
      </c>
      <c r="F10" s="1607"/>
      <c r="G10" s="1607">
        <v>1</v>
      </c>
      <c r="H10" s="1607">
        <v>21</v>
      </c>
      <c r="I10" s="1607">
        <v>73</v>
      </c>
      <c r="J10" s="1607">
        <v>234</v>
      </c>
      <c r="K10" s="1607">
        <v>131</v>
      </c>
      <c r="L10" s="1607">
        <v>25</v>
      </c>
    </row>
    <row r="11" spans="1:12" x14ac:dyDescent="0.2">
      <c r="A11" s="1607" t="s">
        <v>379</v>
      </c>
      <c r="B11" s="1607" t="s">
        <v>805</v>
      </c>
      <c r="C11" s="1607">
        <v>384</v>
      </c>
      <c r="D11" s="1607"/>
      <c r="E11" s="1607">
        <v>7</v>
      </c>
      <c r="F11" s="1607"/>
      <c r="G11" s="1607">
        <v>2</v>
      </c>
      <c r="H11" s="1607">
        <v>27</v>
      </c>
      <c r="I11" s="1607">
        <v>67</v>
      </c>
      <c r="J11" s="1607">
        <v>166</v>
      </c>
      <c r="K11" s="1607">
        <v>102</v>
      </c>
      <c r="L11" s="1607">
        <v>13</v>
      </c>
    </row>
    <row r="12" spans="1:12" x14ac:dyDescent="0.2">
      <c r="A12" s="1607" t="s">
        <v>379</v>
      </c>
      <c r="B12" s="1607" t="s">
        <v>806</v>
      </c>
      <c r="C12" s="1607">
        <v>65</v>
      </c>
      <c r="D12" s="1607"/>
      <c r="E12" s="1607">
        <v>1</v>
      </c>
      <c r="F12" s="1607"/>
      <c r="G12" s="1607">
        <v>1</v>
      </c>
      <c r="H12" s="1607">
        <v>7</v>
      </c>
      <c r="I12" s="1607">
        <v>11</v>
      </c>
      <c r="J12" s="1607">
        <v>35</v>
      </c>
      <c r="K12" s="1607">
        <v>9</v>
      </c>
      <c r="L12" s="1607">
        <v>1</v>
      </c>
    </row>
    <row r="13" spans="1:12" x14ac:dyDescent="0.2">
      <c r="A13" s="1607" t="s">
        <v>603</v>
      </c>
      <c r="B13" s="1607" t="s">
        <v>803</v>
      </c>
      <c r="C13" s="1607">
        <v>234</v>
      </c>
      <c r="D13" s="1607"/>
      <c r="E13" s="1607">
        <v>2</v>
      </c>
      <c r="F13" s="1607">
        <v>1</v>
      </c>
      <c r="G13" s="1607">
        <v>6</v>
      </c>
      <c r="H13" s="1607">
        <v>31</v>
      </c>
      <c r="I13" s="1607">
        <v>33</v>
      </c>
      <c r="J13" s="1607">
        <v>85</v>
      </c>
      <c r="K13" s="1607">
        <v>64</v>
      </c>
      <c r="L13" s="1607">
        <v>12</v>
      </c>
    </row>
    <row r="14" spans="1:12" x14ac:dyDescent="0.2">
      <c r="A14" s="1607" t="s">
        <v>603</v>
      </c>
      <c r="B14" s="1607" t="s">
        <v>804</v>
      </c>
      <c r="C14" s="1607">
        <v>462</v>
      </c>
      <c r="D14" s="1607">
        <v>2</v>
      </c>
      <c r="E14" s="1607">
        <v>3</v>
      </c>
      <c r="F14" s="1607"/>
      <c r="G14" s="1607">
        <v>2</v>
      </c>
      <c r="H14" s="1607">
        <v>17</v>
      </c>
      <c r="I14" s="1607">
        <v>69</v>
      </c>
      <c r="J14" s="1607">
        <v>205</v>
      </c>
      <c r="K14" s="1607">
        <v>120</v>
      </c>
      <c r="L14" s="1607">
        <v>44</v>
      </c>
    </row>
    <row r="15" spans="1:12" x14ac:dyDescent="0.2">
      <c r="A15" s="1607" t="s">
        <v>603</v>
      </c>
      <c r="B15" s="1607" t="s">
        <v>805</v>
      </c>
      <c r="C15" s="1607">
        <v>354</v>
      </c>
      <c r="D15" s="1607">
        <v>2</v>
      </c>
      <c r="E15" s="1607">
        <v>7</v>
      </c>
      <c r="F15" s="1607"/>
      <c r="G15" s="1607">
        <v>1</v>
      </c>
      <c r="H15" s="1607">
        <v>37</v>
      </c>
      <c r="I15" s="1607">
        <v>67</v>
      </c>
      <c r="J15" s="1607">
        <v>154</v>
      </c>
      <c r="K15" s="1607">
        <v>73</v>
      </c>
      <c r="L15" s="1607">
        <v>13</v>
      </c>
    </row>
    <row r="16" spans="1:12" x14ac:dyDescent="0.2">
      <c r="A16" s="1607" t="s">
        <v>603</v>
      </c>
      <c r="B16" s="1607" t="s">
        <v>806</v>
      </c>
      <c r="C16" s="1607">
        <v>63</v>
      </c>
      <c r="D16" s="1607"/>
      <c r="E16" s="1607">
        <v>1</v>
      </c>
      <c r="F16" s="1607"/>
      <c r="G16" s="1607"/>
      <c r="H16" s="1607">
        <v>2</v>
      </c>
      <c r="I16" s="1607">
        <v>13</v>
      </c>
      <c r="J16" s="1607">
        <v>31</v>
      </c>
      <c r="K16" s="1607">
        <v>13</v>
      </c>
      <c r="L16" s="1607">
        <v>3</v>
      </c>
    </row>
  </sheetData>
  <pageMargins left="0.7" right="0.7" top="0.75" bottom="0.75" header="0.3" footer="0.3"/>
  <pageSetup paperSize="9" fitToHeight="50" orientation="landscape" r:id="rId1"/>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fitToPage="1"/>
  </sheetPr>
  <dimension ref="A1:G18"/>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customWidth="1"/>
    <col min="2" max="2" width="5" customWidth="1"/>
    <col min="3" max="3" width="4.85546875" customWidth="1"/>
    <col min="4" max="4" width="5.85546875" bestFit="1" customWidth="1"/>
    <col min="5" max="5" width="5.85546875" customWidth="1"/>
    <col min="6" max="6" width="4.140625" customWidth="1"/>
    <col min="7" max="7" width="8.85546875" customWidth="1"/>
  </cols>
  <sheetData>
    <row r="1" spans="1:7" x14ac:dyDescent="0.2"/>
    <row r="4" spans="1:7" x14ac:dyDescent="0.2">
      <c r="A4" s="1606" t="s">
        <v>1250</v>
      </c>
      <c r="B4" s="1606" t="s">
        <v>4</v>
      </c>
      <c r="C4" s="1606" t="s">
        <v>1087</v>
      </c>
      <c r="D4" s="1606" t="s">
        <v>11</v>
      </c>
    </row>
    <row r="5" spans="1:7" x14ac:dyDescent="0.2">
      <c r="A5" s="1607" t="s">
        <v>1246</v>
      </c>
      <c r="B5" s="1607" t="s">
        <v>160</v>
      </c>
      <c r="C5" s="1607" t="s">
        <v>679</v>
      </c>
      <c r="D5" s="1607">
        <v>28</v>
      </c>
    </row>
    <row r="6" spans="1:7" x14ac:dyDescent="0.2">
      <c r="A6" s="1607" t="s">
        <v>1246</v>
      </c>
      <c r="B6" s="1607" t="s">
        <v>379</v>
      </c>
      <c r="C6" s="1607" t="s">
        <v>679</v>
      </c>
      <c r="D6" s="1607">
        <v>19</v>
      </c>
    </row>
    <row r="7" spans="1:7" x14ac:dyDescent="0.2">
      <c r="A7" s="1607" t="s">
        <v>1246</v>
      </c>
      <c r="B7" s="1607" t="s">
        <v>603</v>
      </c>
      <c r="C7" s="1607" t="s">
        <v>679</v>
      </c>
      <c r="D7" s="1607">
        <v>22</v>
      </c>
    </row>
    <row r="8" spans="1:7" x14ac:dyDescent="0.2">
      <c r="A8" s="1607" t="s">
        <v>1247</v>
      </c>
      <c r="B8" s="1607" t="s">
        <v>160</v>
      </c>
      <c r="C8" s="1607" t="s">
        <v>680</v>
      </c>
      <c r="D8" s="1607">
        <v>403</v>
      </c>
    </row>
    <row r="9" spans="1:7" x14ac:dyDescent="0.2">
      <c r="A9" s="1607" t="s">
        <v>1247</v>
      </c>
      <c r="B9" s="1607" t="s">
        <v>379</v>
      </c>
      <c r="C9" s="1607" t="s">
        <v>680</v>
      </c>
      <c r="D9" s="1607">
        <v>447</v>
      </c>
    </row>
    <row r="10" spans="1:7" x14ac:dyDescent="0.2">
      <c r="A10" s="1607" t="s">
        <v>1247</v>
      </c>
      <c r="B10" s="1607" t="s">
        <v>603</v>
      </c>
      <c r="C10" s="1607" t="s">
        <v>680</v>
      </c>
      <c r="D10" s="1607">
        <v>416</v>
      </c>
    </row>
    <row r="11" spans="1:7" x14ac:dyDescent="0.2">
      <c r="A11" s="1607" t="s">
        <v>1248</v>
      </c>
      <c r="B11" s="1607" t="s">
        <v>160</v>
      </c>
      <c r="C11" s="1607" t="s">
        <v>1249</v>
      </c>
      <c r="D11" s="1607">
        <v>272</v>
      </c>
    </row>
    <row r="12" spans="1:7" x14ac:dyDescent="0.2">
      <c r="A12" s="1607" t="s">
        <v>1248</v>
      </c>
      <c r="B12" s="1607" t="s">
        <v>379</v>
      </c>
      <c r="C12" s="1607" t="s">
        <v>1249</v>
      </c>
      <c r="D12" s="1607">
        <v>189</v>
      </c>
    </row>
    <row r="13" spans="1:7" x14ac:dyDescent="0.2">
      <c r="A13" s="1607" t="s">
        <v>1248</v>
      </c>
      <c r="B13" s="1607" t="s">
        <v>603</v>
      </c>
      <c r="C13" s="1607" t="s">
        <v>1249</v>
      </c>
      <c r="D13" s="1607">
        <v>257</v>
      </c>
    </row>
    <row r="15" spans="1:7" x14ac:dyDescent="0.2">
      <c r="A15" s="1608" t="s">
        <v>4</v>
      </c>
      <c r="B15" s="1608" t="s">
        <v>11</v>
      </c>
      <c r="C15" s="1608" t="s">
        <v>200</v>
      </c>
      <c r="D15" s="1608" t="s">
        <v>201</v>
      </c>
      <c r="E15" s="1608" t="s">
        <v>202</v>
      </c>
      <c r="F15" s="1608" t="s">
        <v>203</v>
      </c>
      <c r="G15" s="1608" t="s">
        <v>190</v>
      </c>
    </row>
    <row r="16" spans="1:7" x14ac:dyDescent="0.2">
      <c r="A16" s="1607" t="s">
        <v>160</v>
      </c>
      <c r="B16" s="1607">
        <v>703</v>
      </c>
      <c r="C16" s="1607">
        <v>43</v>
      </c>
      <c r="D16" s="1607">
        <v>100</v>
      </c>
      <c r="E16" s="1607">
        <v>301</v>
      </c>
      <c r="F16" s="1607">
        <v>197</v>
      </c>
      <c r="G16" s="1607">
        <v>62</v>
      </c>
    </row>
    <row r="17" spans="1:7" x14ac:dyDescent="0.2">
      <c r="A17" s="1607" t="s">
        <v>379</v>
      </c>
      <c r="B17" s="1607">
        <v>655</v>
      </c>
      <c r="C17" s="1607">
        <v>49</v>
      </c>
      <c r="D17" s="1607">
        <v>97</v>
      </c>
      <c r="E17" s="1607">
        <v>303</v>
      </c>
      <c r="F17" s="1607">
        <v>168</v>
      </c>
      <c r="G17" s="1607">
        <v>38</v>
      </c>
    </row>
    <row r="18" spans="1:7" x14ac:dyDescent="0.2">
      <c r="A18" s="1607" t="s">
        <v>603</v>
      </c>
      <c r="B18" s="1607">
        <v>695</v>
      </c>
      <c r="C18" s="1607">
        <v>73</v>
      </c>
      <c r="D18" s="1607">
        <v>105</v>
      </c>
      <c r="E18" s="1607">
        <v>315</v>
      </c>
      <c r="F18" s="1607">
        <v>173</v>
      </c>
      <c r="G18" s="1607">
        <v>29</v>
      </c>
    </row>
  </sheetData>
  <pageMargins left="0.7" right="0.7" top="0.75" bottom="0.75" header="0.3" footer="0.3"/>
  <pageSetup paperSize="9" fitToHeight="50" orientation="landscape" r:id="rId1"/>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fitToPage="1"/>
  </sheetPr>
  <dimension ref="A1:H13"/>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9.7109375" bestFit="1" customWidth="1"/>
    <col min="3" max="3" width="5.140625" bestFit="1" customWidth="1"/>
    <col min="4" max="4" width="35" bestFit="1" customWidth="1"/>
    <col min="5" max="5" width="39.85546875" bestFit="1" customWidth="1"/>
    <col min="6" max="6" width="24.85546875" bestFit="1" customWidth="1"/>
    <col min="7" max="7" width="19.42578125" bestFit="1" customWidth="1"/>
    <col min="8" max="8" width="35.28515625" bestFit="1" customWidth="1"/>
  </cols>
  <sheetData>
    <row r="1" spans="1:8" x14ac:dyDescent="0.2"/>
    <row r="4" spans="1:8" x14ac:dyDescent="0.2">
      <c r="A4" s="1606" t="s">
        <v>4</v>
      </c>
      <c r="B4" s="1606" t="s">
        <v>1254</v>
      </c>
      <c r="C4" s="1606" t="s">
        <v>11</v>
      </c>
      <c r="D4" s="1606" t="s">
        <v>1255</v>
      </c>
      <c r="E4" s="1606" t="s">
        <v>1256</v>
      </c>
      <c r="F4" s="1606" t="s">
        <v>1257</v>
      </c>
      <c r="G4" s="1606" t="s">
        <v>1258</v>
      </c>
      <c r="H4" s="1606" t="s">
        <v>1259</v>
      </c>
    </row>
    <row r="5" spans="1:8" x14ac:dyDescent="0.2">
      <c r="A5" s="1607" t="s">
        <v>160</v>
      </c>
      <c r="B5" s="1607" t="s">
        <v>1251</v>
      </c>
      <c r="C5" s="1607">
        <v>39</v>
      </c>
      <c r="D5" s="1607">
        <v>6</v>
      </c>
      <c r="E5" s="1607">
        <v>10</v>
      </c>
      <c r="F5" s="1607">
        <v>5</v>
      </c>
      <c r="G5" s="1607">
        <v>14</v>
      </c>
      <c r="H5" s="1607">
        <v>4</v>
      </c>
    </row>
    <row r="6" spans="1:8" x14ac:dyDescent="0.2">
      <c r="A6" s="1607" t="s">
        <v>379</v>
      </c>
      <c r="B6" s="1607" t="s">
        <v>1251</v>
      </c>
      <c r="C6" s="1607">
        <v>36</v>
      </c>
      <c r="D6" s="1607">
        <v>8</v>
      </c>
      <c r="E6" s="1607">
        <v>7</v>
      </c>
      <c r="F6" s="1607">
        <v>8</v>
      </c>
      <c r="G6" s="1607">
        <v>6</v>
      </c>
      <c r="H6" s="1607">
        <v>7</v>
      </c>
    </row>
    <row r="7" spans="1:8" x14ac:dyDescent="0.2">
      <c r="A7" s="1607" t="s">
        <v>603</v>
      </c>
      <c r="B7" s="1607" t="s">
        <v>1251</v>
      </c>
      <c r="C7" s="1607">
        <v>37</v>
      </c>
      <c r="D7" s="1607">
        <v>12</v>
      </c>
      <c r="E7" s="1607">
        <v>8</v>
      </c>
      <c r="F7" s="1607">
        <v>8</v>
      </c>
      <c r="G7" s="1607">
        <v>6</v>
      </c>
      <c r="H7" s="1607">
        <v>3</v>
      </c>
    </row>
    <row r="8" spans="1:8" x14ac:dyDescent="0.2">
      <c r="A8" s="1607" t="s">
        <v>160</v>
      </c>
      <c r="B8" s="1607" t="s">
        <v>1252</v>
      </c>
      <c r="C8" s="1607">
        <v>1063</v>
      </c>
      <c r="D8" s="1607">
        <v>491</v>
      </c>
      <c r="E8" s="1607">
        <v>131</v>
      </c>
      <c r="F8" s="1607">
        <v>124</v>
      </c>
      <c r="G8" s="1607">
        <v>274</v>
      </c>
      <c r="H8" s="1607">
        <v>43</v>
      </c>
    </row>
    <row r="9" spans="1:8" x14ac:dyDescent="0.2">
      <c r="A9" s="1607" t="s">
        <v>379</v>
      </c>
      <c r="B9" s="1607" t="s">
        <v>1252</v>
      </c>
      <c r="C9" s="1607">
        <v>1115</v>
      </c>
      <c r="D9" s="1607">
        <v>581</v>
      </c>
      <c r="E9" s="1607">
        <v>149</v>
      </c>
      <c r="F9" s="1607">
        <v>114</v>
      </c>
      <c r="G9" s="1607">
        <v>262</v>
      </c>
      <c r="H9" s="1607">
        <v>9</v>
      </c>
    </row>
    <row r="10" spans="1:8" x14ac:dyDescent="0.2">
      <c r="A10" s="1607" t="s">
        <v>603</v>
      </c>
      <c r="B10" s="1607" t="s">
        <v>1252</v>
      </c>
      <c r="C10" s="1607">
        <v>921</v>
      </c>
      <c r="D10" s="1607">
        <v>501</v>
      </c>
      <c r="E10" s="1607">
        <v>111</v>
      </c>
      <c r="F10" s="1607">
        <v>77</v>
      </c>
      <c r="G10" s="1607">
        <v>211</v>
      </c>
      <c r="H10" s="1607">
        <v>21</v>
      </c>
    </row>
    <row r="11" spans="1:8" x14ac:dyDescent="0.2">
      <c r="A11" s="1607" t="s">
        <v>160</v>
      </c>
      <c r="B11" s="1607" t="s">
        <v>1253</v>
      </c>
      <c r="C11" s="1607">
        <v>5677</v>
      </c>
      <c r="D11" s="1607">
        <v>2859</v>
      </c>
      <c r="E11" s="1607">
        <v>531</v>
      </c>
      <c r="F11" s="1607">
        <v>779</v>
      </c>
      <c r="G11" s="1607">
        <v>1425</v>
      </c>
      <c r="H11" s="1607">
        <v>83</v>
      </c>
    </row>
    <row r="12" spans="1:8" x14ac:dyDescent="0.2">
      <c r="A12" s="1607" t="s">
        <v>379</v>
      </c>
      <c r="B12" s="1607" t="s">
        <v>1253</v>
      </c>
      <c r="C12" s="1607">
        <v>5548</v>
      </c>
      <c r="D12" s="1607">
        <v>2955</v>
      </c>
      <c r="E12" s="1607">
        <v>446</v>
      </c>
      <c r="F12" s="1607">
        <v>675</v>
      </c>
      <c r="G12" s="1607">
        <v>1396</v>
      </c>
      <c r="H12" s="1607">
        <v>76</v>
      </c>
    </row>
    <row r="13" spans="1:8" x14ac:dyDescent="0.2">
      <c r="A13" s="1607" t="s">
        <v>603</v>
      </c>
      <c r="B13" s="1607" t="s">
        <v>1253</v>
      </c>
      <c r="C13" s="1607">
        <v>5310</v>
      </c>
      <c r="D13" s="1607">
        <v>2764</v>
      </c>
      <c r="E13" s="1607">
        <v>442</v>
      </c>
      <c r="F13" s="1607">
        <v>698</v>
      </c>
      <c r="G13" s="1607">
        <v>1310</v>
      </c>
      <c r="H13" s="1607">
        <v>96</v>
      </c>
    </row>
  </sheetData>
  <pageMargins left="0.7" right="0.7" top="0.75" bottom="0.75" header="0.3" footer="0.3"/>
  <pageSetup paperSize="9" fitToHeight="5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6">
    <tabColor rgb="FF960000"/>
  </sheetPr>
  <dimension ref="A1:C13"/>
  <sheetViews>
    <sheetView showGridLines="0" zoomScaleNormal="100" workbookViewId="0"/>
  </sheetViews>
  <sheetFormatPr defaultRowHeight="12.75" x14ac:dyDescent="0.2"/>
  <cols>
    <col min="2" max="2" width="16.140625" bestFit="1" customWidth="1"/>
  </cols>
  <sheetData>
    <row r="1" spans="1:3" ht="33.75" customHeight="1" x14ac:dyDescent="0.35">
      <c r="A1" s="1259" t="str">
        <f>"Percentage of Primary Fires By Type, " &amp; ThisYear</f>
        <v>Percentage of Primary Fires By Type, 2017-18</v>
      </c>
    </row>
    <row r="3" spans="1:3" x14ac:dyDescent="0.2">
      <c r="A3" s="386"/>
    </row>
    <row r="9" spans="1:3" x14ac:dyDescent="0.2">
      <c r="B9" t="s">
        <v>5</v>
      </c>
      <c r="C9" s="768">
        <f>'Long-Term Trend'!B32</f>
        <v>5310</v>
      </c>
    </row>
    <row r="10" spans="1:3" x14ac:dyDescent="0.2">
      <c r="B10" t="s">
        <v>6</v>
      </c>
      <c r="C10" s="768">
        <f>'Long-Term Trend'!C32</f>
        <v>2281</v>
      </c>
    </row>
    <row r="11" spans="1:3" x14ac:dyDescent="0.2">
      <c r="B11" t="s">
        <v>7</v>
      </c>
      <c r="C11" s="768">
        <f>'Long-Term Trend'!D32</f>
        <v>2008</v>
      </c>
    </row>
    <row r="12" spans="1:3" x14ac:dyDescent="0.2">
      <c r="B12" t="s">
        <v>8</v>
      </c>
      <c r="C12" s="768">
        <f>'Long-Term Trend'!E32</f>
        <v>1055</v>
      </c>
    </row>
    <row r="13" spans="1:3" x14ac:dyDescent="0.2">
      <c r="C13" s="768"/>
    </row>
  </sheetData>
  <sheetProtection algorithmName="SHA-512" hashValue="oyVYDSeW2a/hLN/g25SpSsPVO9fYN9OQg75OwIO+eDDKGJC3qUVUqru/EEhwKEU352ZgKoUK5ZqlL/Z5yBqkZA==" saltValue="R+gjDIA6S9KS50Dkt+WkaQ==" spinCount="100000" sheet="1" objects="1" scenarios="1"/>
  <pageMargins left="0.25" right="0.25"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fitToPage="1"/>
  </sheetPr>
  <dimension ref="A1:AA10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19.7109375" bestFit="1" customWidth="1"/>
    <col min="3" max="3" width="20.42578125" bestFit="1" customWidth="1"/>
    <col min="4" max="4" width="6.5703125" bestFit="1" customWidth="1"/>
    <col min="5" max="5" width="36.5703125" bestFit="1" customWidth="1"/>
    <col min="6" max="6" width="41.42578125" bestFit="1" customWidth="1"/>
    <col min="7" max="7" width="26.5703125" bestFit="1" customWidth="1"/>
    <col min="8" max="8" width="21" bestFit="1" customWidth="1"/>
    <col min="9" max="9" width="36.7109375" bestFit="1" customWidth="1"/>
    <col min="10" max="10" width="7.85546875" bestFit="1" customWidth="1"/>
    <col min="11" max="11" width="20.42578125" bestFit="1" customWidth="1"/>
    <col min="12" max="12" width="13.28515625" bestFit="1" customWidth="1"/>
    <col min="13" max="13" width="6.140625" bestFit="1" customWidth="1"/>
    <col min="14" max="14" width="36" bestFit="1" customWidth="1"/>
    <col min="15" max="15" width="40.85546875" bestFit="1" customWidth="1"/>
    <col min="16" max="16" width="26" bestFit="1" customWidth="1"/>
    <col min="17" max="17" width="20.42578125" bestFit="1" customWidth="1"/>
    <col min="18" max="18" width="36.42578125" bestFit="1" customWidth="1"/>
    <col min="19" max="19" width="7.85546875" bestFit="1" customWidth="1"/>
    <col min="20" max="20" width="20.42578125" bestFit="1" customWidth="1"/>
    <col min="21" max="21" width="16" bestFit="1" customWidth="1"/>
    <col min="22" max="22" width="6.5703125" bestFit="1" customWidth="1"/>
    <col min="23" max="23" width="36.5703125" bestFit="1" customWidth="1"/>
    <col min="24" max="24" width="41.42578125" bestFit="1" customWidth="1"/>
    <col min="25" max="25" width="26.5703125" bestFit="1" customWidth="1"/>
    <col min="26" max="26" width="21" bestFit="1" customWidth="1"/>
    <col min="27" max="27" width="36.7109375" bestFit="1" customWidth="1"/>
  </cols>
  <sheetData>
    <row r="1" spans="1:27" x14ac:dyDescent="0.2"/>
    <row r="4" spans="1:27" x14ac:dyDescent="0.2">
      <c r="A4" s="1606" t="s">
        <v>839</v>
      </c>
      <c r="B4" s="1606" t="s">
        <v>1260</v>
      </c>
      <c r="C4" s="1606" t="s">
        <v>1261</v>
      </c>
      <c r="D4" s="1606" t="s">
        <v>1262</v>
      </c>
      <c r="E4" s="1606" t="s">
        <v>1263</v>
      </c>
      <c r="F4" s="1606" t="s">
        <v>1264</v>
      </c>
      <c r="G4" s="1606" t="s">
        <v>1265</v>
      </c>
      <c r="H4" s="1606" t="s">
        <v>1266</v>
      </c>
      <c r="I4" s="1606" t="s">
        <v>1267</v>
      </c>
      <c r="J4" s="1606" t="s">
        <v>1268</v>
      </c>
      <c r="K4" s="1606" t="s">
        <v>1269</v>
      </c>
      <c r="L4" s="1606" t="s">
        <v>1270</v>
      </c>
      <c r="M4" s="1606" t="s">
        <v>1271</v>
      </c>
      <c r="N4" s="1606" t="s">
        <v>1272</v>
      </c>
      <c r="O4" s="1606" t="s">
        <v>1273</v>
      </c>
      <c r="P4" s="1606" t="s">
        <v>1274</v>
      </c>
      <c r="Q4" s="1606" t="s">
        <v>1275</v>
      </c>
      <c r="R4" s="1606" t="s">
        <v>1276</v>
      </c>
      <c r="S4" s="1606" t="s">
        <v>1277</v>
      </c>
      <c r="T4" s="1606" t="s">
        <v>1278</v>
      </c>
      <c r="U4" s="1606" t="s">
        <v>1279</v>
      </c>
      <c r="V4" s="1606" t="s">
        <v>1280</v>
      </c>
      <c r="W4" s="1606" t="s">
        <v>1281</v>
      </c>
      <c r="X4" s="1606" t="s">
        <v>1282</v>
      </c>
      <c r="Y4" s="1606" t="s">
        <v>1283</v>
      </c>
      <c r="Z4" s="1606" t="s">
        <v>1284</v>
      </c>
      <c r="AA4" s="1606" t="s">
        <v>1285</v>
      </c>
    </row>
    <row r="5" spans="1:27" x14ac:dyDescent="0.2">
      <c r="A5" s="1607" t="s">
        <v>160</v>
      </c>
      <c r="B5" s="1607" t="s">
        <v>1253</v>
      </c>
      <c r="C5" s="1607" t="s">
        <v>23</v>
      </c>
      <c r="D5" s="1607">
        <v>334</v>
      </c>
      <c r="E5" s="1607">
        <v>199</v>
      </c>
      <c r="F5" s="1607">
        <v>26</v>
      </c>
      <c r="G5" s="1607">
        <v>38</v>
      </c>
      <c r="H5" s="1607">
        <v>68</v>
      </c>
      <c r="I5" s="1607">
        <v>3</v>
      </c>
      <c r="J5" s="1607" t="s">
        <v>160</v>
      </c>
      <c r="K5" s="1607" t="s">
        <v>23</v>
      </c>
      <c r="L5" s="1607" t="s">
        <v>1251</v>
      </c>
      <c r="M5" s="1607">
        <v>1</v>
      </c>
      <c r="N5" s="1607"/>
      <c r="O5" s="1607">
        <v>1</v>
      </c>
      <c r="P5" s="1607"/>
      <c r="Q5" s="1607"/>
      <c r="R5" s="1607"/>
      <c r="S5" s="1607" t="s">
        <v>160</v>
      </c>
      <c r="T5" s="1607" t="s">
        <v>23</v>
      </c>
      <c r="U5" s="1607" t="s">
        <v>1252</v>
      </c>
      <c r="V5" s="1607">
        <v>60</v>
      </c>
      <c r="W5" s="1607">
        <v>30</v>
      </c>
      <c r="X5" s="1607">
        <v>5</v>
      </c>
      <c r="Y5" s="1607">
        <v>15</v>
      </c>
      <c r="Z5" s="1607">
        <v>9</v>
      </c>
      <c r="AA5" s="1607">
        <v>1</v>
      </c>
    </row>
    <row r="6" spans="1:27" x14ac:dyDescent="0.2">
      <c r="A6" s="1607" t="s">
        <v>160</v>
      </c>
      <c r="B6" s="1607" t="s">
        <v>1253</v>
      </c>
      <c r="C6" s="1607" t="s">
        <v>24</v>
      </c>
      <c r="D6" s="1607">
        <v>192</v>
      </c>
      <c r="E6" s="1607">
        <v>109</v>
      </c>
      <c r="F6" s="1607">
        <v>14</v>
      </c>
      <c r="G6" s="1607">
        <v>10</v>
      </c>
      <c r="H6" s="1607">
        <v>58</v>
      </c>
      <c r="I6" s="1607">
        <v>1</v>
      </c>
      <c r="J6" s="1607" t="s">
        <v>160</v>
      </c>
      <c r="K6" s="1607" t="s">
        <v>24</v>
      </c>
      <c r="L6" s="1607" t="s">
        <v>1251</v>
      </c>
      <c r="M6" s="1607">
        <v>2</v>
      </c>
      <c r="N6" s="1607"/>
      <c r="O6" s="1607">
        <v>1</v>
      </c>
      <c r="P6" s="1607"/>
      <c r="Q6" s="1607"/>
      <c r="R6" s="1607">
        <v>1</v>
      </c>
      <c r="S6" s="1607" t="s">
        <v>160</v>
      </c>
      <c r="T6" s="1607" t="s">
        <v>24</v>
      </c>
      <c r="U6" s="1607" t="s">
        <v>1252</v>
      </c>
      <c r="V6" s="1607">
        <v>20</v>
      </c>
      <c r="W6" s="1607">
        <v>9</v>
      </c>
      <c r="X6" s="1607">
        <v>4</v>
      </c>
      <c r="Y6" s="1607"/>
      <c r="Z6" s="1607">
        <v>7</v>
      </c>
      <c r="AA6" s="1607"/>
    </row>
    <row r="7" spans="1:27" x14ac:dyDescent="0.2">
      <c r="A7" s="1607" t="s">
        <v>160</v>
      </c>
      <c r="B7" s="1607" t="s">
        <v>1253</v>
      </c>
      <c r="C7" s="1607" t="s">
        <v>25</v>
      </c>
      <c r="D7" s="1607">
        <v>95</v>
      </c>
      <c r="E7" s="1607">
        <v>48</v>
      </c>
      <c r="F7" s="1607">
        <v>9</v>
      </c>
      <c r="G7" s="1607">
        <v>11</v>
      </c>
      <c r="H7" s="1607">
        <v>25</v>
      </c>
      <c r="I7" s="1607">
        <v>2</v>
      </c>
      <c r="J7" s="1607"/>
      <c r="K7" s="1607"/>
      <c r="L7" s="1607"/>
      <c r="M7" s="1607"/>
      <c r="N7" s="1607"/>
      <c r="O7" s="1607"/>
      <c r="P7" s="1607"/>
      <c r="Q7" s="1607"/>
      <c r="R7" s="1607"/>
      <c r="S7" s="1607" t="s">
        <v>160</v>
      </c>
      <c r="T7" s="1607" t="s">
        <v>25</v>
      </c>
      <c r="U7" s="1607" t="s">
        <v>1252</v>
      </c>
      <c r="V7" s="1607">
        <v>35</v>
      </c>
      <c r="W7" s="1607">
        <v>15</v>
      </c>
      <c r="X7" s="1607">
        <v>12</v>
      </c>
      <c r="Y7" s="1607"/>
      <c r="Z7" s="1607">
        <v>6</v>
      </c>
      <c r="AA7" s="1607">
        <v>2</v>
      </c>
    </row>
    <row r="8" spans="1:27" x14ac:dyDescent="0.2">
      <c r="A8" s="1607" t="s">
        <v>160</v>
      </c>
      <c r="B8" s="1607" t="s">
        <v>1253</v>
      </c>
      <c r="C8" s="1607" t="s">
        <v>26</v>
      </c>
      <c r="D8" s="1607">
        <v>64</v>
      </c>
      <c r="E8" s="1607">
        <v>24</v>
      </c>
      <c r="F8" s="1607">
        <v>8</v>
      </c>
      <c r="G8" s="1607">
        <v>7</v>
      </c>
      <c r="H8" s="1607">
        <v>19</v>
      </c>
      <c r="I8" s="1607">
        <v>6</v>
      </c>
      <c r="J8" s="1607"/>
      <c r="K8" s="1607"/>
      <c r="L8" s="1607"/>
      <c r="M8" s="1607"/>
      <c r="N8" s="1607"/>
      <c r="O8" s="1607"/>
      <c r="P8" s="1607"/>
      <c r="Q8" s="1607"/>
      <c r="R8" s="1607"/>
      <c r="S8" s="1607" t="s">
        <v>160</v>
      </c>
      <c r="T8" s="1607" t="s">
        <v>26</v>
      </c>
      <c r="U8" s="1607" t="s">
        <v>1252</v>
      </c>
      <c r="V8" s="1607">
        <v>7</v>
      </c>
      <c r="W8" s="1607">
        <v>2</v>
      </c>
      <c r="X8" s="1607">
        <v>1</v>
      </c>
      <c r="Y8" s="1607"/>
      <c r="Z8" s="1607">
        <v>4</v>
      </c>
      <c r="AA8" s="1607"/>
    </row>
    <row r="9" spans="1:27" x14ac:dyDescent="0.2">
      <c r="A9" s="1607" t="s">
        <v>160</v>
      </c>
      <c r="B9" s="1607" t="s">
        <v>1253</v>
      </c>
      <c r="C9" s="1607" t="s">
        <v>27</v>
      </c>
      <c r="D9" s="1607">
        <v>75</v>
      </c>
      <c r="E9" s="1607">
        <v>40</v>
      </c>
      <c r="F9" s="1607">
        <v>7</v>
      </c>
      <c r="G9" s="1607">
        <v>6</v>
      </c>
      <c r="H9" s="1607">
        <v>20</v>
      </c>
      <c r="I9" s="1607">
        <v>2</v>
      </c>
      <c r="J9" s="1607"/>
      <c r="K9" s="1607"/>
      <c r="L9" s="1607"/>
      <c r="M9" s="1607"/>
      <c r="N9" s="1607"/>
      <c r="O9" s="1607"/>
      <c r="P9" s="1607"/>
      <c r="Q9" s="1607"/>
      <c r="R9" s="1607"/>
      <c r="S9" s="1607" t="s">
        <v>160</v>
      </c>
      <c r="T9" s="1607" t="s">
        <v>27</v>
      </c>
      <c r="U9" s="1607" t="s">
        <v>1252</v>
      </c>
      <c r="V9" s="1607">
        <v>11</v>
      </c>
      <c r="W9" s="1607">
        <v>3</v>
      </c>
      <c r="X9" s="1607">
        <v>1</v>
      </c>
      <c r="Y9" s="1607">
        <v>1</v>
      </c>
      <c r="Z9" s="1607">
        <v>3</v>
      </c>
      <c r="AA9" s="1607">
        <v>3</v>
      </c>
    </row>
    <row r="10" spans="1:27" x14ac:dyDescent="0.2">
      <c r="A10" s="1607" t="s">
        <v>160</v>
      </c>
      <c r="B10" s="1607" t="s">
        <v>1253</v>
      </c>
      <c r="C10" s="1607" t="s">
        <v>28</v>
      </c>
      <c r="D10" s="1607">
        <v>94</v>
      </c>
      <c r="E10" s="1607">
        <v>44</v>
      </c>
      <c r="F10" s="1607">
        <v>7</v>
      </c>
      <c r="G10" s="1607">
        <v>14</v>
      </c>
      <c r="H10" s="1607">
        <v>27</v>
      </c>
      <c r="I10" s="1607">
        <v>2</v>
      </c>
      <c r="J10" s="1607" t="s">
        <v>160</v>
      </c>
      <c r="K10" s="1607" t="s">
        <v>28</v>
      </c>
      <c r="L10" s="1607" t="s">
        <v>1251</v>
      </c>
      <c r="M10" s="1607">
        <v>2</v>
      </c>
      <c r="N10" s="1607">
        <v>1</v>
      </c>
      <c r="O10" s="1607"/>
      <c r="P10" s="1607">
        <v>1</v>
      </c>
      <c r="Q10" s="1607"/>
      <c r="R10" s="1607"/>
      <c r="S10" s="1607" t="s">
        <v>160</v>
      </c>
      <c r="T10" s="1607" t="s">
        <v>28</v>
      </c>
      <c r="U10" s="1607" t="s">
        <v>1252</v>
      </c>
      <c r="V10" s="1607">
        <v>6</v>
      </c>
      <c r="W10" s="1607">
        <v>4</v>
      </c>
      <c r="X10" s="1607"/>
      <c r="Y10" s="1607">
        <v>1</v>
      </c>
      <c r="Z10" s="1607">
        <v>1</v>
      </c>
      <c r="AA10" s="1607"/>
    </row>
    <row r="11" spans="1:27" x14ac:dyDescent="0.2">
      <c r="A11" s="1607" t="s">
        <v>160</v>
      </c>
      <c r="B11" s="1607" t="s">
        <v>1253</v>
      </c>
      <c r="C11" s="1607" t="s">
        <v>29</v>
      </c>
      <c r="D11" s="1607">
        <v>256</v>
      </c>
      <c r="E11" s="1607">
        <v>128</v>
      </c>
      <c r="F11" s="1607">
        <v>24</v>
      </c>
      <c r="G11" s="1607">
        <v>29</v>
      </c>
      <c r="H11" s="1607">
        <v>72</v>
      </c>
      <c r="I11" s="1607">
        <v>3</v>
      </c>
      <c r="J11" s="1607" t="s">
        <v>160</v>
      </c>
      <c r="K11" s="1607" t="s">
        <v>29</v>
      </c>
      <c r="L11" s="1607" t="s">
        <v>1251</v>
      </c>
      <c r="M11" s="1607">
        <v>2</v>
      </c>
      <c r="N11" s="1607"/>
      <c r="O11" s="1607"/>
      <c r="P11" s="1607"/>
      <c r="Q11" s="1607">
        <v>2</v>
      </c>
      <c r="R11" s="1607"/>
      <c r="S11" s="1607" t="s">
        <v>160</v>
      </c>
      <c r="T11" s="1607" t="s">
        <v>29</v>
      </c>
      <c r="U11" s="1607" t="s">
        <v>1252</v>
      </c>
      <c r="V11" s="1607">
        <v>71</v>
      </c>
      <c r="W11" s="1607">
        <v>34</v>
      </c>
      <c r="X11" s="1607">
        <v>11</v>
      </c>
      <c r="Y11" s="1607">
        <v>3</v>
      </c>
      <c r="Z11" s="1607">
        <v>16</v>
      </c>
      <c r="AA11" s="1607">
        <v>7</v>
      </c>
    </row>
    <row r="12" spans="1:27" x14ac:dyDescent="0.2">
      <c r="A12" s="1607" t="s">
        <v>160</v>
      </c>
      <c r="B12" s="1607" t="s">
        <v>1253</v>
      </c>
      <c r="C12" s="1607" t="s">
        <v>30</v>
      </c>
      <c r="D12" s="1607">
        <v>104</v>
      </c>
      <c r="E12" s="1607">
        <v>58</v>
      </c>
      <c r="F12" s="1607">
        <v>14</v>
      </c>
      <c r="G12" s="1607">
        <v>13</v>
      </c>
      <c r="H12" s="1607">
        <v>17</v>
      </c>
      <c r="I12" s="1607">
        <v>2</v>
      </c>
      <c r="J12" s="1607"/>
      <c r="K12" s="1607"/>
      <c r="L12" s="1607"/>
      <c r="M12" s="1607"/>
      <c r="N12" s="1607"/>
      <c r="O12" s="1607"/>
      <c r="P12" s="1607"/>
      <c r="Q12" s="1607"/>
      <c r="R12" s="1607"/>
      <c r="S12" s="1607" t="s">
        <v>160</v>
      </c>
      <c r="T12" s="1607" t="s">
        <v>30</v>
      </c>
      <c r="U12" s="1607" t="s">
        <v>1252</v>
      </c>
      <c r="V12" s="1607">
        <v>30</v>
      </c>
      <c r="W12" s="1607">
        <v>13</v>
      </c>
      <c r="X12" s="1607">
        <v>4</v>
      </c>
      <c r="Y12" s="1607">
        <v>7</v>
      </c>
      <c r="Z12" s="1607">
        <v>3</v>
      </c>
      <c r="AA12" s="1607">
        <v>3</v>
      </c>
    </row>
    <row r="13" spans="1:27" x14ac:dyDescent="0.2">
      <c r="A13" s="1607" t="s">
        <v>160</v>
      </c>
      <c r="B13" s="1607" t="s">
        <v>1253</v>
      </c>
      <c r="C13" s="1607" t="s">
        <v>31</v>
      </c>
      <c r="D13" s="1607">
        <v>77</v>
      </c>
      <c r="E13" s="1607">
        <v>41</v>
      </c>
      <c r="F13" s="1607">
        <v>10</v>
      </c>
      <c r="G13" s="1607">
        <v>17</v>
      </c>
      <c r="H13" s="1607">
        <v>9</v>
      </c>
      <c r="I13" s="1607"/>
      <c r="J13" s="1607"/>
      <c r="K13" s="1607"/>
      <c r="L13" s="1607"/>
      <c r="M13" s="1607"/>
      <c r="N13" s="1607"/>
      <c r="O13" s="1607"/>
      <c r="P13" s="1607"/>
      <c r="Q13" s="1607"/>
      <c r="R13" s="1607"/>
      <c r="S13" s="1607" t="s">
        <v>160</v>
      </c>
      <c r="T13" s="1607" t="s">
        <v>31</v>
      </c>
      <c r="U13" s="1607" t="s">
        <v>1252</v>
      </c>
      <c r="V13" s="1607">
        <v>12</v>
      </c>
      <c r="W13" s="1607">
        <v>6</v>
      </c>
      <c r="X13" s="1607">
        <v>2</v>
      </c>
      <c r="Y13" s="1607">
        <v>2</v>
      </c>
      <c r="Z13" s="1607">
        <v>2</v>
      </c>
      <c r="AA13" s="1607"/>
    </row>
    <row r="14" spans="1:27" x14ac:dyDescent="0.2">
      <c r="A14" s="1607" t="s">
        <v>160</v>
      </c>
      <c r="B14" s="1607" t="s">
        <v>1253</v>
      </c>
      <c r="C14" s="1607" t="s">
        <v>32</v>
      </c>
      <c r="D14" s="1607">
        <v>85</v>
      </c>
      <c r="E14" s="1607">
        <v>25</v>
      </c>
      <c r="F14" s="1607">
        <v>10</v>
      </c>
      <c r="G14" s="1607">
        <v>7</v>
      </c>
      <c r="H14" s="1607">
        <v>42</v>
      </c>
      <c r="I14" s="1607">
        <v>1</v>
      </c>
      <c r="J14" s="1607" t="s">
        <v>160</v>
      </c>
      <c r="K14" s="1607" t="s">
        <v>32</v>
      </c>
      <c r="L14" s="1607" t="s">
        <v>1251</v>
      </c>
      <c r="M14" s="1607">
        <v>1</v>
      </c>
      <c r="N14" s="1607"/>
      <c r="O14" s="1607">
        <v>1</v>
      </c>
      <c r="P14" s="1607"/>
      <c r="Q14" s="1607"/>
      <c r="R14" s="1607"/>
      <c r="S14" s="1607" t="s">
        <v>160</v>
      </c>
      <c r="T14" s="1607" t="s">
        <v>32</v>
      </c>
      <c r="U14" s="1607" t="s">
        <v>1252</v>
      </c>
      <c r="V14" s="1607">
        <v>7</v>
      </c>
      <c r="W14" s="1607">
        <v>4</v>
      </c>
      <c r="X14" s="1607">
        <v>2</v>
      </c>
      <c r="Y14" s="1607">
        <v>1</v>
      </c>
      <c r="Z14" s="1607"/>
      <c r="AA14" s="1607"/>
    </row>
    <row r="15" spans="1:27" x14ac:dyDescent="0.2">
      <c r="A15" s="1607" t="s">
        <v>160</v>
      </c>
      <c r="B15" s="1607" t="s">
        <v>1253</v>
      </c>
      <c r="C15" s="1607" t="s">
        <v>33</v>
      </c>
      <c r="D15" s="1607">
        <v>71</v>
      </c>
      <c r="E15" s="1607">
        <v>36</v>
      </c>
      <c r="F15" s="1607">
        <v>6</v>
      </c>
      <c r="G15" s="1607">
        <v>15</v>
      </c>
      <c r="H15" s="1607">
        <v>14</v>
      </c>
      <c r="I15" s="1607"/>
      <c r="J15" s="1607" t="s">
        <v>160</v>
      </c>
      <c r="K15" s="1607" t="s">
        <v>33</v>
      </c>
      <c r="L15" s="1607" t="s">
        <v>1251</v>
      </c>
      <c r="M15" s="1607">
        <v>1</v>
      </c>
      <c r="N15" s="1607"/>
      <c r="O15" s="1607"/>
      <c r="P15" s="1607">
        <v>1</v>
      </c>
      <c r="Q15" s="1607"/>
      <c r="R15" s="1607"/>
      <c r="S15" s="1607" t="s">
        <v>160</v>
      </c>
      <c r="T15" s="1607" t="s">
        <v>33</v>
      </c>
      <c r="U15" s="1607" t="s">
        <v>1252</v>
      </c>
      <c r="V15" s="1607">
        <v>12</v>
      </c>
      <c r="W15" s="1607">
        <v>10</v>
      </c>
      <c r="X15" s="1607">
        <v>1</v>
      </c>
      <c r="Y15" s="1607"/>
      <c r="Z15" s="1607">
        <v>1</v>
      </c>
      <c r="AA15" s="1607"/>
    </row>
    <row r="16" spans="1:27" x14ac:dyDescent="0.2">
      <c r="A16" s="1607" t="s">
        <v>160</v>
      </c>
      <c r="B16" s="1607" t="s">
        <v>1253</v>
      </c>
      <c r="C16" s="1607" t="s">
        <v>665</v>
      </c>
      <c r="D16" s="1607">
        <v>633</v>
      </c>
      <c r="E16" s="1607">
        <v>261</v>
      </c>
      <c r="F16" s="1607">
        <v>53</v>
      </c>
      <c r="G16" s="1607">
        <v>88</v>
      </c>
      <c r="H16" s="1607">
        <v>226</v>
      </c>
      <c r="I16" s="1607">
        <v>5</v>
      </c>
      <c r="J16" s="1607" t="s">
        <v>160</v>
      </c>
      <c r="K16" s="1607" t="s">
        <v>665</v>
      </c>
      <c r="L16" s="1607" t="s">
        <v>1251</v>
      </c>
      <c r="M16" s="1607">
        <v>4</v>
      </c>
      <c r="N16" s="1607">
        <v>1</v>
      </c>
      <c r="O16" s="1607">
        <v>1</v>
      </c>
      <c r="P16" s="1607"/>
      <c r="Q16" s="1607">
        <v>2</v>
      </c>
      <c r="R16" s="1607"/>
      <c r="S16" s="1607" t="s">
        <v>160</v>
      </c>
      <c r="T16" s="1607" t="s">
        <v>665</v>
      </c>
      <c r="U16" s="1607" t="s">
        <v>1252</v>
      </c>
      <c r="V16" s="1607">
        <v>106</v>
      </c>
      <c r="W16" s="1607">
        <v>42</v>
      </c>
      <c r="X16" s="1607">
        <v>14</v>
      </c>
      <c r="Y16" s="1607">
        <v>9</v>
      </c>
      <c r="Z16" s="1607">
        <v>41</v>
      </c>
      <c r="AA16" s="1607"/>
    </row>
    <row r="17" spans="1:27" x14ac:dyDescent="0.2">
      <c r="A17" s="1607" t="s">
        <v>160</v>
      </c>
      <c r="B17" s="1607" t="s">
        <v>1253</v>
      </c>
      <c r="C17" s="1607" t="s">
        <v>34</v>
      </c>
      <c r="D17" s="1607">
        <v>134</v>
      </c>
      <c r="E17" s="1607">
        <v>50</v>
      </c>
      <c r="F17" s="1607">
        <v>18</v>
      </c>
      <c r="G17" s="1607">
        <v>14</v>
      </c>
      <c r="H17" s="1607">
        <v>47</v>
      </c>
      <c r="I17" s="1607">
        <v>5</v>
      </c>
      <c r="J17" s="1607" t="s">
        <v>160</v>
      </c>
      <c r="K17" s="1607" t="s">
        <v>34</v>
      </c>
      <c r="L17" s="1607" t="s">
        <v>1251</v>
      </c>
      <c r="M17" s="1607">
        <v>2</v>
      </c>
      <c r="N17" s="1607"/>
      <c r="O17" s="1607">
        <v>1</v>
      </c>
      <c r="P17" s="1607"/>
      <c r="Q17" s="1607">
        <v>1</v>
      </c>
      <c r="R17" s="1607"/>
      <c r="S17" s="1607" t="s">
        <v>160</v>
      </c>
      <c r="T17" s="1607" t="s">
        <v>34</v>
      </c>
      <c r="U17" s="1607" t="s">
        <v>1252</v>
      </c>
      <c r="V17" s="1607">
        <v>25</v>
      </c>
      <c r="W17" s="1607">
        <v>7</v>
      </c>
      <c r="X17" s="1607">
        <v>4</v>
      </c>
      <c r="Y17" s="1607">
        <v>2</v>
      </c>
      <c r="Z17" s="1607">
        <v>12</v>
      </c>
      <c r="AA17" s="1607"/>
    </row>
    <row r="18" spans="1:27" x14ac:dyDescent="0.2">
      <c r="A18" s="1607" t="s">
        <v>160</v>
      </c>
      <c r="B18" s="1607" t="s">
        <v>1253</v>
      </c>
      <c r="C18" s="1607" t="s">
        <v>35</v>
      </c>
      <c r="D18" s="1607">
        <v>279</v>
      </c>
      <c r="E18" s="1607">
        <v>96</v>
      </c>
      <c r="F18" s="1607">
        <v>40</v>
      </c>
      <c r="G18" s="1607">
        <v>44</v>
      </c>
      <c r="H18" s="1607">
        <v>98</v>
      </c>
      <c r="I18" s="1607">
        <v>1</v>
      </c>
      <c r="J18" s="1607" t="s">
        <v>160</v>
      </c>
      <c r="K18" s="1607" t="s">
        <v>35</v>
      </c>
      <c r="L18" s="1607" t="s">
        <v>1251</v>
      </c>
      <c r="M18" s="1607">
        <v>1</v>
      </c>
      <c r="N18" s="1607"/>
      <c r="O18" s="1607">
        <v>1</v>
      </c>
      <c r="P18" s="1607"/>
      <c r="Q18" s="1607"/>
      <c r="R18" s="1607"/>
      <c r="S18" s="1607" t="s">
        <v>160</v>
      </c>
      <c r="T18" s="1607" t="s">
        <v>35</v>
      </c>
      <c r="U18" s="1607" t="s">
        <v>1252</v>
      </c>
      <c r="V18" s="1607">
        <v>28</v>
      </c>
      <c r="W18" s="1607">
        <v>16</v>
      </c>
      <c r="X18" s="1607">
        <v>4</v>
      </c>
      <c r="Y18" s="1607"/>
      <c r="Z18" s="1607">
        <v>8</v>
      </c>
      <c r="AA18" s="1607"/>
    </row>
    <row r="19" spans="1:27" x14ac:dyDescent="0.2">
      <c r="A19" s="1607" t="s">
        <v>160</v>
      </c>
      <c r="B19" s="1607" t="s">
        <v>1253</v>
      </c>
      <c r="C19" s="1607" t="s">
        <v>36</v>
      </c>
      <c r="D19" s="1607">
        <v>960</v>
      </c>
      <c r="E19" s="1607">
        <v>531</v>
      </c>
      <c r="F19" s="1607">
        <v>80</v>
      </c>
      <c r="G19" s="1607">
        <v>135</v>
      </c>
      <c r="H19" s="1607">
        <v>199</v>
      </c>
      <c r="I19" s="1607">
        <v>15</v>
      </c>
      <c r="J19" s="1607" t="s">
        <v>160</v>
      </c>
      <c r="K19" s="1607" t="s">
        <v>36</v>
      </c>
      <c r="L19" s="1607" t="s">
        <v>1251</v>
      </c>
      <c r="M19" s="1607">
        <v>4</v>
      </c>
      <c r="N19" s="1607">
        <v>2</v>
      </c>
      <c r="O19" s="1607">
        <v>1</v>
      </c>
      <c r="P19" s="1607">
        <v>1</v>
      </c>
      <c r="Q19" s="1607"/>
      <c r="R19" s="1607"/>
      <c r="S19" s="1607" t="s">
        <v>160</v>
      </c>
      <c r="T19" s="1607" t="s">
        <v>36</v>
      </c>
      <c r="U19" s="1607" t="s">
        <v>1252</v>
      </c>
      <c r="V19" s="1607">
        <v>182</v>
      </c>
      <c r="W19" s="1607">
        <v>74</v>
      </c>
      <c r="X19" s="1607">
        <v>20</v>
      </c>
      <c r="Y19" s="1607">
        <v>29</v>
      </c>
      <c r="Z19" s="1607">
        <v>43</v>
      </c>
      <c r="AA19" s="1607">
        <v>16</v>
      </c>
    </row>
    <row r="20" spans="1:27" x14ac:dyDescent="0.2">
      <c r="A20" s="1607" t="s">
        <v>160</v>
      </c>
      <c r="B20" s="1607" t="s">
        <v>1253</v>
      </c>
      <c r="C20" s="1607" t="s">
        <v>37</v>
      </c>
      <c r="D20" s="1607">
        <v>131</v>
      </c>
      <c r="E20" s="1607">
        <v>44</v>
      </c>
      <c r="F20" s="1607">
        <v>10</v>
      </c>
      <c r="G20" s="1607">
        <v>18</v>
      </c>
      <c r="H20" s="1607">
        <v>53</v>
      </c>
      <c r="I20" s="1607">
        <v>6</v>
      </c>
      <c r="J20" s="1607" t="s">
        <v>160</v>
      </c>
      <c r="K20" s="1607" t="s">
        <v>37</v>
      </c>
      <c r="L20" s="1607" t="s">
        <v>1251</v>
      </c>
      <c r="M20" s="1607">
        <v>5</v>
      </c>
      <c r="N20" s="1607"/>
      <c r="O20" s="1607">
        <v>1</v>
      </c>
      <c r="P20" s="1607"/>
      <c r="Q20" s="1607">
        <v>3</v>
      </c>
      <c r="R20" s="1607">
        <v>1</v>
      </c>
      <c r="S20" s="1607" t="s">
        <v>160</v>
      </c>
      <c r="T20" s="1607" t="s">
        <v>37</v>
      </c>
      <c r="U20" s="1607" t="s">
        <v>1252</v>
      </c>
      <c r="V20" s="1607">
        <v>35</v>
      </c>
      <c r="W20" s="1607">
        <v>14</v>
      </c>
      <c r="X20" s="1607">
        <v>2</v>
      </c>
      <c r="Y20" s="1607">
        <v>2</v>
      </c>
      <c r="Z20" s="1607">
        <v>17</v>
      </c>
      <c r="AA20" s="1607"/>
    </row>
    <row r="21" spans="1:27" x14ac:dyDescent="0.2">
      <c r="A21" s="1607" t="s">
        <v>160</v>
      </c>
      <c r="B21" s="1607" t="s">
        <v>1253</v>
      </c>
      <c r="C21" s="1607" t="s">
        <v>38</v>
      </c>
      <c r="D21" s="1607">
        <v>129</v>
      </c>
      <c r="E21" s="1607">
        <v>69</v>
      </c>
      <c r="F21" s="1607">
        <v>16</v>
      </c>
      <c r="G21" s="1607">
        <v>23</v>
      </c>
      <c r="H21" s="1607">
        <v>19</v>
      </c>
      <c r="I21" s="1607">
        <v>2</v>
      </c>
      <c r="J21" s="1607" t="s">
        <v>160</v>
      </c>
      <c r="K21" s="1607" t="s">
        <v>38</v>
      </c>
      <c r="L21" s="1607" t="s">
        <v>1251</v>
      </c>
      <c r="M21" s="1607">
        <v>1</v>
      </c>
      <c r="N21" s="1607"/>
      <c r="O21" s="1607"/>
      <c r="P21" s="1607"/>
      <c r="Q21" s="1607"/>
      <c r="R21" s="1607">
        <v>1</v>
      </c>
      <c r="S21" s="1607" t="s">
        <v>160</v>
      </c>
      <c r="T21" s="1607" t="s">
        <v>38</v>
      </c>
      <c r="U21" s="1607" t="s">
        <v>1252</v>
      </c>
      <c r="V21" s="1607">
        <v>41</v>
      </c>
      <c r="W21" s="1607">
        <v>13</v>
      </c>
      <c r="X21" s="1607">
        <v>5</v>
      </c>
      <c r="Y21" s="1607">
        <v>14</v>
      </c>
      <c r="Z21" s="1607">
        <v>9</v>
      </c>
      <c r="AA21" s="1607"/>
    </row>
    <row r="22" spans="1:27" x14ac:dyDescent="0.2">
      <c r="A22" s="1607" t="s">
        <v>160</v>
      </c>
      <c r="B22" s="1607" t="s">
        <v>1253</v>
      </c>
      <c r="C22" s="1607" t="s">
        <v>39</v>
      </c>
      <c r="D22" s="1607">
        <v>69</v>
      </c>
      <c r="E22" s="1607">
        <v>30</v>
      </c>
      <c r="F22" s="1607">
        <v>7</v>
      </c>
      <c r="G22" s="1607">
        <v>8</v>
      </c>
      <c r="H22" s="1607">
        <v>23</v>
      </c>
      <c r="I22" s="1607">
        <v>1</v>
      </c>
      <c r="J22" s="1607"/>
      <c r="K22" s="1607"/>
      <c r="L22" s="1607"/>
      <c r="M22" s="1607"/>
      <c r="N22" s="1607"/>
      <c r="O22" s="1607"/>
      <c r="P22" s="1607"/>
      <c r="Q22" s="1607"/>
      <c r="R22" s="1607"/>
      <c r="S22" s="1607" t="s">
        <v>160</v>
      </c>
      <c r="T22" s="1607" t="s">
        <v>39</v>
      </c>
      <c r="U22" s="1607" t="s">
        <v>1252</v>
      </c>
      <c r="V22" s="1607">
        <v>9</v>
      </c>
      <c r="W22" s="1607">
        <v>2</v>
      </c>
      <c r="X22" s="1607">
        <v>2</v>
      </c>
      <c r="Y22" s="1607">
        <v>2</v>
      </c>
      <c r="Z22" s="1607">
        <v>3</v>
      </c>
      <c r="AA22" s="1607"/>
    </row>
    <row r="23" spans="1:27" x14ac:dyDescent="0.2">
      <c r="A23" s="1607" t="s">
        <v>160</v>
      </c>
      <c r="B23" s="1607" t="s">
        <v>1253</v>
      </c>
      <c r="C23" s="1607" t="s">
        <v>40</v>
      </c>
      <c r="D23" s="1607">
        <v>50</v>
      </c>
      <c r="E23" s="1607">
        <v>21</v>
      </c>
      <c r="F23" s="1607">
        <v>3</v>
      </c>
      <c r="G23" s="1607">
        <v>9</v>
      </c>
      <c r="H23" s="1607">
        <v>14</v>
      </c>
      <c r="I23" s="1607">
        <v>3</v>
      </c>
      <c r="J23" s="1607"/>
      <c r="K23" s="1607"/>
      <c r="L23" s="1607"/>
      <c r="M23" s="1607"/>
      <c r="N23" s="1607"/>
      <c r="O23" s="1607"/>
      <c r="P23" s="1607"/>
      <c r="Q23" s="1607"/>
      <c r="R23" s="1607"/>
      <c r="S23" s="1607" t="s">
        <v>160</v>
      </c>
      <c r="T23" s="1607" t="s">
        <v>40</v>
      </c>
      <c r="U23" s="1607" t="s">
        <v>1252</v>
      </c>
      <c r="V23" s="1607">
        <v>11</v>
      </c>
      <c r="W23" s="1607">
        <v>3</v>
      </c>
      <c r="X23" s="1607">
        <v>2</v>
      </c>
      <c r="Y23" s="1607"/>
      <c r="Z23" s="1607">
        <v>3</v>
      </c>
      <c r="AA23" s="1607">
        <v>3</v>
      </c>
    </row>
    <row r="24" spans="1:27" x14ac:dyDescent="0.2">
      <c r="A24" s="1607" t="s">
        <v>160</v>
      </c>
      <c r="B24" s="1607" t="s">
        <v>1253</v>
      </c>
      <c r="C24" s="1607" t="s">
        <v>393</v>
      </c>
      <c r="D24" s="1607">
        <v>20</v>
      </c>
      <c r="E24" s="1607">
        <v>5</v>
      </c>
      <c r="F24" s="1607">
        <v>2</v>
      </c>
      <c r="G24" s="1607">
        <v>5</v>
      </c>
      <c r="H24" s="1607">
        <v>6</v>
      </c>
      <c r="I24" s="1607">
        <v>2</v>
      </c>
      <c r="J24" s="1607"/>
      <c r="K24" s="1607"/>
      <c r="L24" s="1607"/>
      <c r="M24" s="1607"/>
      <c r="N24" s="1607"/>
      <c r="O24" s="1607"/>
      <c r="P24" s="1607"/>
      <c r="Q24" s="1607"/>
      <c r="R24" s="1607"/>
      <c r="S24" s="1607" t="s">
        <v>160</v>
      </c>
      <c r="T24" s="1607" t="s">
        <v>393</v>
      </c>
      <c r="U24" s="1607" t="s">
        <v>1252</v>
      </c>
      <c r="V24" s="1607">
        <v>7</v>
      </c>
      <c r="W24" s="1607">
        <v>4</v>
      </c>
      <c r="X24" s="1607">
        <v>1</v>
      </c>
      <c r="Y24" s="1607"/>
      <c r="Z24" s="1607">
        <v>1</v>
      </c>
      <c r="AA24" s="1607">
        <v>1</v>
      </c>
    </row>
    <row r="25" spans="1:27" x14ac:dyDescent="0.2">
      <c r="A25" s="1607" t="s">
        <v>160</v>
      </c>
      <c r="B25" s="1607" t="s">
        <v>1253</v>
      </c>
      <c r="C25" s="1607" t="s">
        <v>41</v>
      </c>
      <c r="D25" s="1607">
        <v>176</v>
      </c>
      <c r="E25" s="1607">
        <v>112</v>
      </c>
      <c r="F25" s="1607">
        <v>14</v>
      </c>
      <c r="G25" s="1607">
        <v>21</v>
      </c>
      <c r="H25" s="1607">
        <v>28</v>
      </c>
      <c r="I25" s="1607">
        <v>1</v>
      </c>
      <c r="J25" s="1607" t="s">
        <v>160</v>
      </c>
      <c r="K25" s="1607" t="s">
        <v>41</v>
      </c>
      <c r="L25" s="1607" t="s">
        <v>1251</v>
      </c>
      <c r="M25" s="1607">
        <v>1</v>
      </c>
      <c r="N25" s="1607">
        <v>1</v>
      </c>
      <c r="O25" s="1607"/>
      <c r="P25" s="1607"/>
      <c r="Q25" s="1607"/>
      <c r="R25" s="1607"/>
      <c r="S25" s="1607" t="s">
        <v>160</v>
      </c>
      <c r="T25" s="1607" t="s">
        <v>41</v>
      </c>
      <c r="U25" s="1607" t="s">
        <v>1252</v>
      </c>
      <c r="V25" s="1607">
        <v>43</v>
      </c>
      <c r="W25" s="1607">
        <v>27</v>
      </c>
      <c r="X25" s="1607">
        <v>4</v>
      </c>
      <c r="Y25" s="1607">
        <v>1</v>
      </c>
      <c r="Z25" s="1607">
        <v>10</v>
      </c>
      <c r="AA25" s="1607">
        <v>1</v>
      </c>
    </row>
    <row r="26" spans="1:27" x14ac:dyDescent="0.2">
      <c r="A26" s="1607" t="s">
        <v>160</v>
      </c>
      <c r="B26" s="1607" t="s">
        <v>1253</v>
      </c>
      <c r="C26" s="1607" t="s">
        <v>42</v>
      </c>
      <c r="D26" s="1607">
        <v>336</v>
      </c>
      <c r="E26" s="1607">
        <v>177</v>
      </c>
      <c r="F26" s="1607">
        <v>41</v>
      </c>
      <c r="G26" s="1607">
        <v>49</v>
      </c>
      <c r="H26" s="1607">
        <v>65</v>
      </c>
      <c r="I26" s="1607">
        <v>4</v>
      </c>
      <c r="J26" s="1607" t="s">
        <v>160</v>
      </c>
      <c r="K26" s="1607" t="s">
        <v>42</v>
      </c>
      <c r="L26" s="1607" t="s">
        <v>1251</v>
      </c>
      <c r="M26" s="1607">
        <v>4</v>
      </c>
      <c r="N26" s="1607"/>
      <c r="O26" s="1607">
        <v>2</v>
      </c>
      <c r="P26" s="1607"/>
      <c r="Q26" s="1607">
        <v>2</v>
      </c>
      <c r="R26" s="1607"/>
      <c r="S26" s="1607" t="s">
        <v>160</v>
      </c>
      <c r="T26" s="1607" t="s">
        <v>42</v>
      </c>
      <c r="U26" s="1607" t="s">
        <v>1252</v>
      </c>
      <c r="V26" s="1607">
        <v>75</v>
      </c>
      <c r="W26" s="1607">
        <v>34</v>
      </c>
      <c r="X26" s="1607">
        <v>12</v>
      </c>
      <c r="Y26" s="1607">
        <v>12</v>
      </c>
      <c r="Z26" s="1607">
        <v>15</v>
      </c>
      <c r="AA26" s="1607">
        <v>2</v>
      </c>
    </row>
    <row r="27" spans="1:27" x14ac:dyDescent="0.2">
      <c r="A27" s="1607" t="s">
        <v>160</v>
      </c>
      <c r="B27" s="1607" t="s">
        <v>1253</v>
      </c>
      <c r="C27" s="1607" t="s">
        <v>43</v>
      </c>
      <c r="D27" s="1607">
        <v>11</v>
      </c>
      <c r="E27" s="1607">
        <v>3</v>
      </c>
      <c r="F27" s="1607"/>
      <c r="G27" s="1607">
        <v>1</v>
      </c>
      <c r="H27" s="1607">
        <v>7</v>
      </c>
      <c r="I27" s="1607"/>
      <c r="J27" s="1607"/>
      <c r="K27" s="1607"/>
      <c r="L27" s="1607"/>
      <c r="M27" s="1607"/>
      <c r="N27" s="1607"/>
      <c r="O27" s="1607"/>
      <c r="P27" s="1607"/>
      <c r="Q27" s="1607"/>
      <c r="R27" s="1607"/>
      <c r="S27" s="1607" t="s">
        <v>160</v>
      </c>
      <c r="T27" s="1607" t="s">
        <v>43</v>
      </c>
      <c r="U27" s="1607" t="s">
        <v>1252</v>
      </c>
      <c r="V27" s="1607">
        <v>2</v>
      </c>
      <c r="W27" s="1607">
        <v>1</v>
      </c>
      <c r="X27" s="1607"/>
      <c r="Y27" s="1607"/>
      <c r="Z27" s="1607">
        <v>1</v>
      </c>
      <c r="AA27" s="1607"/>
    </row>
    <row r="28" spans="1:27" x14ac:dyDescent="0.2">
      <c r="A28" s="1607" t="s">
        <v>160</v>
      </c>
      <c r="B28" s="1607" t="s">
        <v>1253</v>
      </c>
      <c r="C28" s="1607" t="s">
        <v>44</v>
      </c>
      <c r="D28" s="1607">
        <v>123</v>
      </c>
      <c r="E28" s="1607">
        <v>62</v>
      </c>
      <c r="F28" s="1607">
        <v>5</v>
      </c>
      <c r="G28" s="1607">
        <v>18</v>
      </c>
      <c r="H28" s="1607">
        <v>35</v>
      </c>
      <c r="I28" s="1607">
        <v>3</v>
      </c>
      <c r="J28" s="1607"/>
      <c r="K28" s="1607"/>
      <c r="L28" s="1607"/>
      <c r="M28" s="1607"/>
      <c r="N28" s="1607"/>
      <c r="O28" s="1607"/>
      <c r="P28" s="1607"/>
      <c r="Q28" s="1607"/>
      <c r="R28" s="1607"/>
      <c r="S28" s="1607" t="s">
        <v>160</v>
      </c>
      <c r="T28" s="1607" t="s">
        <v>44</v>
      </c>
      <c r="U28" s="1607" t="s">
        <v>1252</v>
      </c>
      <c r="V28" s="1607">
        <v>23</v>
      </c>
      <c r="W28" s="1607">
        <v>15</v>
      </c>
      <c r="X28" s="1607">
        <v>2</v>
      </c>
      <c r="Y28" s="1607">
        <v>3</v>
      </c>
      <c r="Z28" s="1607">
        <v>3</v>
      </c>
      <c r="AA28" s="1607"/>
    </row>
    <row r="29" spans="1:27" x14ac:dyDescent="0.2">
      <c r="A29" s="1607" t="s">
        <v>160</v>
      </c>
      <c r="B29" s="1607" t="s">
        <v>1253</v>
      </c>
      <c r="C29" s="1607" t="s">
        <v>45</v>
      </c>
      <c r="D29" s="1607">
        <v>242</v>
      </c>
      <c r="E29" s="1607">
        <v>135</v>
      </c>
      <c r="F29" s="1607">
        <v>16</v>
      </c>
      <c r="G29" s="1607">
        <v>38</v>
      </c>
      <c r="H29" s="1607">
        <v>52</v>
      </c>
      <c r="I29" s="1607">
        <v>1</v>
      </c>
      <c r="J29" s="1607"/>
      <c r="K29" s="1607"/>
      <c r="L29" s="1607"/>
      <c r="M29" s="1607"/>
      <c r="N29" s="1607"/>
      <c r="O29" s="1607"/>
      <c r="P29" s="1607"/>
      <c r="Q29" s="1607"/>
      <c r="R29" s="1607"/>
      <c r="S29" s="1607" t="s">
        <v>160</v>
      </c>
      <c r="T29" s="1607" t="s">
        <v>45</v>
      </c>
      <c r="U29" s="1607" t="s">
        <v>1252</v>
      </c>
      <c r="V29" s="1607">
        <v>38</v>
      </c>
      <c r="W29" s="1607">
        <v>20</v>
      </c>
      <c r="X29" s="1607">
        <v>1</v>
      </c>
      <c r="Y29" s="1607">
        <v>8</v>
      </c>
      <c r="Z29" s="1607">
        <v>9</v>
      </c>
      <c r="AA29" s="1607"/>
    </row>
    <row r="30" spans="1:27" x14ac:dyDescent="0.2">
      <c r="A30" s="1607" t="s">
        <v>160</v>
      </c>
      <c r="B30" s="1607" t="s">
        <v>1253</v>
      </c>
      <c r="C30" s="1607" t="s">
        <v>46</v>
      </c>
      <c r="D30" s="1607">
        <v>109</v>
      </c>
      <c r="E30" s="1607">
        <v>48</v>
      </c>
      <c r="F30" s="1607">
        <v>8</v>
      </c>
      <c r="G30" s="1607">
        <v>18</v>
      </c>
      <c r="H30" s="1607">
        <v>33</v>
      </c>
      <c r="I30" s="1607">
        <v>2</v>
      </c>
      <c r="J30" s="1607" t="s">
        <v>160</v>
      </c>
      <c r="K30" s="1607" t="s">
        <v>46</v>
      </c>
      <c r="L30" s="1607" t="s">
        <v>1251</v>
      </c>
      <c r="M30" s="1607">
        <v>1</v>
      </c>
      <c r="N30" s="1607"/>
      <c r="O30" s="1607"/>
      <c r="P30" s="1607"/>
      <c r="Q30" s="1607">
        <v>1</v>
      </c>
      <c r="R30" s="1607"/>
      <c r="S30" s="1607" t="s">
        <v>160</v>
      </c>
      <c r="T30" s="1607" t="s">
        <v>46</v>
      </c>
      <c r="U30" s="1607" t="s">
        <v>1252</v>
      </c>
      <c r="V30" s="1607">
        <v>14</v>
      </c>
      <c r="W30" s="1607">
        <v>3</v>
      </c>
      <c r="X30" s="1607">
        <v>2</v>
      </c>
      <c r="Y30" s="1607">
        <v>3</v>
      </c>
      <c r="Z30" s="1607">
        <v>5</v>
      </c>
      <c r="AA30" s="1607">
        <v>1</v>
      </c>
    </row>
    <row r="31" spans="1:27" x14ac:dyDescent="0.2">
      <c r="A31" s="1607" t="s">
        <v>160</v>
      </c>
      <c r="B31" s="1607" t="s">
        <v>1253</v>
      </c>
      <c r="C31" s="1607" t="s">
        <v>47</v>
      </c>
      <c r="D31" s="1607">
        <v>19</v>
      </c>
      <c r="E31" s="1607">
        <v>3</v>
      </c>
      <c r="F31" s="1607">
        <v>4</v>
      </c>
      <c r="G31" s="1607">
        <v>3</v>
      </c>
      <c r="H31" s="1607">
        <v>6</v>
      </c>
      <c r="I31" s="1607">
        <v>3</v>
      </c>
      <c r="J31" s="1607" t="s">
        <v>160</v>
      </c>
      <c r="K31" s="1607" t="s">
        <v>47</v>
      </c>
      <c r="L31" s="1607" t="s">
        <v>1251</v>
      </c>
      <c r="M31" s="1607">
        <v>1</v>
      </c>
      <c r="N31" s="1607"/>
      <c r="O31" s="1607"/>
      <c r="P31" s="1607"/>
      <c r="Q31" s="1607"/>
      <c r="R31" s="1607">
        <v>1</v>
      </c>
      <c r="S31" s="1607" t="s">
        <v>160</v>
      </c>
      <c r="T31" s="1607" t="s">
        <v>47</v>
      </c>
      <c r="U31" s="1607" t="s">
        <v>1252</v>
      </c>
      <c r="V31" s="1607">
        <v>2</v>
      </c>
      <c r="W31" s="1607">
        <v>1</v>
      </c>
      <c r="X31" s="1607">
        <v>1</v>
      </c>
      <c r="Y31" s="1607"/>
      <c r="Z31" s="1607"/>
      <c r="AA31" s="1607"/>
    </row>
    <row r="32" spans="1:27" x14ac:dyDescent="0.2">
      <c r="A32" s="1607" t="s">
        <v>160</v>
      </c>
      <c r="B32" s="1607" t="s">
        <v>1253</v>
      </c>
      <c r="C32" s="1607" t="s">
        <v>48</v>
      </c>
      <c r="D32" s="1607">
        <v>101</v>
      </c>
      <c r="E32" s="1607">
        <v>57</v>
      </c>
      <c r="F32" s="1607">
        <v>10</v>
      </c>
      <c r="G32" s="1607">
        <v>13</v>
      </c>
      <c r="H32" s="1607">
        <v>18</v>
      </c>
      <c r="I32" s="1607">
        <v>3</v>
      </c>
      <c r="J32" s="1607"/>
      <c r="K32" s="1607"/>
      <c r="L32" s="1607"/>
      <c r="M32" s="1607"/>
      <c r="N32" s="1607"/>
      <c r="O32" s="1607"/>
      <c r="P32" s="1607"/>
      <c r="Q32" s="1607"/>
      <c r="R32" s="1607"/>
      <c r="S32" s="1607" t="s">
        <v>160</v>
      </c>
      <c r="T32" s="1607" t="s">
        <v>48</v>
      </c>
      <c r="U32" s="1607" t="s">
        <v>1252</v>
      </c>
      <c r="V32" s="1607">
        <v>20</v>
      </c>
      <c r="W32" s="1607">
        <v>13</v>
      </c>
      <c r="X32" s="1607">
        <v>3</v>
      </c>
      <c r="Y32" s="1607">
        <v>1</v>
      </c>
      <c r="Z32" s="1607">
        <v>3</v>
      </c>
      <c r="AA32" s="1607"/>
    </row>
    <row r="33" spans="1:27" x14ac:dyDescent="0.2">
      <c r="A33" s="1607" t="s">
        <v>160</v>
      </c>
      <c r="B33" s="1607" t="s">
        <v>1253</v>
      </c>
      <c r="C33" s="1607" t="s">
        <v>49</v>
      </c>
      <c r="D33" s="1607">
        <v>294</v>
      </c>
      <c r="E33" s="1607">
        <v>159</v>
      </c>
      <c r="F33" s="1607">
        <v>33</v>
      </c>
      <c r="G33" s="1607">
        <v>50</v>
      </c>
      <c r="H33" s="1607">
        <v>50</v>
      </c>
      <c r="I33" s="1607">
        <v>2</v>
      </c>
      <c r="J33" s="1607" t="s">
        <v>160</v>
      </c>
      <c r="K33" s="1607" t="s">
        <v>49</v>
      </c>
      <c r="L33" s="1607" t="s">
        <v>1251</v>
      </c>
      <c r="M33" s="1607">
        <v>4</v>
      </c>
      <c r="N33" s="1607">
        <v>1</v>
      </c>
      <c r="O33" s="1607"/>
      <c r="P33" s="1607">
        <v>2</v>
      </c>
      <c r="Q33" s="1607">
        <v>1</v>
      </c>
      <c r="R33" s="1607"/>
      <c r="S33" s="1607" t="s">
        <v>160</v>
      </c>
      <c r="T33" s="1607" t="s">
        <v>49</v>
      </c>
      <c r="U33" s="1607" t="s">
        <v>1252</v>
      </c>
      <c r="V33" s="1607">
        <v>62</v>
      </c>
      <c r="W33" s="1607">
        <v>32</v>
      </c>
      <c r="X33" s="1607">
        <v>6</v>
      </c>
      <c r="Y33" s="1607">
        <v>5</v>
      </c>
      <c r="Z33" s="1607">
        <v>19</v>
      </c>
      <c r="AA33" s="1607"/>
    </row>
    <row r="34" spans="1:27" x14ac:dyDescent="0.2">
      <c r="A34" s="1607" t="s">
        <v>160</v>
      </c>
      <c r="B34" s="1607" t="s">
        <v>1253</v>
      </c>
      <c r="C34" s="1607" t="s">
        <v>50</v>
      </c>
      <c r="D34" s="1607">
        <v>108</v>
      </c>
      <c r="E34" s="1607">
        <v>65</v>
      </c>
      <c r="F34" s="1607">
        <v>14</v>
      </c>
      <c r="G34" s="1607">
        <v>13</v>
      </c>
      <c r="H34" s="1607">
        <v>16</v>
      </c>
      <c r="I34" s="1607"/>
      <c r="J34" s="1607" t="s">
        <v>160</v>
      </c>
      <c r="K34" s="1607" t="s">
        <v>50</v>
      </c>
      <c r="L34" s="1607" t="s">
        <v>1251</v>
      </c>
      <c r="M34" s="1607">
        <v>1</v>
      </c>
      <c r="N34" s="1607"/>
      <c r="O34" s="1607"/>
      <c r="P34" s="1607"/>
      <c r="Q34" s="1607">
        <v>1</v>
      </c>
      <c r="R34" s="1607"/>
      <c r="S34" s="1607" t="s">
        <v>160</v>
      </c>
      <c r="T34" s="1607" t="s">
        <v>50</v>
      </c>
      <c r="U34" s="1607" t="s">
        <v>1252</v>
      </c>
      <c r="V34" s="1607">
        <v>8</v>
      </c>
      <c r="W34" s="1607">
        <v>6</v>
      </c>
      <c r="X34" s="1607">
        <v>1</v>
      </c>
      <c r="Y34" s="1607"/>
      <c r="Z34" s="1607">
        <v>1</v>
      </c>
      <c r="AA34" s="1607"/>
    </row>
    <row r="35" spans="1:27" x14ac:dyDescent="0.2">
      <c r="A35" s="1607" t="s">
        <v>160</v>
      </c>
      <c r="B35" s="1607" t="s">
        <v>1253</v>
      </c>
      <c r="C35" s="1607" t="s">
        <v>51</v>
      </c>
      <c r="D35" s="1607">
        <v>156</v>
      </c>
      <c r="E35" s="1607">
        <v>109</v>
      </c>
      <c r="F35" s="1607">
        <v>9</v>
      </c>
      <c r="G35" s="1607">
        <v>15</v>
      </c>
      <c r="H35" s="1607">
        <v>22</v>
      </c>
      <c r="I35" s="1607">
        <v>1</v>
      </c>
      <c r="J35" s="1607"/>
      <c r="K35" s="1607"/>
      <c r="L35" s="1607"/>
      <c r="M35" s="1607"/>
      <c r="N35" s="1607"/>
      <c r="O35" s="1607"/>
      <c r="P35" s="1607"/>
      <c r="Q35" s="1607"/>
      <c r="R35" s="1607"/>
      <c r="S35" s="1607" t="s">
        <v>160</v>
      </c>
      <c r="T35" s="1607" t="s">
        <v>51</v>
      </c>
      <c r="U35" s="1607" t="s">
        <v>1252</v>
      </c>
      <c r="V35" s="1607">
        <v>35</v>
      </c>
      <c r="W35" s="1607">
        <v>21</v>
      </c>
      <c r="X35" s="1607"/>
      <c r="Y35" s="1607"/>
      <c r="Z35" s="1607">
        <v>14</v>
      </c>
      <c r="AA35" s="1607"/>
    </row>
    <row r="36" spans="1:27" x14ac:dyDescent="0.2">
      <c r="A36" s="1607" t="s">
        <v>160</v>
      </c>
      <c r="B36" s="1607" t="s">
        <v>1253</v>
      </c>
      <c r="C36" s="1607" t="s">
        <v>52</v>
      </c>
      <c r="D36" s="1607">
        <v>150</v>
      </c>
      <c r="E36" s="1607">
        <v>70</v>
      </c>
      <c r="F36" s="1607">
        <v>13</v>
      </c>
      <c r="G36" s="1607">
        <v>29</v>
      </c>
      <c r="H36" s="1607">
        <v>37</v>
      </c>
      <c r="I36" s="1607">
        <v>1</v>
      </c>
      <c r="J36" s="1607" t="s">
        <v>160</v>
      </c>
      <c r="K36" s="1607" t="s">
        <v>52</v>
      </c>
      <c r="L36" s="1607" t="s">
        <v>1251</v>
      </c>
      <c r="M36" s="1607">
        <v>1</v>
      </c>
      <c r="N36" s="1607"/>
      <c r="O36" s="1607"/>
      <c r="P36" s="1607"/>
      <c r="Q36" s="1607">
        <v>1</v>
      </c>
      <c r="R36" s="1607"/>
      <c r="S36" s="1607" t="s">
        <v>160</v>
      </c>
      <c r="T36" s="1607" t="s">
        <v>52</v>
      </c>
      <c r="U36" s="1607" t="s">
        <v>1252</v>
      </c>
      <c r="V36" s="1607">
        <v>26</v>
      </c>
      <c r="W36" s="1607">
        <v>13</v>
      </c>
      <c r="X36" s="1607">
        <v>2</v>
      </c>
      <c r="Y36" s="1607">
        <v>3</v>
      </c>
      <c r="Z36" s="1607">
        <v>5</v>
      </c>
      <c r="AA36" s="1607">
        <v>3</v>
      </c>
    </row>
    <row r="37" spans="1:27" x14ac:dyDescent="0.2">
      <c r="A37" s="1607" t="s">
        <v>379</v>
      </c>
      <c r="B37" s="1607" t="s">
        <v>1253</v>
      </c>
      <c r="C37" s="1607" t="s">
        <v>23</v>
      </c>
      <c r="D37" s="1607">
        <v>350</v>
      </c>
      <c r="E37" s="1607">
        <v>217</v>
      </c>
      <c r="F37" s="1607">
        <v>18</v>
      </c>
      <c r="G37" s="1607">
        <v>20</v>
      </c>
      <c r="H37" s="1607">
        <v>94</v>
      </c>
      <c r="I37" s="1607">
        <v>1</v>
      </c>
      <c r="J37" s="1607" t="s">
        <v>379</v>
      </c>
      <c r="K37" s="1607" t="s">
        <v>23</v>
      </c>
      <c r="L37" s="1607" t="s">
        <v>1251</v>
      </c>
      <c r="M37" s="1607">
        <v>2</v>
      </c>
      <c r="N37" s="1607"/>
      <c r="O37" s="1607"/>
      <c r="P37" s="1607">
        <v>1</v>
      </c>
      <c r="Q37" s="1607">
        <v>1</v>
      </c>
      <c r="R37" s="1607"/>
      <c r="S37" s="1607" t="s">
        <v>379</v>
      </c>
      <c r="T37" s="1607" t="s">
        <v>23</v>
      </c>
      <c r="U37" s="1607" t="s">
        <v>1252</v>
      </c>
      <c r="V37" s="1607">
        <v>33</v>
      </c>
      <c r="W37" s="1607">
        <v>16</v>
      </c>
      <c r="X37" s="1607">
        <v>3</v>
      </c>
      <c r="Y37" s="1607">
        <v>7</v>
      </c>
      <c r="Z37" s="1607">
        <v>7</v>
      </c>
      <c r="AA37" s="1607"/>
    </row>
    <row r="38" spans="1:27" x14ac:dyDescent="0.2">
      <c r="A38" s="1607" t="s">
        <v>379</v>
      </c>
      <c r="B38" s="1607" t="s">
        <v>1253</v>
      </c>
      <c r="C38" s="1607" t="s">
        <v>24</v>
      </c>
      <c r="D38" s="1607">
        <v>184</v>
      </c>
      <c r="E38" s="1607">
        <v>95</v>
      </c>
      <c r="F38" s="1607">
        <v>8</v>
      </c>
      <c r="G38" s="1607">
        <v>13</v>
      </c>
      <c r="H38" s="1607">
        <v>63</v>
      </c>
      <c r="I38" s="1607">
        <v>5</v>
      </c>
      <c r="J38" s="1607" t="s">
        <v>379</v>
      </c>
      <c r="K38" s="1607" t="s">
        <v>24</v>
      </c>
      <c r="L38" s="1607" t="s">
        <v>1251</v>
      </c>
      <c r="M38" s="1607">
        <v>2</v>
      </c>
      <c r="N38" s="1607">
        <v>2</v>
      </c>
      <c r="O38" s="1607"/>
      <c r="P38" s="1607"/>
      <c r="Q38" s="1607"/>
      <c r="R38" s="1607"/>
      <c r="S38" s="1607" t="s">
        <v>379</v>
      </c>
      <c r="T38" s="1607" t="s">
        <v>24</v>
      </c>
      <c r="U38" s="1607" t="s">
        <v>1252</v>
      </c>
      <c r="V38" s="1607">
        <v>20</v>
      </c>
      <c r="W38" s="1607">
        <v>8</v>
      </c>
      <c r="X38" s="1607">
        <v>5</v>
      </c>
      <c r="Y38" s="1607"/>
      <c r="Z38" s="1607">
        <v>6</v>
      </c>
      <c r="AA38" s="1607">
        <v>1</v>
      </c>
    </row>
    <row r="39" spans="1:27" x14ac:dyDescent="0.2">
      <c r="A39" s="1607" t="s">
        <v>379</v>
      </c>
      <c r="B39" s="1607" t="s">
        <v>1253</v>
      </c>
      <c r="C39" s="1607" t="s">
        <v>25</v>
      </c>
      <c r="D39" s="1607">
        <v>98</v>
      </c>
      <c r="E39" s="1607">
        <v>53</v>
      </c>
      <c r="F39" s="1607">
        <v>13</v>
      </c>
      <c r="G39" s="1607">
        <v>13</v>
      </c>
      <c r="H39" s="1607">
        <v>16</v>
      </c>
      <c r="I39" s="1607">
        <v>3</v>
      </c>
      <c r="J39" s="1607"/>
      <c r="K39" s="1607"/>
      <c r="L39" s="1607"/>
      <c r="M39" s="1607"/>
      <c r="N39" s="1607"/>
      <c r="O39" s="1607"/>
      <c r="P39" s="1607"/>
      <c r="Q39" s="1607"/>
      <c r="R39" s="1607"/>
      <c r="S39" s="1607" t="s">
        <v>379</v>
      </c>
      <c r="T39" s="1607" t="s">
        <v>25</v>
      </c>
      <c r="U39" s="1607" t="s">
        <v>1252</v>
      </c>
      <c r="V39" s="1607">
        <v>18</v>
      </c>
      <c r="W39" s="1607">
        <v>4</v>
      </c>
      <c r="X39" s="1607">
        <v>6</v>
      </c>
      <c r="Y39" s="1607">
        <v>2</v>
      </c>
      <c r="Z39" s="1607">
        <v>6</v>
      </c>
      <c r="AA39" s="1607"/>
    </row>
    <row r="40" spans="1:27" x14ac:dyDescent="0.2">
      <c r="A40" s="1607" t="s">
        <v>379</v>
      </c>
      <c r="B40" s="1607" t="s">
        <v>1253</v>
      </c>
      <c r="C40" s="1607" t="s">
        <v>26</v>
      </c>
      <c r="D40" s="1607">
        <v>80</v>
      </c>
      <c r="E40" s="1607">
        <v>44</v>
      </c>
      <c r="F40" s="1607">
        <v>9</v>
      </c>
      <c r="G40" s="1607">
        <v>16</v>
      </c>
      <c r="H40" s="1607">
        <v>7</v>
      </c>
      <c r="I40" s="1607">
        <v>4</v>
      </c>
      <c r="J40" s="1607"/>
      <c r="K40" s="1607"/>
      <c r="L40" s="1607"/>
      <c r="M40" s="1607"/>
      <c r="N40" s="1607"/>
      <c r="O40" s="1607"/>
      <c r="P40" s="1607"/>
      <c r="Q40" s="1607"/>
      <c r="R40" s="1607"/>
      <c r="S40" s="1607" t="s">
        <v>379</v>
      </c>
      <c r="T40" s="1607" t="s">
        <v>26</v>
      </c>
      <c r="U40" s="1607" t="s">
        <v>1252</v>
      </c>
      <c r="V40" s="1607">
        <v>13</v>
      </c>
      <c r="W40" s="1607">
        <v>13</v>
      </c>
      <c r="X40" s="1607"/>
      <c r="Y40" s="1607"/>
      <c r="Z40" s="1607"/>
      <c r="AA40" s="1607"/>
    </row>
    <row r="41" spans="1:27" x14ac:dyDescent="0.2">
      <c r="A41" s="1607" t="s">
        <v>379</v>
      </c>
      <c r="B41" s="1607" t="s">
        <v>1253</v>
      </c>
      <c r="C41" s="1607" t="s">
        <v>27</v>
      </c>
      <c r="D41" s="1607">
        <v>72</v>
      </c>
      <c r="E41" s="1607">
        <v>39</v>
      </c>
      <c r="F41" s="1607">
        <v>8</v>
      </c>
      <c r="G41" s="1607">
        <v>10</v>
      </c>
      <c r="H41" s="1607">
        <v>15</v>
      </c>
      <c r="I41" s="1607"/>
      <c r="J41" s="1607"/>
      <c r="K41" s="1607"/>
      <c r="L41" s="1607"/>
      <c r="M41" s="1607"/>
      <c r="N41" s="1607"/>
      <c r="O41" s="1607"/>
      <c r="P41" s="1607"/>
      <c r="Q41" s="1607"/>
      <c r="R41" s="1607"/>
      <c r="S41" s="1607" t="s">
        <v>379</v>
      </c>
      <c r="T41" s="1607" t="s">
        <v>27</v>
      </c>
      <c r="U41" s="1607" t="s">
        <v>1252</v>
      </c>
      <c r="V41" s="1607">
        <v>20</v>
      </c>
      <c r="W41" s="1607">
        <v>8</v>
      </c>
      <c r="X41" s="1607"/>
      <c r="Y41" s="1607">
        <v>4</v>
      </c>
      <c r="Z41" s="1607">
        <v>8</v>
      </c>
      <c r="AA41" s="1607"/>
    </row>
    <row r="42" spans="1:27" x14ac:dyDescent="0.2">
      <c r="A42" s="1607" t="s">
        <v>379</v>
      </c>
      <c r="B42" s="1607" t="s">
        <v>1253</v>
      </c>
      <c r="C42" s="1607" t="s">
        <v>28</v>
      </c>
      <c r="D42" s="1607">
        <v>118</v>
      </c>
      <c r="E42" s="1607">
        <v>49</v>
      </c>
      <c r="F42" s="1607">
        <v>11</v>
      </c>
      <c r="G42" s="1607">
        <v>18</v>
      </c>
      <c r="H42" s="1607">
        <v>39</v>
      </c>
      <c r="I42" s="1607">
        <v>1</v>
      </c>
      <c r="J42" s="1607" t="s">
        <v>379</v>
      </c>
      <c r="K42" s="1607" t="s">
        <v>28</v>
      </c>
      <c r="L42" s="1607" t="s">
        <v>1251</v>
      </c>
      <c r="M42" s="1607">
        <v>1</v>
      </c>
      <c r="N42" s="1607"/>
      <c r="O42" s="1607"/>
      <c r="P42" s="1607"/>
      <c r="Q42" s="1607"/>
      <c r="R42" s="1607">
        <v>1</v>
      </c>
      <c r="S42" s="1607" t="s">
        <v>379</v>
      </c>
      <c r="T42" s="1607" t="s">
        <v>28</v>
      </c>
      <c r="U42" s="1607" t="s">
        <v>1252</v>
      </c>
      <c r="V42" s="1607">
        <v>7</v>
      </c>
      <c r="W42" s="1607">
        <v>5</v>
      </c>
      <c r="X42" s="1607">
        <v>1</v>
      </c>
      <c r="Y42" s="1607"/>
      <c r="Z42" s="1607">
        <v>1</v>
      </c>
      <c r="AA42" s="1607"/>
    </row>
    <row r="43" spans="1:27" x14ac:dyDescent="0.2">
      <c r="A43" s="1607" t="s">
        <v>379</v>
      </c>
      <c r="B43" s="1607" t="s">
        <v>1253</v>
      </c>
      <c r="C43" s="1607" t="s">
        <v>29</v>
      </c>
      <c r="D43" s="1607">
        <v>257</v>
      </c>
      <c r="E43" s="1607">
        <v>137</v>
      </c>
      <c r="F43" s="1607">
        <v>25</v>
      </c>
      <c r="G43" s="1607">
        <v>24</v>
      </c>
      <c r="H43" s="1607">
        <v>69</v>
      </c>
      <c r="I43" s="1607">
        <v>2</v>
      </c>
      <c r="J43" s="1607"/>
      <c r="K43" s="1607"/>
      <c r="L43" s="1607"/>
      <c r="M43" s="1607"/>
      <c r="N43" s="1607"/>
      <c r="O43" s="1607"/>
      <c r="P43" s="1607"/>
      <c r="Q43" s="1607"/>
      <c r="R43" s="1607"/>
      <c r="S43" s="1607" t="s">
        <v>379</v>
      </c>
      <c r="T43" s="1607" t="s">
        <v>29</v>
      </c>
      <c r="U43" s="1607" t="s">
        <v>1252</v>
      </c>
      <c r="V43" s="1607">
        <v>53</v>
      </c>
      <c r="W43" s="1607">
        <v>22</v>
      </c>
      <c r="X43" s="1607">
        <v>3</v>
      </c>
      <c r="Y43" s="1607">
        <v>5</v>
      </c>
      <c r="Z43" s="1607">
        <v>23</v>
      </c>
      <c r="AA43" s="1607"/>
    </row>
    <row r="44" spans="1:27" x14ac:dyDescent="0.2">
      <c r="A44" s="1607" t="s">
        <v>379</v>
      </c>
      <c r="B44" s="1607" t="s">
        <v>1253</v>
      </c>
      <c r="C44" s="1607" t="s">
        <v>30</v>
      </c>
      <c r="D44" s="1607">
        <v>146</v>
      </c>
      <c r="E44" s="1607">
        <v>105</v>
      </c>
      <c r="F44" s="1607">
        <v>12</v>
      </c>
      <c r="G44" s="1607">
        <v>16</v>
      </c>
      <c r="H44" s="1607">
        <v>11</v>
      </c>
      <c r="I44" s="1607">
        <v>2</v>
      </c>
      <c r="J44" s="1607" t="s">
        <v>379</v>
      </c>
      <c r="K44" s="1607" t="s">
        <v>30</v>
      </c>
      <c r="L44" s="1607" t="s">
        <v>1251</v>
      </c>
      <c r="M44" s="1607">
        <v>2</v>
      </c>
      <c r="N44" s="1607"/>
      <c r="O44" s="1607"/>
      <c r="P44" s="1607"/>
      <c r="Q44" s="1607"/>
      <c r="R44" s="1607">
        <v>2</v>
      </c>
      <c r="S44" s="1607" t="s">
        <v>379</v>
      </c>
      <c r="T44" s="1607" t="s">
        <v>30</v>
      </c>
      <c r="U44" s="1607" t="s">
        <v>1252</v>
      </c>
      <c r="V44" s="1607">
        <v>29</v>
      </c>
      <c r="W44" s="1607">
        <v>15</v>
      </c>
      <c r="X44" s="1607">
        <v>5</v>
      </c>
      <c r="Y44" s="1607">
        <v>5</v>
      </c>
      <c r="Z44" s="1607">
        <v>3</v>
      </c>
      <c r="AA44" s="1607">
        <v>1</v>
      </c>
    </row>
    <row r="45" spans="1:27" x14ac:dyDescent="0.2">
      <c r="A45" s="1607" t="s">
        <v>379</v>
      </c>
      <c r="B45" s="1607" t="s">
        <v>1253</v>
      </c>
      <c r="C45" s="1607" t="s">
        <v>31</v>
      </c>
      <c r="D45" s="1607">
        <v>82</v>
      </c>
      <c r="E45" s="1607">
        <v>41</v>
      </c>
      <c r="F45" s="1607">
        <v>6</v>
      </c>
      <c r="G45" s="1607">
        <v>21</v>
      </c>
      <c r="H45" s="1607">
        <v>12</v>
      </c>
      <c r="I45" s="1607">
        <v>2</v>
      </c>
      <c r="J45" s="1607" t="s">
        <v>379</v>
      </c>
      <c r="K45" s="1607" t="s">
        <v>31</v>
      </c>
      <c r="L45" s="1607" t="s">
        <v>1251</v>
      </c>
      <c r="M45" s="1607">
        <v>2</v>
      </c>
      <c r="N45" s="1607"/>
      <c r="O45" s="1607"/>
      <c r="P45" s="1607">
        <v>1</v>
      </c>
      <c r="Q45" s="1607"/>
      <c r="R45" s="1607">
        <v>1</v>
      </c>
      <c r="S45" s="1607" t="s">
        <v>379</v>
      </c>
      <c r="T45" s="1607" t="s">
        <v>31</v>
      </c>
      <c r="U45" s="1607" t="s">
        <v>1252</v>
      </c>
      <c r="V45" s="1607">
        <v>23</v>
      </c>
      <c r="W45" s="1607">
        <v>11</v>
      </c>
      <c r="X45" s="1607">
        <v>2</v>
      </c>
      <c r="Y45" s="1607">
        <v>9</v>
      </c>
      <c r="Z45" s="1607"/>
      <c r="AA45" s="1607">
        <v>1</v>
      </c>
    </row>
    <row r="46" spans="1:27" x14ac:dyDescent="0.2">
      <c r="A46" s="1607" t="s">
        <v>379</v>
      </c>
      <c r="B46" s="1607" t="s">
        <v>1253</v>
      </c>
      <c r="C46" s="1607" t="s">
        <v>32</v>
      </c>
      <c r="D46" s="1607">
        <v>59</v>
      </c>
      <c r="E46" s="1607">
        <v>23</v>
      </c>
      <c r="F46" s="1607"/>
      <c r="G46" s="1607">
        <v>7</v>
      </c>
      <c r="H46" s="1607">
        <v>27</v>
      </c>
      <c r="I46" s="1607">
        <v>2</v>
      </c>
      <c r="J46" s="1607"/>
      <c r="K46" s="1607"/>
      <c r="L46" s="1607"/>
      <c r="M46" s="1607"/>
      <c r="N46" s="1607"/>
      <c r="O46" s="1607"/>
      <c r="P46" s="1607"/>
      <c r="Q46" s="1607"/>
      <c r="R46" s="1607"/>
      <c r="S46" s="1607" t="s">
        <v>379</v>
      </c>
      <c r="T46" s="1607" t="s">
        <v>32</v>
      </c>
      <c r="U46" s="1607" t="s">
        <v>1252</v>
      </c>
      <c r="V46" s="1607">
        <v>8</v>
      </c>
      <c r="W46" s="1607">
        <v>2</v>
      </c>
      <c r="X46" s="1607"/>
      <c r="Y46" s="1607">
        <v>3</v>
      </c>
      <c r="Z46" s="1607">
        <v>3</v>
      </c>
      <c r="AA46" s="1607"/>
    </row>
    <row r="47" spans="1:27" x14ac:dyDescent="0.2">
      <c r="A47" s="1607" t="s">
        <v>379</v>
      </c>
      <c r="B47" s="1607" t="s">
        <v>1253</v>
      </c>
      <c r="C47" s="1607" t="s">
        <v>33</v>
      </c>
      <c r="D47" s="1607">
        <v>64</v>
      </c>
      <c r="E47" s="1607">
        <v>40</v>
      </c>
      <c r="F47" s="1607">
        <v>7</v>
      </c>
      <c r="G47" s="1607">
        <v>9</v>
      </c>
      <c r="H47" s="1607">
        <v>7</v>
      </c>
      <c r="I47" s="1607">
        <v>1</v>
      </c>
      <c r="J47" s="1607"/>
      <c r="K47" s="1607"/>
      <c r="L47" s="1607"/>
      <c r="M47" s="1607"/>
      <c r="N47" s="1607"/>
      <c r="O47" s="1607"/>
      <c r="P47" s="1607"/>
      <c r="Q47" s="1607"/>
      <c r="R47" s="1607"/>
      <c r="S47" s="1607" t="s">
        <v>379</v>
      </c>
      <c r="T47" s="1607" t="s">
        <v>33</v>
      </c>
      <c r="U47" s="1607" t="s">
        <v>1252</v>
      </c>
      <c r="V47" s="1607">
        <v>7</v>
      </c>
      <c r="W47" s="1607">
        <v>6</v>
      </c>
      <c r="X47" s="1607">
        <v>1</v>
      </c>
      <c r="Y47" s="1607"/>
      <c r="Z47" s="1607"/>
      <c r="AA47" s="1607"/>
    </row>
    <row r="48" spans="1:27" x14ac:dyDescent="0.2">
      <c r="A48" s="1607" t="s">
        <v>379</v>
      </c>
      <c r="B48" s="1607" t="s">
        <v>1253</v>
      </c>
      <c r="C48" s="1607" t="s">
        <v>665</v>
      </c>
      <c r="D48" s="1607">
        <v>581</v>
      </c>
      <c r="E48" s="1607">
        <v>228</v>
      </c>
      <c r="F48" s="1607">
        <v>44</v>
      </c>
      <c r="G48" s="1607">
        <v>68</v>
      </c>
      <c r="H48" s="1607">
        <v>235</v>
      </c>
      <c r="I48" s="1607">
        <v>6</v>
      </c>
      <c r="J48" s="1607" t="s">
        <v>379</v>
      </c>
      <c r="K48" s="1607" t="s">
        <v>665</v>
      </c>
      <c r="L48" s="1607" t="s">
        <v>1251</v>
      </c>
      <c r="M48" s="1607">
        <v>3</v>
      </c>
      <c r="N48" s="1607"/>
      <c r="O48" s="1607">
        <v>1</v>
      </c>
      <c r="P48" s="1607"/>
      <c r="Q48" s="1607">
        <v>2</v>
      </c>
      <c r="R48" s="1607"/>
      <c r="S48" s="1607" t="s">
        <v>379</v>
      </c>
      <c r="T48" s="1607" t="s">
        <v>665</v>
      </c>
      <c r="U48" s="1607" t="s">
        <v>1252</v>
      </c>
      <c r="V48" s="1607">
        <v>130</v>
      </c>
      <c r="W48" s="1607">
        <v>56</v>
      </c>
      <c r="X48" s="1607">
        <v>23</v>
      </c>
      <c r="Y48" s="1607">
        <v>13</v>
      </c>
      <c r="Z48" s="1607">
        <v>38</v>
      </c>
      <c r="AA48" s="1607"/>
    </row>
    <row r="49" spans="1:27" x14ac:dyDescent="0.2">
      <c r="A49" s="1607" t="s">
        <v>379</v>
      </c>
      <c r="B49" s="1607" t="s">
        <v>1253</v>
      </c>
      <c r="C49" s="1607" t="s">
        <v>34</v>
      </c>
      <c r="D49" s="1607">
        <v>117</v>
      </c>
      <c r="E49" s="1607">
        <v>36</v>
      </c>
      <c r="F49" s="1607">
        <v>16</v>
      </c>
      <c r="G49" s="1607">
        <v>16</v>
      </c>
      <c r="H49" s="1607">
        <v>48</v>
      </c>
      <c r="I49" s="1607">
        <v>1</v>
      </c>
      <c r="J49" s="1607" t="s">
        <v>379</v>
      </c>
      <c r="K49" s="1607" t="s">
        <v>34</v>
      </c>
      <c r="L49" s="1607" t="s">
        <v>1251</v>
      </c>
      <c r="M49" s="1607">
        <v>2</v>
      </c>
      <c r="N49" s="1607"/>
      <c r="O49" s="1607">
        <v>1</v>
      </c>
      <c r="P49" s="1607"/>
      <c r="Q49" s="1607">
        <v>1</v>
      </c>
      <c r="R49" s="1607"/>
      <c r="S49" s="1607" t="s">
        <v>379</v>
      </c>
      <c r="T49" s="1607" t="s">
        <v>34</v>
      </c>
      <c r="U49" s="1607" t="s">
        <v>1252</v>
      </c>
      <c r="V49" s="1607">
        <v>30</v>
      </c>
      <c r="W49" s="1607">
        <v>8</v>
      </c>
      <c r="X49" s="1607">
        <v>11</v>
      </c>
      <c r="Y49" s="1607">
        <v>2</v>
      </c>
      <c r="Z49" s="1607">
        <v>9</v>
      </c>
      <c r="AA49" s="1607"/>
    </row>
    <row r="50" spans="1:27" x14ac:dyDescent="0.2">
      <c r="A50" s="1607" t="s">
        <v>379</v>
      </c>
      <c r="B50" s="1607" t="s">
        <v>1253</v>
      </c>
      <c r="C50" s="1607" t="s">
        <v>35</v>
      </c>
      <c r="D50" s="1607">
        <v>272</v>
      </c>
      <c r="E50" s="1607">
        <v>114</v>
      </c>
      <c r="F50" s="1607">
        <v>37</v>
      </c>
      <c r="G50" s="1607">
        <v>32</v>
      </c>
      <c r="H50" s="1607">
        <v>87</v>
      </c>
      <c r="I50" s="1607">
        <v>2</v>
      </c>
      <c r="J50" s="1607" t="s">
        <v>379</v>
      </c>
      <c r="K50" s="1607" t="s">
        <v>35</v>
      </c>
      <c r="L50" s="1607" t="s">
        <v>1251</v>
      </c>
      <c r="M50" s="1607">
        <v>4</v>
      </c>
      <c r="N50" s="1607">
        <v>2</v>
      </c>
      <c r="O50" s="1607">
        <v>2</v>
      </c>
      <c r="P50" s="1607"/>
      <c r="Q50" s="1607"/>
      <c r="R50" s="1607"/>
      <c r="S50" s="1607" t="s">
        <v>379</v>
      </c>
      <c r="T50" s="1607" t="s">
        <v>35</v>
      </c>
      <c r="U50" s="1607" t="s">
        <v>1252</v>
      </c>
      <c r="V50" s="1607">
        <v>65</v>
      </c>
      <c r="W50" s="1607">
        <v>27</v>
      </c>
      <c r="X50" s="1607">
        <v>10</v>
      </c>
      <c r="Y50" s="1607">
        <v>10</v>
      </c>
      <c r="Z50" s="1607">
        <v>17</v>
      </c>
      <c r="AA50" s="1607">
        <v>1</v>
      </c>
    </row>
    <row r="51" spans="1:27" x14ac:dyDescent="0.2">
      <c r="A51" s="1607" t="s">
        <v>379</v>
      </c>
      <c r="B51" s="1607" t="s">
        <v>1253</v>
      </c>
      <c r="C51" s="1607" t="s">
        <v>36</v>
      </c>
      <c r="D51" s="1607">
        <v>929</v>
      </c>
      <c r="E51" s="1607">
        <v>565</v>
      </c>
      <c r="F51" s="1607">
        <v>65</v>
      </c>
      <c r="G51" s="1607">
        <v>113</v>
      </c>
      <c r="H51" s="1607">
        <v>176</v>
      </c>
      <c r="I51" s="1607">
        <v>10</v>
      </c>
      <c r="J51" s="1607" t="s">
        <v>379</v>
      </c>
      <c r="K51" s="1607" t="s">
        <v>36</v>
      </c>
      <c r="L51" s="1607" t="s">
        <v>1251</v>
      </c>
      <c r="M51" s="1607">
        <v>6</v>
      </c>
      <c r="N51" s="1607">
        <v>3</v>
      </c>
      <c r="O51" s="1607">
        <v>1</v>
      </c>
      <c r="P51" s="1607">
        <v>2</v>
      </c>
      <c r="Q51" s="1607"/>
      <c r="R51" s="1607"/>
      <c r="S51" s="1607" t="s">
        <v>379</v>
      </c>
      <c r="T51" s="1607" t="s">
        <v>36</v>
      </c>
      <c r="U51" s="1607" t="s">
        <v>1252</v>
      </c>
      <c r="V51" s="1607">
        <v>209</v>
      </c>
      <c r="W51" s="1607">
        <v>127</v>
      </c>
      <c r="X51" s="1607">
        <v>13</v>
      </c>
      <c r="Y51" s="1607">
        <v>24</v>
      </c>
      <c r="Z51" s="1607">
        <v>45</v>
      </c>
      <c r="AA51" s="1607"/>
    </row>
    <row r="52" spans="1:27" x14ac:dyDescent="0.2">
      <c r="A52" s="1607" t="s">
        <v>379</v>
      </c>
      <c r="B52" s="1607" t="s">
        <v>1253</v>
      </c>
      <c r="C52" s="1607" t="s">
        <v>37</v>
      </c>
      <c r="D52" s="1607">
        <v>161</v>
      </c>
      <c r="E52" s="1607">
        <v>80</v>
      </c>
      <c r="F52" s="1607">
        <v>12</v>
      </c>
      <c r="G52" s="1607">
        <v>10</v>
      </c>
      <c r="H52" s="1607">
        <v>54</v>
      </c>
      <c r="I52" s="1607">
        <v>5</v>
      </c>
      <c r="J52" s="1607" t="s">
        <v>379</v>
      </c>
      <c r="K52" s="1607" t="s">
        <v>37</v>
      </c>
      <c r="L52" s="1607" t="s">
        <v>1251</v>
      </c>
      <c r="M52" s="1607">
        <v>2</v>
      </c>
      <c r="N52" s="1607"/>
      <c r="O52" s="1607"/>
      <c r="P52" s="1607"/>
      <c r="Q52" s="1607">
        <v>1</v>
      </c>
      <c r="R52" s="1607">
        <v>1</v>
      </c>
      <c r="S52" s="1607" t="s">
        <v>379</v>
      </c>
      <c r="T52" s="1607" t="s">
        <v>37</v>
      </c>
      <c r="U52" s="1607" t="s">
        <v>1252</v>
      </c>
      <c r="V52" s="1607">
        <v>43</v>
      </c>
      <c r="W52" s="1607">
        <v>31</v>
      </c>
      <c r="X52" s="1607">
        <v>2</v>
      </c>
      <c r="Y52" s="1607">
        <v>1</v>
      </c>
      <c r="Z52" s="1607">
        <v>9</v>
      </c>
      <c r="AA52" s="1607"/>
    </row>
    <row r="53" spans="1:27" x14ac:dyDescent="0.2">
      <c r="A53" s="1607" t="s">
        <v>379</v>
      </c>
      <c r="B53" s="1607" t="s">
        <v>1253</v>
      </c>
      <c r="C53" s="1607" t="s">
        <v>38</v>
      </c>
      <c r="D53" s="1607">
        <v>131</v>
      </c>
      <c r="E53" s="1607">
        <v>70</v>
      </c>
      <c r="F53" s="1607">
        <v>12</v>
      </c>
      <c r="G53" s="1607">
        <v>25</v>
      </c>
      <c r="H53" s="1607">
        <v>22</v>
      </c>
      <c r="I53" s="1607">
        <v>2</v>
      </c>
      <c r="J53" s="1607" t="s">
        <v>379</v>
      </c>
      <c r="K53" s="1607" t="s">
        <v>38</v>
      </c>
      <c r="L53" s="1607" t="s">
        <v>1251</v>
      </c>
      <c r="M53" s="1607">
        <v>1</v>
      </c>
      <c r="N53" s="1607"/>
      <c r="O53" s="1607">
        <v>1</v>
      </c>
      <c r="P53" s="1607"/>
      <c r="Q53" s="1607"/>
      <c r="R53" s="1607"/>
      <c r="S53" s="1607" t="s">
        <v>379</v>
      </c>
      <c r="T53" s="1607" t="s">
        <v>38</v>
      </c>
      <c r="U53" s="1607" t="s">
        <v>1252</v>
      </c>
      <c r="V53" s="1607">
        <v>40</v>
      </c>
      <c r="W53" s="1607">
        <v>18</v>
      </c>
      <c r="X53" s="1607">
        <v>6</v>
      </c>
      <c r="Y53" s="1607">
        <v>6</v>
      </c>
      <c r="Z53" s="1607">
        <v>10</v>
      </c>
      <c r="AA53" s="1607"/>
    </row>
    <row r="54" spans="1:27" x14ac:dyDescent="0.2">
      <c r="A54" s="1607" t="s">
        <v>379</v>
      </c>
      <c r="B54" s="1607" t="s">
        <v>1253</v>
      </c>
      <c r="C54" s="1607" t="s">
        <v>39</v>
      </c>
      <c r="D54" s="1607">
        <v>78</v>
      </c>
      <c r="E54" s="1607">
        <v>45</v>
      </c>
      <c r="F54" s="1607">
        <v>4</v>
      </c>
      <c r="G54" s="1607">
        <v>4</v>
      </c>
      <c r="H54" s="1607">
        <v>25</v>
      </c>
      <c r="I54" s="1607"/>
      <c r="J54" s="1607"/>
      <c r="K54" s="1607"/>
      <c r="L54" s="1607"/>
      <c r="M54" s="1607"/>
      <c r="N54" s="1607"/>
      <c r="O54" s="1607"/>
      <c r="P54" s="1607"/>
      <c r="Q54" s="1607"/>
      <c r="R54" s="1607"/>
      <c r="S54" s="1607" t="s">
        <v>379</v>
      </c>
      <c r="T54" s="1607" t="s">
        <v>39</v>
      </c>
      <c r="U54" s="1607" t="s">
        <v>1252</v>
      </c>
      <c r="V54" s="1607">
        <v>12</v>
      </c>
      <c r="W54" s="1607">
        <v>8</v>
      </c>
      <c r="X54" s="1607">
        <v>1</v>
      </c>
      <c r="Y54" s="1607"/>
      <c r="Z54" s="1607">
        <v>3</v>
      </c>
      <c r="AA54" s="1607"/>
    </row>
    <row r="55" spans="1:27" x14ac:dyDescent="0.2">
      <c r="A55" s="1607" t="s">
        <v>379</v>
      </c>
      <c r="B55" s="1607" t="s">
        <v>1253</v>
      </c>
      <c r="C55" s="1607" t="s">
        <v>40</v>
      </c>
      <c r="D55" s="1607">
        <v>55</v>
      </c>
      <c r="E55" s="1607">
        <v>25</v>
      </c>
      <c r="F55" s="1607">
        <v>9</v>
      </c>
      <c r="G55" s="1607">
        <v>8</v>
      </c>
      <c r="H55" s="1607">
        <v>12</v>
      </c>
      <c r="I55" s="1607">
        <v>1</v>
      </c>
      <c r="J55" s="1607" t="s">
        <v>379</v>
      </c>
      <c r="K55" s="1607" t="s">
        <v>40</v>
      </c>
      <c r="L55" s="1607" t="s">
        <v>1251</v>
      </c>
      <c r="M55" s="1607">
        <v>1</v>
      </c>
      <c r="N55" s="1607"/>
      <c r="O55" s="1607">
        <v>1</v>
      </c>
      <c r="P55" s="1607"/>
      <c r="Q55" s="1607"/>
      <c r="R55" s="1607"/>
      <c r="S55" s="1607" t="s">
        <v>379</v>
      </c>
      <c r="T55" s="1607" t="s">
        <v>40</v>
      </c>
      <c r="U55" s="1607" t="s">
        <v>1252</v>
      </c>
      <c r="V55" s="1607">
        <v>16</v>
      </c>
      <c r="W55" s="1607">
        <v>5</v>
      </c>
      <c r="X55" s="1607">
        <v>5</v>
      </c>
      <c r="Y55" s="1607">
        <v>2</v>
      </c>
      <c r="Z55" s="1607">
        <v>4</v>
      </c>
      <c r="AA55" s="1607"/>
    </row>
    <row r="56" spans="1:27" x14ac:dyDescent="0.2">
      <c r="A56" s="1607" t="s">
        <v>379</v>
      </c>
      <c r="B56" s="1607" t="s">
        <v>1253</v>
      </c>
      <c r="C56" s="1607" t="s">
        <v>393</v>
      </c>
      <c r="D56" s="1607">
        <v>23</v>
      </c>
      <c r="E56" s="1607">
        <v>11</v>
      </c>
      <c r="F56" s="1607">
        <v>2</v>
      </c>
      <c r="G56" s="1607">
        <v>7</v>
      </c>
      <c r="H56" s="1607">
        <v>2</v>
      </c>
      <c r="I56" s="1607">
        <v>1</v>
      </c>
      <c r="J56" s="1607" t="s">
        <v>379</v>
      </c>
      <c r="K56" s="1607" t="s">
        <v>393</v>
      </c>
      <c r="L56" s="1607" t="s">
        <v>1251</v>
      </c>
      <c r="M56" s="1607">
        <v>3</v>
      </c>
      <c r="N56" s="1607">
        <v>1</v>
      </c>
      <c r="O56" s="1607"/>
      <c r="P56" s="1607">
        <v>1</v>
      </c>
      <c r="Q56" s="1607">
        <v>1</v>
      </c>
      <c r="R56" s="1607"/>
      <c r="S56" s="1607" t="s">
        <v>379</v>
      </c>
      <c r="T56" s="1607" t="s">
        <v>393</v>
      </c>
      <c r="U56" s="1607" t="s">
        <v>1252</v>
      </c>
      <c r="V56" s="1607">
        <v>8</v>
      </c>
      <c r="W56" s="1607">
        <v>8</v>
      </c>
      <c r="X56" s="1607"/>
      <c r="Y56" s="1607"/>
      <c r="Z56" s="1607"/>
      <c r="AA56" s="1607"/>
    </row>
    <row r="57" spans="1:27" x14ac:dyDescent="0.2">
      <c r="A57" s="1607" t="s">
        <v>379</v>
      </c>
      <c r="B57" s="1607" t="s">
        <v>1253</v>
      </c>
      <c r="C57" s="1607" t="s">
        <v>41</v>
      </c>
      <c r="D57" s="1607">
        <v>167</v>
      </c>
      <c r="E57" s="1607">
        <v>118</v>
      </c>
      <c r="F57" s="1607">
        <v>6</v>
      </c>
      <c r="G57" s="1607">
        <v>20</v>
      </c>
      <c r="H57" s="1607">
        <v>20</v>
      </c>
      <c r="I57" s="1607">
        <v>3</v>
      </c>
      <c r="J57" s="1607"/>
      <c r="K57" s="1607"/>
      <c r="L57" s="1607"/>
      <c r="M57" s="1607"/>
      <c r="N57" s="1607"/>
      <c r="O57" s="1607"/>
      <c r="P57" s="1607"/>
      <c r="Q57" s="1607"/>
      <c r="R57" s="1607"/>
      <c r="S57" s="1607" t="s">
        <v>379</v>
      </c>
      <c r="T57" s="1607" t="s">
        <v>41</v>
      </c>
      <c r="U57" s="1607" t="s">
        <v>1252</v>
      </c>
      <c r="V57" s="1607">
        <v>24</v>
      </c>
      <c r="W57" s="1607">
        <v>17</v>
      </c>
      <c r="X57" s="1607">
        <v>2</v>
      </c>
      <c r="Y57" s="1607">
        <v>1</v>
      </c>
      <c r="Z57" s="1607">
        <v>3</v>
      </c>
      <c r="AA57" s="1607">
        <v>1</v>
      </c>
    </row>
    <row r="58" spans="1:27" x14ac:dyDescent="0.2">
      <c r="A58" s="1607" t="s">
        <v>379</v>
      </c>
      <c r="B58" s="1607" t="s">
        <v>1253</v>
      </c>
      <c r="C58" s="1607" t="s">
        <v>42</v>
      </c>
      <c r="D58" s="1607">
        <v>353</v>
      </c>
      <c r="E58" s="1607">
        <v>195</v>
      </c>
      <c r="F58" s="1607">
        <v>32</v>
      </c>
      <c r="G58" s="1607">
        <v>41</v>
      </c>
      <c r="H58" s="1607">
        <v>82</v>
      </c>
      <c r="I58" s="1607">
        <v>3</v>
      </c>
      <c r="J58" s="1607" t="s">
        <v>379</v>
      </c>
      <c r="K58" s="1607" t="s">
        <v>42</v>
      </c>
      <c r="L58" s="1607" t="s">
        <v>1251</v>
      </c>
      <c r="M58" s="1607">
        <v>1</v>
      </c>
      <c r="N58" s="1607"/>
      <c r="O58" s="1607"/>
      <c r="P58" s="1607">
        <v>1</v>
      </c>
      <c r="Q58" s="1607"/>
      <c r="R58" s="1607"/>
      <c r="S58" s="1607" t="s">
        <v>379</v>
      </c>
      <c r="T58" s="1607" t="s">
        <v>42</v>
      </c>
      <c r="U58" s="1607" t="s">
        <v>1252</v>
      </c>
      <c r="V58" s="1607">
        <v>85</v>
      </c>
      <c r="W58" s="1607">
        <v>40</v>
      </c>
      <c r="X58" s="1607">
        <v>21</v>
      </c>
      <c r="Y58" s="1607">
        <v>6</v>
      </c>
      <c r="Z58" s="1607">
        <v>18</v>
      </c>
      <c r="AA58" s="1607"/>
    </row>
    <row r="59" spans="1:27" x14ac:dyDescent="0.2">
      <c r="A59" s="1607" t="s">
        <v>379</v>
      </c>
      <c r="B59" s="1607" t="s">
        <v>1253</v>
      </c>
      <c r="C59" s="1607" t="s">
        <v>43</v>
      </c>
      <c r="D59" s="1607">
        <v>7</v>
      </c>
      <c r="E59" s="1607">
        <v>4</v>
      </c>
      <c r="F59" s="1607">
        <v>1</v>
      </c>
      <c r="G59" s="1607"/>
      <c r="H59" s="1607">
        <v>2</v>
      </c>
      <c r="I59" s="1607"/>
      <c r="J59" s="1607"/>
      <c r="K59" s="1607"/>
      <c r="L59" s="1607"/>
      <c r="M59" s="1607"/>
      <c r="N59" s="1607"/>
      <c r="O59" s="1607"/>
      <c r="P59" s="1607"/>
      <c r="Q59" s="1607"/>
      <c r="R59" s="1607"/>
      <c r="S59" s="1607" t="s">
        <v>379</v>
      </c>
      <c r="T59" s="1607" t="s">
        <v>43</v>
      </c>
      <c r="U59" s="1607" t="s">
        <v>1252</v>
      </c>
      <c r="V59" s="1607">
        <v>3</v>
      </c>
      <c r="W59" s="1607"/>
      <c r="X59" s="1607"/>
      <c r="Y59" s="1607"/>
      <c r="Z59" s="1607">
        <v>3</v>
      </c>
      <c r="AA59" s="1607"/>
    </row>
    <row r="60" spans="1:27" x14ac:dyDescent="0.2">
      <c r="A60" s="1607" t="s">
        <v>379</v>
      </c>
      <c r="B60" s="1607" t="s">
        <v>1253</v>
      </c>
      <c r="C60" s="1607" t="s">
        <v>44</v>
      </c>
      <c r="D60" s="1607">
        <v>146</v>
      </c>
      <c r="E60" s="1607">
        <v>74</v>
      </c>
      <c r="F60" s="1607">
        <v>2</v>
      </c>
      <c r="G60" s="1607">
        <v>11</v>
      </c>
      <c r="H60" s="1607">
        <v>54</v>
      </c>
      <c r="I60" s="1607">
        <v>5</v>
      </c>
      <c r="J60" s="1607" t="s">
        <v>379</v>
      </c>
      <c r="K60" s="1607" t="s">
        <v>44</v>
      </c>
      <c r="L60" s="1607" t="s">
        <v>1251</v>
      </c>
      <c r="M60" s="1607">
        <v>1</v>
      </c>
      <c r="N60" s="1607"/>
      <c r="O60" s="1607"/>
      <c r="P60" s="1607"/>
      <c r="Q60" s="1607"/>
      <c r="R60" s="1607">
        <v>1</v>
      </c>
      <c r="S60" s="1607" t="s">
        <v>379</v>
      </c>
      <c r="T60" s="1607" t="s">
        <v>44</v>
      </c>
      <c r="U60" s="1607" t="s">
        <v>1252</v>
      </c>
      <c r="V60" s="1607">
        <v>29</v>
      </c>
      <c r="W60" s="1607">
        <v>16</v>
      </c>
      <c r="X60" s="1607"/>
      <c r="Y60" s="1607"/>
      <c r="Z60" s="1607">
        <v>13</v>
      </c>
      <c r="AA60" s="1607"/>
    </row>
    <row r="61" spans="1:27" x14ac:dyDescent="0.2">
      <c r="A61" s="1607" t="s">
        <v>379</v>
      </c>
      <c r="B61" s="1607" t="s">
        <v>1253</v>
      </c>
      <c r="C61" s="1607" t="s">
        <v>45</v>
      </c>
      <c r="D61" s="1607">
        <v>205</v>
      </c>
      <c r="E61" s="1607">
        <v>126</v>
      </c>
      <c r="F61" s="1607">
        <v>13</v>
      </c>
      <c r="G61" s="1607">
        <v>26</v>
      </c>
      <c r="H61" s="1607">
        <v>38</v>
      </c>
      <c r="I61" s="1607">
        <v>2</v>
      </c>
      <c r="J61" s="1607" t="s">
        <v>379</v>
      </c>
      <c r="K61" s="1607" t="s">
        <v>45</v>
      </c>
      <c r="L61" s="1607" t="s">
        <v>1251</v>
      </c>
      <c r="M61" s="1607">
        <v>1</v>
      </c>
      <c r="N61" s="1607"/>
      <c r="O61" s="1607"/>
      <c r="P61" s="1607"/>
      <c r="Q61" s="1607"/>
      <c r="R61" s="1607">
        <v>1</v>
      </c>
      <c r="S61" s="1607" t="s">
        <v>379</v>
      </c>
      <c r="T61" s="1607" t="s">
        <v>45</v>
      </c>
      <c r="U61" s="1607" t="s">
        <v>1252</v>
      </c>
      <c r="V61" s="1607">
        <v>30</v>
      </c>
      <c r="W61" s="1607">
        <v>24</v>
      </c>
      <c r="X61" s="1607">
        <v>2</v>
      </c>
      <c r="Y61" s="1607">
        <v>1</v>
      </c>
      <c r="Z61" s="1607">
        <v>3</v>
      </c>
      <c r="AA61" s="1607"/>
    </row>
    <row r="62" spans="1:27" x14ac:dyDescent="0.2">
      <c r="A62" s="1607" t="s">
        <v>379</v>
      </c>
      <c r="B62" s="1607" t="s">
        <v>1253</v>
      </c>
      <c r="C62" s="1607" t="s">
        <v>46</v>
      </c>
      <c r="D62" s="1607">
        <v>91</v>
      </c>
      <c r="E62" s="1607">
        <v>42</v>
      </c>
      <c r="F62" s="1607">
        <v>11</v>
      </c>
      <c r="G62" s="1607">
        <v>14</v>
      </c>
      <c r="H62" s="1607">
        <v>23</v>
      </c>
      <c r="I62" s="1607">
        <v>1</v>
      </c>
      <c r="J62" s="1607" t="s">
        <v>379</v>
      </c>
      <c r="K62" s="1607" t="s">
        <v>46</v>
      </c>
      <c r="L62" s="1607" t="s">
        <v>1251</v>
      </c>
      <c r="M62" s="1607">
        <v>1</v>
      </c>
      <c r="N62" s="1607"/>
      <c r="O62" s="1607"/>
      <c r="P62" s="1607">
        <v>1</v>
      </c>
      <c r="Q62" s="1607"/>
      <c r="R62" s="1607"/>
      <c r="S62" s="1607" t="s">
        <v>379</v>
      </c>
      <c r="T62" s="1607" t="s">
        <v>46</v>
      </c>
      <c r="U62" s="1607" t="s">
        <v>1252</v>
      </c>
      <c r="V62" s="1607">
        <v>25</v>
      </c>
      <c r="W62" s="1607">
        <v>16</v>
      </c>
      <c r="X62" s="1607">
        <v>4</v>
      </c>
      <c r="Y62" s="1607">
        <v>2</v>
      </c>
      <c r="Z62" s="1607">
        <v>3</v>
      </c>
      <c r="AA62" s="1607"/>
    </row>
    <row r="63" spans="1:27" x14ac:dyDescent="0.2">
      <c r="A63" s="1607" t="s">
        <v>379</v>
      </c>
      <c r="B63" s="1607" t="s">
        <v>1253</v>
      </c>
      <c r="C63" s="1607" t="s">
        <v>47</v>
      </c>
      <c r="D63" s="1607">
        <v>9</v>
      </c>
      <c r="E63" s="1607">
        <v>1</v>
      </c>
      <c r="F63" s="1607">
        <v>1</v>
      </c>
      <c r="G63" s="1607"/>
      <c r="H63" s="1607">
        <v>7</v>
      </c>
      <c r="I63" s="1607"/>
      <c r="J63" s="1607"/>
      <c r="K63" s="1607"/>
      <c r="L63" s="1607"/>
      <c r="M63" s="1607"/>
      <c r="N63" s="1607"/>
      <c r="O63" s="1607"/>
      <c r="P63" s="1607"/>
      <c r="Q63" s="1607"/>
      <c r="R63" s="1607"/>
      <c r="S63" s="1607" t="s">
        <v>379</v>
      </c>
      <c r="T63" s="1607" t="s">
        <v>47</v>
      </c>
      <c r="U63" s="1607" t="s">
        <v>1252</v>
      </c>
      <c r="V63" s="1607">
        <v>1</v>
      </c>
      <c r="W63" s="1607"/>
      <c r="X63" s="1607"/>
      <c r="Y63" s="1607"/>
      <c r="Z63" s="1607">
        <v>1</v>
      </c>
      <c r="AA63" s="1607"/>
    </row>
    <row r="64" spans="1:27" x14ac:dyDescent="0.2">
      <c r="A64" s="1607" t="s">
        <v>379</v>
      </c>
      <c r="B64" s="1607" t="s">
        <v>1253</v>
      </c>
      <c r="C64" s="1607" t="s">
        <v>48</v>
      </c>
      <c r="D64" s="1607">
        <v>97</v>
      </c>
      <c r="E64" s="1607">
        <v>47</v>
      </c>
      <c r="F64" s="1607">
        <v>13</v>
      </c>
      <c r="G64" s="1607">
        <v>14</v>
      </c>
      <c r="H64" s="1607">
        <v>22</v>
      </c>
      <c r="I64" s="1607">
        <v>1</v>
      </c>
      <c r="J64" s="1607"/>
      <c r="K64" s="1607"/>
      <c r="L64" s="1607"/>
      <c r="M64" s="1607"/>
      <c r="N64" s="1607"/>
      <c r="O64" s="1607"/>
      <c r="P64" s="1607"/>
      <c r="Q64" s="1607"/>
      <c r="R64" s="1607"/>
      <c r="S64" s="1607" t="s">
        <v>379</v>
      </c>
      <c r="T64" s="1607" t="s">
        <v>48</v>
      </c>
      <c r="U64" s="1607" t="s">
        <v>1252</v>
      </c>
      <c r="V64" s="1607">
        <v>23</v>
      </c>
      <c r="W64" s="1607">
        <v>14</v>
      </c>
      <c r="X64" s="1607">
        <v>5</v>
      </c>
      <c r="Y64" s="1607">
        <v>1</v>
      </c>
      <c r="Z64" s="1607">
        <v>3</v>
      </c>
      <c r="AA64" s="1607"/>
    </row>
    <row r="65" spans="1:27" x14ac:dyDescent="0.2">
      <c r="A65" s="1607" t="s">
        <v>379</v>
      </c>
      <c r="B65" s="1607" t="s">
        <v>1253</v>
      </c>
      <c r="C65" s="1607" t="s">
        <v>49</v>
      </c>
      <c r="D65" s="1607">
        <v>250</v>
      </c>
      <c r="E65" s="1607">
        <v>132</v>
      </c>
      <c r="F65" s="1607">
        <v>16</v>
      </c>
      <c r="G65" s="1607">
        <v>44</v>
      </c>
      <c r="H65" s="1607">
        <v>55</v>
      </c>
      <c r="I65" s="1607">
        <v>3</v>
      </c>
      <c r="J65" s="1607"/>
      <c r="K65" s="1607"/>
      <c r="L65" s="1607"/>
      <c r="M65" s="1607"/>
      <c r="N65" s="1607"/>
      <c r="O65" s="1607"/>
      <c r="P65" s="1607"/>
      <c r="Q65" s="1607"/>
      <c r="R65" s="1607"/>
      <c r="S65" s="1607" t="s">
        <v>379</v>
      </c>
      <c r="T65" s="1607" t="s">
        <v>49</v>
      </c>
      <c r="U65" s="1607" t="s">
        <v>1252</v>
      </c>
      <c r="V65" s="1607">
        <v>46</v>
      </c>
      <c r="W65" s="1607">
        <v>30</v>
      </c>
      <c r="X65" s="1607">
        <v>4</v>
      </c>
      <c r="Y65" s="1607">
        <v>2</v>
      </c>
      <c r="Z65" s="1607">
        <v>10</v>
      </c>
      <c r="AA65" s="1607"/>
    </row>
    <row r="66" spans="1:27" x14ac:dyDescent="0.2">
      <c r="A66" s="1607" t="s">
        <v>379</v>
      </c>
      <c r="B66" s="1607" t="s">
        <v>1253</v>
      </c>
      <c r="C66" s="1607" t="s">
        <v>50</v>
      </c>
      <c r="D66" s="1607">
        <v>85</v>
      </c>
      <c r="E66" s="1607">
        <v>40</v>
      </c>
      <c r="F66" s="1607">
        <v>7</v>
      </c>
      <c r="G66" s="1607">
        <v>9</v>
      </c>
      <c r="H66" s="1607">
        <v>27</v>
      </c>
      <c r="I66" s="1607">
        <v>2</v>
      </c>
      <c r="J66" s="1607" t="s">
        <v>379</v>
      </c>
      <c r="K66" s="1607" t="s">
        <v>50</v>
      </c>
      <c r="L66" s="1607" t="s">
        <v>1251</v>
      </c>
      <c r="M66" s="1607">
        <v>1</v>
      </c>
      <c r="N66" s="1607"/>
      <c r="O66" s="1607"/>
      <c r="P66" s="1607">
        <v>1</v>
      </c>
      <c r="Q66" s="1607"/>
      <c r="R66" s="1607"/>
      <c r="S66" s="1607" t="s">
        <v>379</v>
      </c>
      <c r="T66" s="1607" t="s">
        <v>50</v>
      </c>
      <c r="U66" s="1607" t="s">
        <v>1252</v>
      </c>
      <c r="V66" s="1607">
        <v>11</v>
      </c>
      <c r="W66" s="1607">
        <v>3</v>
      </c>
      <c r="X66" s="1607">
        <v>2</v>
      </c>
      <c r="Y66" s="1607">
        <v>2</v>
      </c>
      <c r="Z66" s="1607">
        <v>4</v>
      </c>
      <c r="AA66" s="1607"/>
    </row>
    <row r="67" spans="1:27" x14ac:dyDescent="0.2">
      <c r="A67" s="1607" t="s">
        <v>379</v>
      </c>
      <c r="B67" s="1607" t="s">
        <v>1253</v>
      </c>
      <c r="C67" s="1607" t="s">
        <v>51</v>
      </c>
      <c r="D67" s="1607">
        <v>143</v>
      </c>
      <c r="E67" s="1607">
        <v>99</v>
      </c>
      <c r="F67" s="1607">
        <v>6</v>
      </c>
      <c r="G67" s="1607">
        <v>21</v>
      </c>
      <c r="H67" s="1607">
        <v>16</v>
      </c>
      <c r="I67" s="1607">
        <v>1</v>
      </c>
      <c r="J67" s="1607"/>
      <c r="K67" s="1607"/>
      <c r="L67" s="1607"/>
      <c r="M67" s="1607"/>
      <c r="N67" s="1607"/>
      <c r="O67" s="1607"/>
      <c r="P67" s="1607"/>
      <c r="Q67" s="1607"/>
      <c r="R67" s="1607"/>
      <c r="S67" s="1607" t="s">
        <v>379</v>
      </c>
      <c r="T67" s="1607" t="s">
        <v>51</v>
      </c>
      <c r="U67" s="1607" t="s">
        <v>1252</v>
      </c>
      <c r="V67" s="1607">
        <v>20</v>
      </c>
      <c r="W67" s="1607">
        <v>12</v>
      </c>
      <c r="X67" s="1607">
        <v>1</v>
      </c>
      <c r="Y67" s="1607">
        <v>3</v>
      </c>
      <c r="Z67" s="1607">
        <v>1</v>
      </c>
      <c r="AA67" s="1607">
        <v>3</v>
      </c>
    </row>
    <row r="68" spans="1:27" x14ac:dyDescent="0.2">
      <c r="A68" s="1607" t="s">
        <v>379</v>
      </c>
      <c r="B68" s="1607" t="s">
        <v>1253</v>
      </c>
      <c r="C68" s="1607" t="s">
        <v>52</v>
      </c>
      <c r="D68" s="1607">
        <v>138</v>
      </c>
      <c r="E68" s="1607">
        <v>60</v>
      </c>
      <c r="F68" s="1607">
        <v>20</v>
      </c>
      <c r="G68" s="1607">
        <v>25</v>
      </c>
      <c r="H68" s="1607">
        <v>29</v>
      </c>
      <c r="I68" s="1607">
        <v>4</v>
      </c>
      <c r="J68" s="1607"/>
      <c r="K68" s="1607"/>
      <c r="L68" s="1607"/>
      <c r="M68" s="1607"/>
      <c r="N68" s="1607"/>
      <c r="O68" s="1607"/>
      <c r="P68" s="1607"/>
      <c r="Q68" s="1607"/>
      <c r="R68" s="1607"/>
      <c r="S68" s="1607" t="s">
        <v>379</v>
      </c>
      <c r="T68" s="1607" t="s">
        <v>52</v>
      </c>
      <c r="U68" s="1607" t="s">
        <v>1252</v>
      </c>
      <c r="V68" s="1607">
        <v>34</v>
      </c>
      <c r="W68" s="1607">
        <v>11</v>
      </c>
      <c r="X68" s="1607">
        <v>11</v>
      </c>
      <c r="Y68" s="1607">
        <v>3</v>
      </c>
      <c r="Z68" s="1607">
        <v>8</v>
      </c>
      <c r="AA68" s="1607">
        <v>1</v>
      </c>
    </row>
    <row r="69" spans="1:27" x14ac:dyDescent="0.2">
      <c r="A69" s="1607" t="s">
        <v>603</v>
      </c>
      <c r="B69" s="1607" t="s">
        <v>1253</v>
      </c>
      <c r="C69" s="1607" t="s">
        <v>23</v>
      </c>
      <c r="D69" s="1607">
        <v>277</v>
      </c>
      <c r="E69" s="1607">
        <v>157</v>
      </c>
      <c r="F69" s="1607">
        <v>17</v>
      </c>
      <c r="G69" s="1607">
        <v>27</v>
      </c>
      <c r="H69" s="1607">
        <v>72</v>
      </c>
      <c r="I69" s="1607">
        <v>4</v>
      </c>
      <c r="J69" s="1607" t="s">
        <v>603</v>
      </c>
      <c r="K69" s="1607" t="s">
        <v>23</v>
      </c>
      <c r="L69" s="1607" t="s">
        <v>1251</v>
      </c>
      <c r="M69" s="1607">
        <v>3</v>
      </c>
      <c r="N69" s="1607"/>
      <c r="O69" s="1607">
        <v>1</v>
      </c>
      <c r="P69" s="1607">
        <v>2</v>
      </c>
      <c r="Q69" s="1607"/>
      <c r="R69" s="1607"/>
      <c r="S69" s="1607" t="s">
        <v>603</v>
      </c>
      <c r="T69" s="1607" t="s">
        <v>23</v>
      </c>
      <c r="U69" s="1607" t="s">
        <v>1252</v>
      </c>
      <c r="V69" s="1607">
        <v>29</v>
      </c>
      <c r="W69" s="1607">
        <v>14</v>
      </c>
      <c r="X69" s="1607">
        <v>5</v>
      </c>
      <c r="Y69" s="1607"/>
      <c r="Z69" s="1607">
        <v>8</v>
      </c>
      <c r="AA69" s="1607">
        <v>2</v>
      </c>
    </row>
    <row r="70" spans="1:27" x14ac:dyDescent="0.2">
      <c r="A70" s="1607" t="s">
        <v>603</v>
      </c>
      <c r="B70" s="1607" t="s">
        <v>1253</v>
      </c>
      <c r="C70" s="1607" t="s">
        <v>24</v>
      </c>
      <c r="D70" s="1607">
        <v>168</v>
      </c>
      <c r="E70" s="1607">
        <v>76</v>
      </c>
      <c r="F70" s="1607">
        <v>12</v>
      </c>
      <c r="G70" s="1607">
        <v>17</v>
      </c>
      <c r="H70" s="1607">
        <v>61</v>
      </c>
      <c r="I70" s="1607">
        <v>2</v>
      </c>
      <c r="J70" s="1607" t="s">
        <v>603</v>
      </c>
      <c r="K70" s="1607" t="s">
        <v>24</v>
      </c>
      <c r="L70" s="1607" t="s">
        <v>1251</v>
      </c>
      <c r="M70" s="1607">
        <v>1</v>
      </c>
      <c r="N70" s="1607">
        <v>1</v>
      </c>
      <c r="O70" s="1607"/>
      <c r="P70" s="1607"/>
      <c r="Q70" s="1607"/>
      <c r="R70" s="1607"/>
      <c r="S70" s="1607" t="s">
        <v>603</v>
      </c>
      <c r="T70" s="1607" t="s">
        <v>24</v>
      </c>
      <c r="U70" s="1607" t="s">
        <v>1252</v>
      </c>
      <c r="V70" s="1607">
        <v>32</v>
      </c>
      <c r="W70" s="1607">
        <v>7</v>
      </c>
      <c r="X70" s="1607">
        <v>5</v>
      </c>
      <c r="Y70" s="1607">
        <v>2</v>
      </c>
      <c r="Z70" s="1607">
        <v>18</v>
      </c>
      <c r="AA70" s="1607"/>
    </row>
    <row r="71" spans="1:27" x14ac:dyDescent="0.2">
      <c r="A71" s="1607" t="s">
        <v>603</v>
      </c>
      <c r="B71" s="1607" t="s">
        <v>1253</v>
      </c>
      <c r="C71" s="1607" t="s">
        <v>25</v>
      </c>
      <c r="D71" s="1607">
        <v>81</v>
      </c>
      <c r="E71" s="1607">
        <v>44</v>
      </c>
      <c r="F71" s="1607">
        <v>6</v>
      </c>
      <c r="G71" s="1607">
        <v>6</v>
      </c>
      <c r="H71" s="1607">
        <v>25</v>
      </c>
      <c r="I71" s="1607"/>
      <c r="J71" s="1607"/>
      <c r="K71" s="1607"/>
      <c r="L71" s="1607"/>
      <c r="M71" s="1607"/>
      <c r="N71" s="1607"/>
      <c r="O71" s="1607"/>
      <c r="P71" s="1607"/>
      <c r="Q71" s="1607"/>
      <c r="R71" s="1607"/>
      <c r="S71" s="1607" t="s">
        <v>603</v>
      </c>
      <c r="T71" s="1607" t="s">
        <v>25</v>
      </c>
      <c r="U71" s="1607" t="s">
        <v>1252</v>
      </c>
      <c r="V71" s="1607">
        <v>18</v>
      </c>
      <c r="W71" s="1607">
        <v>9</v>
      </c>
      <c r="X71" s="1607">
        <v>2</v>
      </c>
      <c r="Y71" s="1607">
        <v>2</v>
      </c>
      <c r="Z71" s="1607">
        <v>5</v>
      </c>
      <c r="AA71" s="1607"/>
    </row>
    <row r="72" spans="1:27" x14ac:dyDescent="0.2">
      <c r="A72" s="1607" t="s">
        <v>603</v>
      </c>
      <c r="B72" s="1607" t="s">
        <v>1253</v>
      </c>
      <c r="C72" s="1607" t="s">
        <v>26</v>
      </c>
      <c r="D72" s="1607">
        <v>86</v>
      </c>
      <c r="E72" s="1607">
        <v>45</v>
      </c>
      <c r="F72" s="1607">
        <v>12</v>
      </c>
      <c r="G72" s="1607">
        <v>11</v>
      </c>
      <c r="H72" s="1607">
        <v>12</v>
      </c>
      <c r="I72" s="1607">
        <v>6</v>
      </c>
      <c r="J72" s="1607" t="s">
        <v>603</v>
      </c>
      <c r="K72" s="1607" t="s">
        <v>26</v>
      </c>
      <c r="L72" s="1607" t="s">
        <v>1251</v>
      </c>
      <c r="M72" s="1607">
        <v>1</v>
      </c>
      <c r="N72" s="1607">
        <v>1</v>
      </c>
      <c r="O72" s="1607"/>
      <c r="P72" s="1607"/>
      <c r="Q72" s="1607"/>
      <c r="R72" s="1607"/>
      <c r="S72" s="1607" t="s">
        <v>603</v>
      </c>
      <c r="T72" s="1607" t="s">
        <v>26</v>
      </c>
      <c r="U72" s="1607" t="s">
        <v>1252</v>
      </c>
      <c r="V72" s="1607">
        <v>18</v>
      </c>
      <c r="W72" s="1607">
        <v>10</v>
      </c>
      <c r="X72" s="1607">
        <v>1</v>
      </c>
      <c r="Y72" s="1607">
        <v>4</v>
      </c>
      <c r="Z72" s="1607">
        <v>3</v>
      </c>
      <c r="AA72" s="1607"/>
    </row>
    <row r="73" spans="1:27" x14ac:dyDescent="0.2">
      <c r="A73" s="1607" t="s">
        <v>603</v>
      </c>
      <c r="B73" s="1607" t="s">
        <v>1253</v>
      </c>
      <c r="C73" s="1607" t="s">
        <v>27</v>
      </c>
      <c r="D73" s="1607">
        <v>51</v>
      </c>
      <c r="E73" s="1607">
        <v>28</v>
      </c>
      <c r="F73" s="1607">
        <v>10</v>
      </c>
      <c r="G73" s="1607">
        <v>4</v>
      </c>
      <c r="H73" s="1607">
        <v>8</v>
      </c>
      <c r="I73" s="1607">
        <v>1</v>
      </c>
      <c r="J73" s="1607"/>
      <c r="K73" s="1607"/>
      <c r="L73" s="1607"/>
      <c r="M73" s="1607"/>
      <c r="N73" s="1607"/>
      <c r="O73" s="1607"/>
      <c r="P73" s="1607"/>
      <c r="Q73" s="1607"/>
      <c r="R73" s="1607"/>
      <c r="S73" s="1607" t="s">
        <v>603</v>
      </c>
      <c r="T73" s="1607" t="s">
        <v>27</v>
      </c>
      <c r="U73" s="1607" t="s">
        <v>1252</v>
      </c>
      <c r="V73" s="1607">
        <v>8</v>
      </c>
      <c r="W73" s="1607">
        <v>6</v>
      </c>
      <c r="X73" s="1607">
        <v>1</v>
      </c>
      <c r="Y73" s="1607"/>
      <c r="Z73" s="1607">
        <v>1</v>
      </c>
      <c r="AA73" s="1607"/>
    </row>
    <row r="74" spans="1:27" x14ac:dyDescent="0.2">
      <c r="A74" s="1607" t="s">
        <v>603</v>
      </c>
      <c r="B74" s="1607" t="s">
        <v>1253</v>
      </c>
      <c r="C74" s="1607" t="s">
        <v>28</v>
      </c>
      <c r="D74" s="1607">
        <v>104</v>
      </c>
      <c r="E74" s="1607">
        <v>34</v>
      </c>
      <c r="F74" s="1607">
        <v>7</v>
      </c>
      <c r="G74" s="1607">
        <v>21</v>
      </c>
      <c r="H74" s="1607">
        <v>41</v>
      </c>
      <c r="I74" s="1607">
        <v>1</v>
      </c>
      <c r="J74" s="1607" t="s">
        <v>603</v>
      </c>
      <c r="K74" s="1607" t="s">
        <v>28</v>
      </c>
      <c r="L74" s="1607" t="s">
        <v>1251</v>
      </c>
      <c r="M74" s="1607">
        <v>3</v>
      </c>
      <c r="N74" s="1607"/>
      <c r="O74" s="1607">
        <v>1</v>
      </c>
      <c r="P74" s="1607">
        <v>2</v>
      </c>
      <c r="Q74" s="1607"/>
      <c r="R74" s="1607"/>
      <c r="S74" s="1607" t="s">
        <v>603</v>
      </c>
      <c r="T74" s="1607" t="s">
        <v>28</v>
      </c>
      <c r="U74" s="1607" t="s">
        <v>1252</v>
      </c>
      <c r="V74" s="1607">
        <v>4</v>
      </c>
      <c r="W74" s="1607">
        <v>3</v>
      </c>
      <c r="X74" s="1607"/>
      <c r="Y74" s="1607"/>
      <c r="Z74" s="1607">
        <v>1</v>
      </c>
      <c r="AA74" s="1607"/>
    </row>
    <row r="75" spans="1:27" x14ac:dyDescent="0.2">
      <c r="A75" s="1607" t="s">
        <v>603</v>
      </c>
      <c r="B75" s="1607" t="s">
        <v>1253</v>
      </c>
      <c r="C75" s="1607" t="s">
        <v>29</v>
      </c>
      <c r="D75" s="1607">
        <v>214</v>
      </c>
      <c r="E75" s="1607">
        <v>124</v>
      </c>
      <c r="F75" s="1607">
        <v>20</v>
      </c>
      <c r="G75" s="1607">
        <v>20</v>
      </c>
      <c r="H75" s="1607">
        <v>49</v>
      </c>
      <c r="I75" s="1607">
        <v>1</v>
      </c>
      <c r="J75" s="1607"/>
      <c r="K75" s="1607"/>
      <c r="L75" s="1607"/>
      <c r="M75" s="1607"/>
      <c r="N75" s="1607"/>
      <c r="O75" s="1607"/>
      <c r="P75" s="1607"/>
      <c r="Q75" s="1607"/>
      <c r="R75" s="1607"/>
      <c r="S75" s="1607" t="s">
        <v>603</v>
      </c>
      <c r="T75" s="1607" t="s">
        <v>29</v>
      </c>
      <c r="U75" s="1607" t="s">
        <v>1252</v>
      </c>
      <c r="V75" s="1607">
        <v>34</v>
      </c>
      <c r="W75" s="1607">
        <v>22</v>
      </c>
      <c r="X75" s="1607">
        <v>3</v>
      </c>
      <c r="Y75" s="1607">
        <v>2</v>
      </c>
      <c r="Z75" s="1607">
        <v>7</v>
      </c>
      <c r="AA75" s="1607"/>
    </row>
    <row r="76" spans="1:27" x14ac:dyDescent="0.2">
      <c r="A76" s="1607" t="s">
        <v>603</v>
      </c>
      <c r="B76" s="1607" t="s">
        <v>1253</v>
      </c>
      <c r="C76" s="1607" t="s">
        <v>30</v>
      </c>
      <c r="D76" s="1607">
        <v>87</v>
      </c>
      <c r="E76" s="1607">
        <v>51</v>
      </c>
      <c r="F76" s="1607">
        <v>14</v>
      </c>
      <c r="G76" s="1607">
        <v>10</v>
      </c>
      <c r="H76" s="1607">
        <v>10</v>
      </c>
      <c r="I76" s="1607">
        <v>2</v>
      </c>
      <c r="J76" s="1607" t="s">
        <v>603</v>
      </c>
      <c r="K76" s="1607" t="s">
        <v>30</v>
      </c>
      <c r="L76" s="1607" t="s">
        <v>1251</v>
      </c>
      <c r="M76" s="1607">
        <v>1</v>
      </c>
      <c r="N76" s="1607"/>
      <c r="O76" s="1607">
        <v>1</v>
      </c>
      <c r="P76" s="1607"/>
      <c r="Q76" s="1607"/>
      <c r="R76" s="1607"/>
      <c r="S76" s="1607" t="s">
        <v>603</v>
      </c>
      <c r="T76" s="1607" t="s">
        <v>30</v>
      </c>
      <c r="U76" s="1607" t="s">
        <v>1252</v>
      </c>
      <c r="V76" s="1607">
        <v>26</v>
      </c>
      <c r="W76" s="1607">
        <v>15</v>
      </c>
      <c r="X76" s="1607">
        <v>6</v>
      </c>
      <c r="Y76" s="1607">
        <v>2</v>
      </c>
      <c r="Z76" s="1607">
        <v>1</v>
      </c>
      <c r="AA76" s="1607">
        <v>2</v>
      </c>
    </row>
    <row r="77" spans="1:27" x14ac:dyDescent="0.2">
      <c r="A77" s="1607" t="s">
        <v>603</v>
      </c>
      <c r="B77" s="1607" t="s">
        <v>1253</v>
      </c>
      <c r="C77" s="1607" t="s">
        <v>31</v>
      </c>
      <c r="D77" s="1607">
        <v>67</v>
      </c>
      <c r="E77" s="1607">
        <v>34</v>
      </c>
      <c r="F77" s="1607">
        <v>3</v>
      </c>
      <c r="G77" s="1607">
        <v>19</v>
      </c>
      <c r="H77" s="1607">
        <v>10</v>
      </c>
      <c r="I77" s="1607">
        <v>1</v>
      </c>
      <c r="J77" s="1607"/>
      <c r="K77" s="1607"/>
      <c r="L77" s="1607"/>
      <c r="M77" s="1607"/>
      <c r="N77" s="1607"/>
      <c r="O77" s="1607"/>
      <c r="P77" s="1607"/>
      <c r="Q77" s="1607"/>
      <c r="R77" s="1607"/>
      <c r="S77" s="1607" t="s">
        <v>603</v>
      </c>
      <c r="T77" s="1607" t="s">
        <v>31</v>
      </c>
      <c r="U77" s="1607" t="s">
        <v>1252</v>
      </c>
      <c r="V77" s="1607">
        <v>13</v>
      </c>
      <c r="W77" s="1607">
        <v>7</v>
      </c>
      <c r="X77" s="1607"/>
      <c r="Y77" s="1607">
        <v>4</v>
      </c>
      <c r="Z77" s="1607">
        <v>2</v>
      </c>
      <c r="AA77" s="1607"/>
    </row>
    <row r="78" spans="1:27" x14ac:dyDescent="0.2">
      <c r="A78" s="1607" t="s">
        <v>603</v>
      </c>
      <c r="B78" s="1607" t="s">
        <v>1253</v>
      </c>
      <c r="C78" s="1607" t="s">
        <v>32</v>
      </c>
      <c r="D78" s="1607">
        <v>76</v>
      </c>
      <c r="E78" s="1607">
        <v>45</v>
      </c>
      <c r="F78" s="1607">
        <v>2</v>
      </c>
      <c r="G78" s="1607">
        <v>6</v>
      </c>
      <c r="H78" s="1607">
        <v>20</v>
      </c>
      <c r="I78" s="1607">
        <v>3</v>
      </c>
      <c r="J78" s="1607" t="s">
        <v>603</v>
      </c>
      <c r="K78" s="1607" t="s">
        <v>32</v>
      </c>
      <c r="L78" s="1607" t="s">
        <v>1251</v>
      </c>
      <c r="M78" s="1607">
        <v>2</v>
      </c>
      <c r="N78" s="1607"/>
      <c r="O78" s="1607"/>
      <c r="P78" s="1607"/>
      <c r="Q78" s="1607">
        <v>2</v>
      </c>
      <c r="R78" s="1607"/>
      <c r="S78" s="1607" t="s">
        <v>603</v>
      </c>
      <c r="T78" s="1607" t="s">
        <v>32</v>
      </c>
      <c r="U78" s="1607" t="s">
        <v>1252</v>
      </c>
      <c r="V78" s="1607">
        <v>7</v>
      </c>
      <c r="W78" s="1607">
        <v>5</v>
      </c>
      <c r="X78" s="1607"/>
      <c r="Y78" s="1607"/>
      <c r="Z78" s="1607">
        <v>2</v>
      </c>
      <c r="AA78" s="1607"/>
    </row>
    <row r="79" spans="1:27" x14ac:dyDescent="0.2">
      <c r="A79" s="1607" t="s">
        <v>603</v>
      </c>
      <c r="B79" s="1607" t="s">
        <v>1253</v>
      </c>
      <c r="C79" s="1607" t="s">
        <v>33</v>
      </c>
      <c r="D79" s="1607">
        <v>84</v>
      </c>
      <c r="E79" s="1607">
        <v>58</v>
      </c>
      <c r="F79" s="1607">
        <v>4</v>
      </c>
      <c r="G79" s="1607">
        <v>9</v>
      </c>
      <c r="H79" s="1607">
        <v>11</v>
      </c>
      <c r="I79" s="1607">
        <v>2</v>
      </c>
      <c r="J79" s="1607"/>
      <c r="K79" s="1607"/>
      <c r="L79" s="1607"/>
      <c r="M79" s="1607"/>
      <c r="N79" s="1607"/>
      <c r="O79" s="1607"/>
      <c r="P79" s="1607"/>
      <c r="Q79" s="1607"/>
      <c r="R79" s="1607"/>
      <c r="S79" s="1607" t="s">
        <v>603</v>
      </c>
      <c r="T79" s="1607" t="s">
        <v>33</v>
      </c>
      <c r="U79" s="1607" t="s">
        <v>1252</v>
      </c>
      <c r="V79" s="1607">
        <v>9</v>
      </c>
      <c r="W79" s="1607">
        <v>7</v>
      </c>
      <c r="X79" s="1607"/>
      <c r="Y79" s="1607"/>
      <c r="Z79" s="1607">
        <v>2</v>
      </c>
      <c r="AA79" s="1607"/>
    </row>
    <row r="80" spans="1:27" x14ac:dyDescent="0.2">
      <c r="A80" s="1607" t="s">
        <v>603</v>
      </c>
      <c r="B80" s="1607" t="s">
        <v>1253</v>
      </c>
      <c r="C80" s="1607" t="s">
        <v>665</v>
      </c>
      <c r="D80" s="1607">
        <v>523</v>
      </c>
      <c r="E80" s="1607">
        <v>222</v>
      </c>
      <c r="F80" s="1607">
        <v>35</v>
      </c>
      <c r="G80" s="1607">
        <v>62</v>
      </c>
      <c r="H80" s="1607">
        <v>197</v>
      </c>
      <c r="I80" s="1607">
        <v>7</v>
      </c>
      <c r="J80" s="1607" t="s">
        <v>603</v>
      </c>
      <c r="K80" s="1607" t="s">
        <v>665</v>
      </c>
      <c r="L80" s="1607" t="s">
        <v>1251</v>
      </c>
      <c r="M80" s="1607">
        <v>1</v>
      </c>
      <c r="N80" s="1607">
        <v>1</v>
      </c>
      <c r="O80" s="1607"/>
      <c r="P80" s="1607"/>
      <c r="Q80" s="1607"/>
      <c r="R80" s="1607"/>
      <c r="S80" s="1607" t="s">
        <v>603</v>
      </c>
      <c r="T80" s="1607" t="s">
        <v>665</v>
      </c>
      <c r="U80" s="1607" t="s">
        <v>1252</v>
      </c>
      <c r="V80" s="1607">
        <v>79</v>
      </c>
      <c r="W80" s="1607">
        <v>38</v>
      </c>
      <c r="X80" s="1607">
        <v>9</v>
      </c>
      <c r="Y80" s="1607">
        <v>7</v>
      </c>
      <c r="Z80" s="1607">
        <v>22</v>
      </c>
      <c r="AA80" s="1607">
        <v>3</v>
      </c>
    </row>
    <row r="81" spans="1:27" x14ac:dyDescent="0.2">
      <c r="A81" s="1607" t="s">
        <v>603</v>
      </c>
      <c r="B81" s="1607" t="s">
        <v>1253</v>
      </c>
      <c r="C81" s="1607" t="s">
        <v>34</v>
      </c>
      <c r="D81" s="1607">
        <v>122</v>
      </c>
      <c r="E81" s="1607">
        <v>52</v>
      </c>
      <c r="F81" s="1607">
        <v>13</v>
      </c>
      <c r="G81" s="1607">
        <v>13</v>
      </c>
      <c r="H81" s="1607">
        <v>44</v>
      </c>
      <c r="I81" s="1607"/>
      <c r="J81" s="1607" t="s">
        <v>603</v>
      </c>
      <c r="K81" s="1607" t="s">
        <v>34</v>
      </c>
      <c r="L81" s="1607" t="s">
        <v>1251</v>
      </c>
      <c r="M81" s="1607">
        <v>2</v>
      </c>
      <c r="N81" s="1607">
        <v>1</v>
      </c>
      <c r="O81" s="1607">
        <v>1</v>
      </c>
      <c r="P81" s="1607"/>
      <c r="Q81" s="1607"/>
      <c r="R81" s="1607"/>
      <c r="S81" s="1607" t="s">
        <v>603</v>
      </c>
      <c r="T81" s="1607" t="s">
        <v>34</v>
      </c>
      <c r="U81" s="1607" t="s">
        <v>1252</v>
      </c>
      <c r="V81" s="1607">
        <v>20</v>
      </c>
      <c r="W81" s="1607">
        <v>16</v>
      </c>
      <c r="X81" s="1607"/>
      <c r="Y81" s="1607">
        <v>1</v>
      </c>
      <c r="Z81" s="1607">
        <v>3</v>
      </c>
      <c r="AA81" s="1607"/>
    </row>
    <row r="82" spans="1:27" x14ac:dyDescent="0.2">
      <c r="A82" s="1607" t="s">
        <v>603</v>
      </c>
      <c r="B82" s="1607" t="s">
        <v>1253</v>
      </c>
      <c r="C82" s="1607" t="s">
        <v>35</v>
      </c>
      <c r="D82" s="1607">
        <v>302</v>
      </c>
      <c r="E82" s="1607">
        <v>129</v>
      </c>
      <c r="F82" s="1607">
        <v>39</v>
      </c>
      <c r="G82" s="1607">
        <v>53</v>
      </c>
      <c r="H82" s="1607">
        <v>75</v>
      </c>
      <c r="I82" s="1607">
        <v>6</v>
      </c>
      <c r="J82" s="1607" t="s">
        <v>603</v>
      </c>
      <c r="K82" s="1607" t="s">
        <v>35</v>
      </c>
      <c r="L82" s="1607" t="s">
        <v>1251</v>
      </c>
      <c r="M82" s="1607">
        <v>2</v>
      </c>
      <c r="N82" s="1607"/>
      <c r="O82" s="1607"/>
      <c r="P82" s="1607"/>
      <c r="Q82" s="1607">
        <v>2</v>
      </c>
      <c r="R82" s="1607"/>
      <c r="S82" s="1607" t="s">
        <v>603</v>
      </c>
      <c r="T82" s="1607" t="s">
        <v>35</v>
      </c>
      <c r="U82" s="1607" t="s">
        <v>1252</v>
      </c>
      <c r="V82" s="1607">
        <v>32</v>
      </c>
      <c r="W82" s="1607">
        <v>13</v>
      </c>
      <c r="X82" s="1607">
        <v>8</v>
      </c>
      <c r="Y82" s="1607">
        <v>6</v>
      </c>
      <c r="Z82" s="1607">
        <v>5</v>
      </c>
      <c r="AA82" s="1607"/>
    </row>
    <row r="83" spans="1:27" x14ac:dyDescent="0.2">
      <c r="A83" s="1607" t="s">
        <v>603</v>
      </c>
      <c r="B83" s="1607" t="s">
        <v>1253</v>
      </c>
      <c r="C83" s="1607" t="s">
        <v>36</v>
      </c>
      <c r="D83" s="1607">
        <v>962</v>
      </c>
      <c r="E83" s="1607">
        <v>566</v>
      </c>
      <c r="F83" s="1607">
        <v>79</v>
      </c>
      <c r="G83" s="1607">
        <v>134</v>
      </c>
      <c r="H83" s="1607">
        <v>168</v>
      </c>
      <c r="I83" s="1607">
        <v>15</v>
      </c>
      <c r="J83" s="1607" t="s">
        <v>603</v>
      </c>
      <c r="K83" s="1607" t="s">
        <v>36</v>
      </c>
      <c r="L83" s="1607" t="s">
        <v>1251</v>
      </c>
      <c r="M83" s="1607">
        <v>5</v>
      </c>
      <c r="N83" s="1607">
        <v>3</v>
      </c>
      <c r="O83" s="1607">
        <v>1</v>
      </c>
      <c r="P83" s="1607"/>
      <c r="Q83" s="1607">
        <v>1</v>
      </c>
      <c r="R83" s="1607"/>
      <c r="S83" s="1607" t="s">
        <v>603</v>
      </c>
      <c r="T83" s="1607" t="s">
        <v>36</v>
      </c>
      <c r="U83" s="1607" t="s">
        <v>1252</v>
      </c>
      <c r="V83" s="1607">
        <v>185</v>
      </c>
      <c r="W83" s="1607">
        <v>101</v>
      </c>
      <c r="X83" s="1607">
        <v>24</v>
      </c>
      <c r="Y83" s="1607">
        <v>14</v>
      </c>
      <c r="Z83" s="1607">
        <v>42</v>
      </c>
      <c r="AA83" s="1607">
        <v>4</v>
      </c>
    </row>
    <row r="84" spans="1:27" x14ac:dyDescent="0.2">
      <c r="A84" s="1607" t="s">
        <v>603</v>
      </c>
      <c r="B84" s="1607" t="s">
        <v>1253</v>
      </c>
      <c r="C84" s="1607" t="s">
        <v>37</v>
      </c>
      <c r="D84" s="1607">
        <v>153</v>
      </c>
      <c r="E84" s="1607">
        <v>56</v>
      </c>
      <c r="F84" s="1607">
        <v>16</v>
      </c>
      <c r="G84" s="1607">
        <v>17</v>
      </c>
      <c r="H84" s="1607">
        <v>59</v>
      </c>
      <c r="I84" s="1607">
        <v>5</v>
      </c>
      <c r="J84" s="1607" t="s">
        <v>603</v>
      </c>
      <c r="K84" s="1607" t="s">
        <v>37</v>
      </c>
      <c r="L84" s="1607" t="s">
        <v>1251</v>
      </c>
      <c r="M84" s="1607">
        <v>2</v>
      </c>
      <c r="N84" s="1607"/>
      <c r="O84" s="1607"/>
      <c r="P84" s="1607"/>
      <c r="Q84" s="1607">
        <v>1</v>
      </c>
      <c r="R84" s="1607">
        <v>1</v>
      </c>
      <c r="S84" s="1607" t="s">
        <v>603</v>
      </c>
      <c r="T84" s="1607" t="s">
        <v>37</v>
      </c>
      <c r="U84" s="1607" t="s">
        <v>1252</v>
      </c>
      <c r="V84" s="1607">
        <v>31</v>
      </c>
      <c r="W84" s="1607">
        <v>18</v>
      </c>
      <c r="X84" s="1607">
        <v>4</v>
      </c>
      <c r="Y84" s="1607">
        <v>4</v>
      </c>
      <c r="Z84" s="1607">
        <v>5</v>
      </c>
      <c r="AA84" s="1607"/>
    </row>
    <row r="85" spans="1:27" x14ac:dyDescent="0.2">
      <c r="A85" s="1607" t="s">
        <v>603</v>
      </c>
      <c r="B85" s="1607" t="s">
        <v>1253</v>
      </c>
      <c r="C85" s="1607" t="s">
        <v>38</v>
      </c>
      <c r="D85" s="1607">
        <v>103</v>
      </c>
      <c r="E85" s="1607">
        <v>58</v>
      </c>
      <c r="F85" s="1607">
        <v>3</v>
      </c>
      <c r="G85" s="1607">
        <v>14</v>
      </c>
      <c r="H85" s="1607">
        <v>27</v>
      </c>
      <c r="I85" s="1607">
        <v>1</v>
      </c>
      <c r="J85" s="1607"/>
      <c r="K85" s="1607"/>
      <c r="L85" s="1607"/>
      <c r="M85" s="1607"/>
      <c r="N85" s="1607"/>
      <c r="O85" s="1607"/>
      <c r="P85" s="1607"/>
      <c r="Q85" s="1607"/>
      <c r="R85" s="1607"/>
      <c r="S85" s="1607" t="s">
        <v>603</v>
      </c>
      <c r="T85" s="1607" t="s">
        <v>38</v>
      </c>
      <c r="U85" s="1607" t="s">
        <v>1252</v>
      </c>
      <c r="V85" s="1607">
        <v>14</v>
      </c>
      <c r="W85" s="1607">
        <v>11</v>
      </c>
      <c r="X85" s="1607"/>
      <c r="Y85" s="1607">
        <v>1</v>
      </c>
      <c r="Z85" s="1607">
        <v>2</v>
      </c>
      <c r="AA85" s="1607"/>
    </row>
    <row r="86" spans="1:27" x14ac:dyDescent="0.2">
      <c r="A86" s="1607" t="s">
        <v>603</v>
      </c>
      <c r="B86" s="1607" t="s">
        <v>1253</v>
      </c>
      <c r="C86" s="1607" t="s">
        <v>39</v>
      </c>
      <c r="D86" s="1607">
        <v>70</v>
      </c>
      <c r="E86" s="1607">
        <v>33</v>
      </c>
      <c r="F86" s="1607">
        <v>7</v>
      </c>
      <c r="G86" s="1607">
        <v>8</v>
      </c>
      <c r="H86" s="1607">
        <v>22</v>
      </c>
      <c r="I86" s="1607"/>
      <c r="J86" s="1607"/>
      <c r="K86" s="1607"/>
      <c r="L86" s="1607"/>
      <c r="M86" s="1607"/>
      <c r="N86" s="1607"/>
      <c r="O86" s="1607"/>
      <c r="P86" s="1607"/>
      <c r="Q86" s="1607"/>
      <c r="R86" s="1607"/>
      <c r="S86" s="1607" t="s">
        <v>603</v>
      </c>
      <c r="T86" s="1607" t="s">
        <v>39</v>
      </c>
      <c r="U86" s="1607" t="s">
        <v>1252</v>
      </c>
      <c r="V86" s="1607">
        <v>15</v>
      </c>
      <c r="W86" s="1607">
        <v>11</v>
      </c>
      <c r="X86" s="1607"/>
      <c r="Y86" s="1607">
        <v>2</v>
      </c>
      <c r="Z86" s="1607">
        <v>2</v>
      </c>
      <c r="AA86" s="1607"/>
    </row>
    <row r="87" spans="1:27" x14ac:dyDescent="0.2">
      <c r="A87" s="1607" t="s">
        <v>603</v>
      </c>
      <c r="B87" s="1607" t="s">
        <v>1253</v>
      </c>
      <c r="C87" s="1607" t="s">
        <v>40</v>
      </c>
      <c r="D87" s="1607">
        <v>39</v>
      </c>
      <c r="E87" s="1607">
        <v>18</v>
      </c>
      <c r="F87" s="1607">
        <v>5</v>
      </c>
      <c r="G87" s="1607">
        <v>8</v>
      </c>
      <c r="H87" s="1607">
        <v>7</v>
      </c>
      <c r="I87" s="1607">
        <v>1</v>
      </c>
      <c r="J87" s="1607"/>
      <c r="K87" s="1607"/>
      <c r="L87" s="1607"/>
      <c r="M87" s="1607"/>
      <c r="N87" s="1607"/>
      <c r="O87" s="1607"/>
      <c r="P87" s="1607"/>
      <c r="Q87" s="1607"/>
      <c r="R87" s="1607"/>
      <c r="S87" s="1607" t="s">
        <v>603</v>
      </c>
      <c r="T87" s="1607" t="s">
        <v>40</v>
      </c>
      <c r="U87" s="1607" t="s">
        <v>1252</v>
      </c>
      <c r="V87" s="1607">
        <v>13</v>
      </c>
      <c r="W87" s="1607">
        <v>6</v>
      </c>
      <c r="X87" s="1607">
        <v>2</v>
      </c>
      <c r="Y87" s="1607">
        <v>3</v>
      </c>
      <c r="Z87" s="1607">
        <v>2</v>
      </c>
      <c r="AA87" s="1607"/>
    </row>
    <row r="88" spans="1:27" x14ac:dyDescent="0.2">
      <c r="A88" s="1607" t="s">
        <v>603</v>
      </c>
      <c r="B88" s="1607" t="s">
        <v>1253</v>
      </c>
      <c r="C88" s="1607" t="s">
        <v>393</v>
      </c>
      <c r="D88" s="1607">
        <v>17</v>
      </c>
      <c r="E88" s="1607">
        <v>4</v>
      </c>
      <c r="F88" s="1607">
        <v>3</v>
      </c>
      <c r="G88" s="1607">
        <v>5</v>
      </c>
      <c r="H88" s="1607">
        <v>5</v>
      </c>
      <c r="I88" s="1607"/>
      <c r="J88" s="1607" t="s">
        <v>603</v>
      </c>
      <c r="K88" s="1607" t="s">
        <v>393</v>
      </c>
      <c r="L88" s="1607" t="s">
        <v>1251</v>
      </c>
      <c r="M88" s="1607">
        <v>1</v>
      </c>
      <c r="N88" s="1607"/>
      <c r="O88" s="1607"/>
      <c r="P88" s="1607">
        <v>1</v>
      </c>
      <c r="Q88" s="1607"/>
      <c r="R88" s="1607"/>
      <c r="S88" s="1607" t="s">
        <v>603</v>
      </c>
      <c r="T88" s="1607" t="s">
        <v>393</v>
      </c>
      <c r="U88" s="1607" t="s">
        <v>1252</v>
      </c>
      <c r="V88" s="1607">
        <v>2</v>
      </c>
      <c r="W88" s="1607"/>
      <c r="X88" s="1607">
        <v>1</v>
      </c>
      <c r="Y88" s="1607">
        <v>1</v>
      </c>
      <c r="Z88" s="1607"/>
      <c r="AA88" s="1607"/>
    </row>
    <row r="89" spans="1:27" x14ac:dyDescent="0.2">
      <c r="A89" s="1607" t="s">
        <v>603</v>
      </c>
      <c r="B89" s="1607" t="s">
        <v>1253</v>
      </c>
      <c r="C89" s="1607" t="s">
        <v>41</v>
      </c>
      <c r="D89" s="1607">
        <v>162</v>
      </c>
      <c r="E89" s="1607">
        <v>96</v>
      </c>
      <c r="F89" s="1607">
        <v>12</v>
      </c>
      <c r="G89" s="1607">
        <v>24</v>
      </c>
      <c r="H89" s="1607">
        <v>28</v>
      </c>
      <c r="I89" s="1607">
        <v>2</v>
      </c>
      <c r="J89" s="1607"/>
      <c r="K89" s="1607"/>
      <c r="L89" s="1607"/>
      <c r="M89" s="1607"/>
      <c r="N89" s="1607"/>
      <c r="O89" s="1607"/>
      <c r="P89" s="1607"/>
      <c r="Q89" s="1607"/>
      <c r="R89" s="1607"/>
      <c r="S89" s="1607" t="s">
        <v>603</v>
      </c>
      <c r="T89" s="1607" t="s">
        <v>41</v>
      </c>
      <c r="U89" s="1607" t="s">
        <v>1252</v>
      </c>
      <c r="V89" s="1607">
        <v>18</v>
      </c>
      <c r="W89" s="1607">
        <v>12</v>
      </c>
      <c r="X89" s="1607">
        <v>3</v>
      </c>
      <c r="Y89" s="1607">
        <v>1</v>
      </c>
      <c r="Z89" s="1607">
        <v>2</v>
      </c>
      <c r="AA89" s="1607"/>
    </row>
    <row r="90" spans="1:27" x14ac:dyDescent="0.2">
      <c r="A90" s="1607" t="s">
        <v>603</v>
      </c>
      <c r="B90" s="1607" t="s">
        <v>1253</v>
      </c>
      <c r="C90" s="1607" t="s">
        <v>42</v>
      </c>
      <c r="D90" s="1607">
        <v>307</v>
      </c>
      <c r="E90" s="1607">
        <v>165</v>
      </c>
      <c r="F90" s="1607">
        <v>38</v>
      </c>
      <c r="G90" s="1607">
        <v>23</v>
      </c>
      <c r="H90" s="1607">
        <v>73</v>
      </c>
      <c r="I90" s="1607">
        <v>8</v>
      </c>
      <c r="J90" s="1607" t="s">
        <v>603</v>
      </c>
      <c r="K90" s="1607" t="s">
        <v>42</v>
      </c>
      <c r="L90" s="1607" t="s">
        <v>1251</v>
      </c>
      <c r="M90" s="1607">
        <v>1</v>
      </c>
      <c r="N90" s="1607">
        <v>1</v>
      </c>
      <c r="O90" s="1607"/>
      <c r="P90" s="1607"/>
      <c r="Q90" s="1607"/>
      <c r="R90" s="1607"/>
      <c r="S90" s="1607" t="s">
        <v>603</v>
      </c>
      <c r="T90" s="1607" t="s">
        <v>42</v>
      </c>
      <c r="U90" s="1607" t="s">
        <v>1252</v>
      </c>
      <c r="V90" s="1607">
        <v>84</v>
      </c>
      <c r="W90" s="1607">
        <v>44</v>
      </c>
      <c r="X90" s="1607">
        <v>12</v>
      </c>
      <c r="Y90" s="1607">
        <v>3</v>
      </c>
      <c r="Z90" s="1607">
        <v>25</v>
      </c>
      <c r="AA90" s="1607"/>
    </row>
    <row r="91" spans="1:27" x14ac:dyDescent="0.2">
      <c r="A91" s="1607" t="s">
        <v>603</v>
      </c>
      <c r="B91" s="1607" t="s">
        <v>1253</v>
      </c>
      <c r="C91" s="1607" t="s">
        <v>43</v>
      </c>
      <c r="D91" s="1607">
        <v>7</v>
      </c>
      <c r="E91" s="1607">
        <v>1</v>
      </c>
      <c r="F91" s="1607">
        <v>1</v>
      </c>
      <c r="G91" s="1607"/>
      <c r="H91" s="1607">
        <v>4</v>
      </c>
      <c r="I91" s="1607">
        <v>1</v>
      </c>
      <c r="J91" s="1607"/>
      <c r="K91" s="1607"/>
      <c r="L91" s="1607"/>
      <c r="M91" s="1607"/>
      <c r="N91" s="1607"/>
      <c r="O91" s="1607"/>
      <c r="P91" s="1607"/>
      <c r="Q91" s="1607"/>
      <c r="R91" s="1607"/>
      <c r="S91" s="1607" t="s">
        <v>603</v>
      </c>
      <c r="T91" s="1607" t="s">
        <v>43</v>
      </c>
      <c r="U91" s="1607" t="s">
        <v>1252</v>
      </c>
      <c r="V91" s="1607">
        <v>3</v>
      </c>
      <c r="W91" s="1607"/>
      <c r="X91" s="1607">
        <v>3</v>
      </c>
      <c r="Y91" s="1607"/>
      <c r="Z91" s="1607"/>
      <c r="AA91" s="1607"/>
    </row>
    <row r="92" spans="1:27" x14ac:dyDescent="0.2">
      <c r="A92" s="1607" t="s">
        <v>603</v>
      </c>
      <c r="B92" s="1607" t="s">
        <v>1253</v>
      </c>
      <c r="C92" s="1607" t="s">
        <v>44</v>
      </c>
      <c r="D92" s="1607">
        <v>116</v>
      </c>
      <c r="E92" s="1607">
        <v>54</v>
      </c>
      <c r="F92" s="1607">
        <v>6</v>
      </c>
      <c r="G92" s="1607">
        <v>10</v>
      </c>
      <c r="H92" s="1607">
        <v>45</v>
      </c>
      <c r="I92" s="1607">
        <v>1</v>
      </c>
      <c r="J92" s="1607"/>
      <c r="K92" s="1607"/>
      <c r="L92" s="1607"/>
      <c r="M92" s="1607"/>
      <c r="N92" s="1607"/>
      <c r="O92" s="1607"/>
      <c r="P92" s="1607"/>
      <c r="Q92" s="1607"/>
      <c r="R92" s="1607"/>
      <c r="S92" s="1607" t="s">
        <v>603</v>
      </c>
      <c r="T92" s="1607" t="s">
        <v>44</v>
      </c>
      <c r="U92" s="1607" t="s">
        <v>1252</v>
      </c>
      <c r="V92" s="1607">
        <v>20</v>
      </c>
      <c r="W92" s="1607">
        <v>11</v>
      </c>
      <c r="X92" s="1607">
        <v>3</v>
      </c>
      <c r="Y92" s="1607"/>
      <c r="Z92" s="1607">
        <v>6</v>
      </c>
      <c r="AA92" s="1607"/>
    </row>
    <row r="93" spans="1:27" x14ac:dyDescent="0.2">
      <c r="A93" s="1607" t="s">
        <v>603</v>
      </c>
      <c r="B93" s="1607" t="s">
        <v>1253</v>
      </c>
      <c r="C93" s="1607" t="s">
        <v>45</v>
      </c>
      <c r="D93" s="1607">
        <v>223</v>
      </c>
      <c r="E93" s="1607">
        <v>124</v>
      </c>
      <c r="F93" s="1607">
        <v>11</v>
      </c>
      <c r="G93" s="1607">
        <v>33</v>
      </c>
      <c r="H93" s="1607">
        <v>45</v>
      </c>
      <c r="I93" s="1607">
        <v>10</v>
      </c>
      <c r="J93" s="1607" t="s">
        <v>603</v>
      </c>
      <c r="K93" s="1607" t="s">
        <v>45</v>
      </c>
      <c r="L93" s="1607" t="s">
        <v>1251</v>
      </c>
      <c r="M93" s="1607">
        <v>1</v>
      </c>
      <c r="N93" s="1607"/>
      <c r="O93" s="1607"/>
      <c r="P93" s="1607">
        <v>1</v>
      </c>
      <c r="Q93" s="1607"/>
      <c r="R93" s="1607"/>
      <c r="S93" s="1607" t="s">
        <v>603</v>
      </c>
      <c r="T93" s="1607" t="s">
        <v>45</v>
      </c>
      <c r="U93" s="1607" t="s">
        <v>1252</v>
      </c>
      <c r="V93" s="1607">
        <v>37</v>
      </c>
      <c r="W93" s="1607">
        <v>25</v>
      </c>
      <c r="X93" s="1607">
        <v>2</v>
      </c>
      <c r="Y93" s="1607">
        <v>3</v>
      </c>
      <c r="Z93" s="1607">
        <v>3</v>
      </c>
      <c r="AA93" s="1607">
        <v>4</v>
      </c>
    </row>
    <row r="94" spans="1:27" x14ac:dyDescent="0.2">
      <c r="A94" s="1607" t="s">
        <v>603</v>
      </c>
      <c r="B94" s="1607" t="s">
        <v>1253</v>
      </c>
      <c r="C94" s="1607" t="s">
        <v>46</v>
      </c>
      <c r="D94" s="1607">
        <v>100</v>
      </c>
      <c r="E94" s="1607">
        <v>39</v>
      </c>
      <c r="F94" s="1607">
        <v>9</v>
      </c>
      <c r="G94" s="1607">
        <v>17</v>
      </c>
      <c r="H94" s="1607">
        <v>33</v>
      </c>
      <c r="I94" s="1607">
        <v>2</v>
      </c>
      <c r="J94" s="1607" t="s">
        <v>603</v>
      </c>
      <c r="K94" s="1607" t="s">
        <v>46</v>
      </c>
      <c r="L94" s="1607" t="s">
        <v>1251</v>
      </c>
      <c r="M94" s="1607">
        <v>1</v>
      </c>
      <c r="N94" s="1607"/>
      <c r="O94" s="1607">
        <v>1</v>
      </c>
      <c r="P94" s="1607"/>
      <c r="Q94" s="1607"/>
      <c r="R94" s="1607"/>
      <c r="S94" s="1607" t="s">
        <v>603</v>
      </c>
      <c r="T94" s="1607" t="s">
        <v>46</v>
      </c>
      <c r="U94" s="1607" t="s">
        <v>1252</v>
      </c>
      <c r="V94" s="1607">
        <v>16</v>
      </c>
      <c r="W94" s="1607">
        <v>9</v>
      </c>
      <c r="X94" s="1607"/>
      <c r="Y94" s="1607">
        <v>1</v>
      </c>
      <c r="Z94" s="1607">
        <v>6</v>
      </c>
      <c r="AA94" s="1607"/>
    </row>
    <row r="95" spans="1:27" x14ac:dyDescent="0.2">
      <c r="A95" s="1607" t="s">
        <v>603</v>
      </c>
      <c r="B95" s="1607" t="s">
        <v>1253</v>
      </c>
      <c r="C95" s="1607" t="s">
        <v>47</v>
      </c>
      <c r="D95" s="1607">
        <v>13</v>
      </c>
      <c r="E95" s="1607">
        <v>2</v>
      </c>
      <c r="F95" s="1607">
        <v>4</v>
      </c>
      <c r="G95" s="1607">
        <v>2</v>
      </c>
      <c r="H95" s="1607">
        <v>2</v>
      </c>
      <c r="I95" s="1607">
        <v>3</v>
      </c>
      <c r="J95" s="1607"/>
      <c r="K95" s="1607"/>
      <c r="L95" s="1607"/>
      <c r="M95" s="1607"/>
      <c r="N95" s="1607"/>
      <c r="O95" s="1607"/>
      <c r="P95" s="1607"/>
      <c r="Q95" s="1607"/>
      <c r="R95" s="1607"/>
      <c r="S95" s="1607" t="s">
        <v>603</v>
      </c>
      <c r="T95" s="1607" t="s">
        <v>47</v>
      </c>
      <c r="U95" s="1607" t="s">
        <v>1252</v>
      </c>
      <c r="V95" s="1607">
        <v>5</v>
      </c>
      <c r="W95" s="1607">
        <v>1</v>
      </c>
      <c r="X95" s="1607">
        <v>4</v>
      </c>
      <c r="Y95" s="1607"/>
      <c r="Z95" s="1607"/>
      <c r="AA95" s="1607"/>
    </row>
    <row r="96" spans="1:27" x14ac:dyDescent="0.2">
      <c r="A96" s="1607" t="s">
        <v>603</v>
      </c>
      <c r="B96" s="1607" t="s">
        <v>1253</v>
      </c>
      <c r="C96" s="1607" t="s">
        <v>48</v>
      </c>
      <c r="D96" s="1607">
        <v>105</v>
      </c>
      <c r="E96" s="1607">
        <v>69</v>
      </c>
      <c r="F96" s="1607">
        <v>9</v>
      </c>
      <c r="G96" s="1607">
        <v>14</v>
      </c>
      <c r="H96" s="1607">
        <v>8</v>
      </c>
      <c r="I96" s="1607">
        <v>5</v>
      </c>
      <c r="J96" s="1607" t="s">
        <v>603</v>
      </c>
      <c r="K96" s="1607" t="s">
        <v>48</v>
      </c>
      <c r="L96" s="1607" t="s">
        <v>1251</v>
      </c>
      <c r="M96" s="1607">
        <v>3</v>
      </c>
      <c r="N96" s="1607"/>
      <c r="O96" s="1607">
        <v>1</v>
      </c>
      <c r="P96" s="1607"/>
      <c r="Q96" s="1607"/>
      <c r="R96" s="1607">
        <v>2</v>
      </c>
      <c r="S96" s="1607" t="s">
        <v>603</v>
      </c>
      <c r="T96" s="1607" t="s">
        <v>48</v>
      </c>
      <c r="U96" s="1607" t="s">
        <v>1252</v>
      </c>
      <c r="V96" s="1607">
        <v>20</v>
      </c>
      <c r="W96" s="1607">
        <v>12</v>
      </c>
      <c r="X96" s="1607">
        <v>3</v>
      </c>
      <c r="Y96" s="1607">
        <v>2</v>
      </c>
      <c r="Z96" s="1607">
        <v>1</v>
      </c>
      <c r="AA96" s="1607">
        <v>2</v>
      </c>
    </row>
    <row r="97" spans="1:27" x14ac:dyDescent="0.2">
      <c r="A97" s="1607" t="s">
        <v>603</v>
      </c>
      <c r="B97" s="1607" t="s">
        <v>1253</v>
      </c>
      <c r="C97" s="1607" t="s">
        <v>49</v>
      </c>
      <c r="D97" s="1607">
        <v>278</v>
      </c>
      <c r="E97" s="1607">
        <v>154</v>
      </c>
      <c r="F97" s="1607">
        <v>16</v>
      </c>
      <c r="G97" s="1607">
        <v>49</v>
      </c>
      <c r="H97" s="1607">
        <v>55</v>
      </c>
      <c r="I97" s="1607">
        <v>4</v>
      </c>
      <c r="J97" s="1607" t="s">
        <v>603</v>
      </c>
      <c r="K97" s="1607" t="s">
        <v>49</v>
      </c>
      <c r="L97" s="1607" t="s">
        <v>1251</v>
      </c>
      <c r="M97" s="1607">
        <v>4</v>
      </c>
      <c r="N97" s="1607">
        <v>3</v>
      </c>
      <c r="O97" s="1607"/>
      <c r="P97" s="1607">
        <v>1</v>
      </c>
      <c r="Q97" s="1607"/>
      <c r="R97" s="1607"/>
      <c r="S97" s="1607" t="s">
        <v>603</v>
      </c>
      <c r="T97" s="1607" t="s">
        <v>49</v>
      </c>
      <c r="U97" s="1607" t="s">
        <v>1252</v>
      </c>
      <c r="V97" s="1607">
        <v>60</v>
      </c>
      <c r="W97" s="1607">
        <v>33</v>
      </c>
      <c r="X97" s="1607">
        <v>3</v>
      </c>
      <c r="Y97" s="1607">
        <v>7</v>
      </c>
      <c r="Z97" s="1607">
        <v>15</v>
      </c>
      <c r="AA97" s="1607">
        <v>2</v>
      </c>
    </row>
    <row r="98" spans="1:27" x14ac:dyDescent="0.2">
      <c r="A98" s="1607" t="s">
        <v>603</v>
      </c>
      <c r="B98" s="1607" t="s">
        <v>1253</v>
      </c>
      <c r="C98" s="1607" t="s">
        <v>50</v>
      </c>
      <c r="D98" s="1607">
        <v>86</v>
      </c>
      <c r="E98" s="1607">
        <v>39</v>
      </c>
      <c r="F98" s="1607">
        <v>13</v>
      </c>
      <c r="G98" s="1607">
        <v>8</v>
      </c>
      <c r="H98" s="1607">
        <v>26</v>
      </c>
      <c r="I98" s="1607"/>
      <c r="J98" s="1607" t="s">
        <v>603</v>
      </c>
      <c r="K98" s="1607" t="s">
        <v>50</v>
      </c>
      <c r="L98" s="1607" t="s">
        <v>1251</v>
      </c>
      <c r="M98" s="1607">
        <v>2</v>
      </c>
      <c r="N98" s="1607">
        <v>1</v>
      </c>
      <c r="O98" s="1607"/>
      <c r="P98" s="1607">
        <v>1</v>
      </c>
      <c r="Q98" s="1607"/>
      <c r="R98" s="1607"/>
      <c r="S98" s="1607" t="s">
        <v>603</v>
      </c>
      <c r="T98" s="1607" t="s">
        <v>50</v>
      </c>
      <c r="U98" s="1607" t="s">
        <v>1252</v>
      </c>
      <c r="V98" s="1607">
        <v>15</v>
      </c>
      <c r="W98" s="1607">
        <v>5</v>
      </c>
      <c r="X98" s="1607">
        <v>2</v>
      </c>
      <c r="Y98" s="1607">
        <v>1</v>
      </c>
      <c r="Z98" s="1607">
        <v>7</v>
      </c>
      <c r="AA98" s="1607"/>
    </row>
    <row r="99" spans="1:27" x14ac:dyDescent="0.2">
      <c r="A99" s="1607" t="s">
        <v>603</v>
      </c>
      <c r="B99" s="1607" t="s">
        <v>1253</v>
      </c>
      <c r="C99" s="1607" t="s">
        <v>51</v>
      </c>
      <c r="D99" s="1607">
        <v>158</v>
      </c>
      <c r="E99" s="1607">
        <v>100</v>
      </c>
      <c r="F99" s="1607">
        <v>7</v>
      </c>
      <c r="G99" s="1607">
        <v>27</v>
      </c>
      <c r="H99" s="1607">
        <v>23</v>
      </c>
      <c r="I99" s="1607">
        <v>1</v>
      </c>
      <c r="J99" s="1607" t="s">
        <v>603</v>
      </c>
      <c r="K99" s="1607" t="s">
        <v>51</v>
      </c>
      <c r="L99" s="1607" t="s">
        <v>1251</v>
      </c>
      <c r="M99" s="1607">
        <v>1</v>
      </c>
      <c r="N99" s="1607"/>
      <c r="O99" s="1607">
        <v>1</v>
      </c>
      <c r="P99" s="1607"/>
      <c r="Q99" s="1607"/>
      <c r="R99" s="1607"/>
      <c r="S99" s="1607" t="s">
        <v>603</v>
      </c>
      <c r="T99" s="1607" t="s">
        <v>51</v>
      </c>
      <c r="U99" s="1607" t="s">
        <v>1252</v>
      </c>
      <c r="V99" s="1607">
        <v>22</v>
      </c>
      <c r="W99" s="1607">
        <v>13</v>
      </c>
      <c r="X99" s="1607">
        <v>2</v>
      </c>
      <c r="Y99" s="1607">
        <v>1</v>
      </c>
      <c r="Z99" s="1607">
        <v>4</v>
      </c>
      <c r="AA99" s="1607">
        <v>2</v>
      </c>
    </row>
    <row r="100" spans="1:27" x14ac:dyDescent="0.2">
      <c r="A100" s="1607" t="s">
        <v>603</v>
      </c>
      <c r="B100" s="1607" t="s">
        <v>1253</v>
      </c>
      <c r="C100" s="1607" t="s">
        <v>52</v>
      </c>
      <c r="D100" s="1607">
        <v>169</v>
      </c>
      <c r="E100" s="1607">
        <v>87</v>
      </c>
      <c r="F100" s="1607">
        <v>9</v>
      </c>
      <c r="G100" s="1607">
        <v>27</v>
      </c>
      <c r="H100" s="1607">
        <v>45</v>
      </c>
      <c r="I100" s="1607">
        <v>1</v>
      </c>
      <c r="J100" s="1607"/>
      <c r="K100" s="1607"/>
      <c r="L100" s="1607"/>
      <c r="M100" s="1607"/>
      <c r="N100" s="1607"/>
      <c r="O100" s="1607"/>
      <c r="P100" s="1607"/>
      <c r="Q100" s="1607"/>
      <c r="R100" s="1607"/>
      <c r="S100" s="1607" t="s">
        <v>603</v>
      </c>
      <c r="T100" s="1607" t="s">
        <v>52</v>
      </c>
      <c r="U100" s="1607" t="s">
        <v>1252</v>
      </c>
      <c r="V100" s="1607">
        <v>32</v>
      </c>
      <c r="W100" s="1607">
        <v>17</v>
      </c>
      <c r="X100" s="1607">
        <v>3</v>
      </c>
      <c r="Y100" s="1607">
        <v>3</v>
      </c>
      <c r="Z100" s="1607">
        <v>9</v>
      </c>
      <c r="AA100" s="1607"/>
    </row>
  </sheetData>
  <pageMargins left="0.7" right="0.7" top="0.75" bottom="0.75" header="0.3" footer="0.3"/>
  <pageSetup paperSize="9" fitToHeight="50" orientation="landscape" r:id="rId1"/>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fitToPage="1"/>
  </sheetPr>
  <dimension ref="A1:D1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32.85546875" bestFit="1" customWidth="1"/>
    <col min="2" max="4" width="7.85546875" bestFit="1" customWidth="1"/>
  </cols>
  <sheetData>
    <row r="1" spans="1:4" x14ac:dyDescent="0.2"/>
    <row r="4" spans="1:4" x14ac:dyDescent="0.2">
      <c r="A4" s="1606" t="s">
        <v>1298</v>
      </c>
      <c r="B4" s="1606" t="s">
        <v>160</v>
      </c>
      <c r="C4" s="1606" t="s">
        <v>379</v>
      </c>
      <c r="D4" s="1606" t="s">
        <v>603</v>
      </c>
    </row>
    <row r="5" spans="1:4" x14ac:dyDescent="0.2">
      <c r="A5" s="1607" t="s">
        <v>1286</v>
      </c>
      <c r="B5" s="1607">
        <v>364</v>
      </c>
      <c r="C5" s="1607">
        <v>355</v>
      </c>
      <c r="D5" s="1607">
        <v>398</v>
      </c>
    </row>
    <row r="6" spans="1:4" x14ac:dyDescent="0.2">
      <c r="A6" s="1607" t="s">
        <v>1287</v>
      </c>
      <c r="B6" s="1607">
        <v>61</v>
      </c>
      <c r="C6" s="1607">
        <v>56</v>
      </c>
      <c r="D6" s="1607">
        <v>54</v>
      </c>
    </row>
    <row r="7" spans="1:4" x14ac:dyDescent="0.2">
      <c r="A7" s="1607" t="s">
        <v>1288</v>
      </c>
      <c r="B7" s="1607">
        <v>50</v>
      </c>
      <c r="C7" s="1607">
        <v>30</v>
      </c>
      <c r="D7" s="1607">
        <v>27</v>
      </c>
    </row>
    <row r="8" spans="1:4" x14ac:dyDescent="0.2">
      <c r="A8" s="1607" t="s">
        <v>1289</v>
      </c>
      <c r="B8" s="1607">
        <v>87</v>
      </c>
      <c r="C8" s="1607">
        <v>60</v>
      </c>
      <c r="D8" s="1607">
        <v>63</v>
      </c>
    </row>
    <row r="9" spans="1:4" x14ac:dyDescent="0.2">
      <c r="A9" s="1607" t="s">
        <v>1290</v>
      </c>
      <c r="B9" s="1607">
        <v>51</v>
      </c>
      <c r="C9" s="1607">
        <v>33</v>
      </c>
      <c r="D9" s="1607">
        <v>26</v>
      </c>
    </row>
    <row r="10" spans="1:4" x14ac:dyDescent="0.2">
      <c r="A10" s="1607" t="s">
        <v>1291</v>
      </c>
      <c r="B10" s="1607">
        <v>42</v>
      </c>
      <c r="C10" s="1607">
        <v>24</v>
      </c>
      <c r="D10" s="1607">
        <v>27</v>
      </c>
    </row>
    <row r="11" spans="1:4" x14ac:dyDescent="0.2">
      <c r="A11" s="1607" t="s">
        <v>1292</v>
      </c>
      <c r="B11" s="1607">
        <v>54</v>
      </c>
      <c r="C11" s="1607">
        <v>49</v>
      </c>
      <c r="D11" s="1607">
        <v>50</v>
      </c>
    </row>
    <row r="12" spans="1:4" x14ac:dyDescent="0.2">
      <c r="A12" s="1607" t="s">
        <v>1293</v>
      </c>
      <c r="B12" s="1607">
        <v>33</v>
      </c>
      <c r="C12" s="1607">
        <v>27</v>
      </c>
      <c r="D12" s="1607">
        <v>24</v>
      </c>
    </row>
    <row r="13" spans="1:4" x14ac:dyDescent="0.2">
      <c r="A13" s="1607" t="s">
        <v>1294</v>
      </c>
      <c r="B13" s="1607">
        <v>8</v>
      </c>
      <c r="C13" s="1607">
        <v>15</v>
      </c>
      <c r="D13" s="1607">
        <v>15</v>
      </c>
    </row>
    <row r="14" spans="1:4" x14ac:dyDescent="0.2">
      <c r="A14" s="1607" t="s">
        <v>1295</v>
      </c>
      <c r="B14" s="1607">
        <v>10</v>
      </c>
      <c r="C14" s="1607">
        <v>13</v>
      </c>
      <c r="D14" s="1607">
        <v>6</v>
      </c>
    </row>
    <row r="15" spans="1:4" x14ac:dyDescent="0.2">
      <c r="A15" s="1607" t="s">
        <v>1296</v>
      </c>
      <c r="B15" s="1607">
        <v>10</v>
      </c>
      <c r="C15" s="1607">
        <v>7</v>
      </c>
      <c r="D15" s="1607">
        <v>5</v>
      </c>
    </row>
    <row r="16" spans="1:4" x14ac:dyDescent="0.2">
      <c r="A16" s="1607" t="s">
        <v>1297</v>
      </c>
      <c r="B16" s="1607">
        <v>9</v>
      </c>
      <c r="C16" s="1607">
        <v>6</v>
      </c>
      <c r="D16" s="1607">
        <v>3</v>
      </c>
    </row>
  </sheetData>
  <pageMargins left="0.7" right="0.7" top="0.75" bottom="0.75" header="0.3" footer="0.3"/>
  <pageSetup paperSize="9" fitToHeight="50" orientation="landscape" r:id="rId1"/>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fitToPage="1"/>
  </sheetPr>
  <dimension ref="A1:E61"/>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5" bestFit="1" customWidth="1"/>
    <col min="2" max="2" width="45.7109375" customWidth="1"/>
    <col min="3" max="5" width="7.85546875" bestFit="1" customWidth="1"/>
  </cols>
  <sheetData>
    <row r="1" spans="1:5" x14ac:dyDescent="0.2"/>
    <row r="4" spans="1:5" x14ac:dyDescent="0.2">
      <c r="A4" s="1606" t="s">
        <v>1300</v>
      </c>
      <c r="B4" s="1606" t="s">
        <v>1301</v>
      </c>
      <c r="C4" s="1606" t="s">
        <v>160</v>
      </c>
      <c r="D4" s="1606" t="s">
        <v>379</v>
      </c>
      <c r="E4" s="1606" t="s">
        <v>603</v>
      </c>
    </row>
    <row r="5" spans="1:5" x14ac:dyDescent="0.2">
      <c r="A5" s="1607">
        <v>2</v>
      </c>
      <c r="B5" s="1607" t="s">
        <v>229</v>
      </c>
      <c r="C5" s="1607">
        <v>33</v>
      </c>
      <c r="D5" s="1607">
        <v>29</v>
      </c>
      <c r="E5" s="1607">
        <v>29</v>
      </c>
    </row>
    <row r="6" spans="1:5" x14ac:dyDescent="0.2">
      <c r="A6" s="1607">
        <v>3</v>
      </c>
      <c r="B6" s="1607" t="s">
        <v>230</v>
      </c>
      <c r="C6" s="1607">
        <v>12</v>
      </c>
      <c r="D6" s="1607">
        <v>9</v>
      </c>
      <c r="E6" s="1607">
        <v>12</v>
      </c>
    </row>
    <row r="7" spans="1:5" x14ac:dyDescent="0.2">
      <c r="A7" s="1607">
        <v>4</v>
      </c>
      <c r="B7" s="1607" t="s">
        <v>231</v>
      </c>
      <c r="C7" s="1607">
        <v>1983</v>
      </c>
      <c r="D7" s="1607">
        <v>1951</v>
      </c>
      <c r="E7" s="1607">
        <v>1914</v>
      </c>
    </row>
    <row r="8" spans="1:5" x14ac:dyDescent="0.2">
      <c r="A8" s="1607">
        <v>5</v>
      </c>
      <c r="B8" s="1607" t="s">
        <v>232</v>
      </c>
      <c r="C8" s="1607">
        <v>24</v>
      </c>
      <c r="D8" s="1607">
        <v>13</v>
      </c>
      <c r="E8" s="1607">
        <v>19</v>
      </c>
    </row>
    <row r="9" spans="1:5" x14ac:dyDescent="0.2">
      <c r="A9" s="1607">
        <v>6</v>
      </c>
      <c r="B9" s="1607" t="s">
        <v>233</v>
      </c>
      <c r="C9" s="1607">
        <v>520</v>
      </c>
      <c r="D9" s="1607">
        <v>510</v>
      </c>
      <c r="E9" s="1607">
        <v>399</v>
      </c>
    </row>
    <row r="10" spans="1:5" x14ac:dyDescent="0.2">
      <c r="A10" s="1607">
        <v>7</v>
      </c>
      <c r="B10" s="1607" t="s">
        <v>234</v>
      </c>
      <c r="C10" s="1607">
        <v>243</v>
      </c>
      <c r="D10" s="1607">
        <v>238</v>
      </c>
      <c r="E10" s="1607">
        <v>238</v>
      </c>
    </row>
    <row r="11" spans="1:5" x14ac:dyDescent="0.2">
      <c r="A11" s="1607">
        <v>8</v>
      </c>
      <c r="B11" s="1607" t="s">
        <v>235</v>
      </c>
      <c r="C11" s="1607">
        <v>408</v>
      </c>
      <c r="D11" s="1607">
        <v>390</v>
      </c>
      <c r="E11" s="1607">
        <v>350</v>
      </c>
    </row>
    <row r="12" spans="1:5" x14ac:dyDescent="0.2">
      <c r="A12" s="1607">
        <v>9</v>
      </c>
      <c r="B12" s="1607" t="s">
        <v>236</v>
      </c>
      <c r="C12" s="1607">
        <v>23</v>
      </c>
      <c r="D12" s="1607">
        <v>22</v>
      </c>
      <c r="E12" s="1607">
        <v>17</v>
      </c>
    </row>
    <row r="13" spans="1:5" x14ac:dyDescent="0.2">
      <c r="A13" s="1607">
        <v>10</v>
      </c>
      <c r="B13" s="1607" t="s">
        <v>237</v>
      </c>
      <c r="C13" s="1607">
        <v>30</v>
      </c>
      <c r="D13" s="1607">
        <v>19</v>
      </c>
      <c r="E13" s="1607">
        <v>26</v>
      </c>
    </row>
    <row r="14" spans="1:5" x14ac:dyDescent="0.2">
      <c r="A14" s="1607">
        <v>11</v>
      </c>
      <c r="B14" s="1607" t="s">
        <v>238</v>
      </c>
      <c r="C14" s="1607">
        <v>300</v>
      </c>
      <c r="D14" s="1607">
        <v>326</v>
      </c>
      <c r="E14" s="1607">
        <v>331</v>
      </c>
    </row>
    <row r="15" spans="1:5" x14ac:dyDescent="0.2">
      <c r="A15" s="1607">
        <v>12</v>
      </c>
      <c r="B15" s="1607" t="s">
        <v>239</v>
      </c>
      <c r="C15" s="1607">
        <v>37</v>
      </c>
      <c r="D15" s="1607">
        <v>21</v>
      </c>
      <c r="E15" s="1607">
        <v>33</v>
      </c>
    </row>
    <row r="16" spans="1:5" x14ac:dyDescent="0.2">
      <c r="A16" s="1607">
        <v>13</v>
      </c>
      <c r="B16" s="1607" t="s">
        <v>240</v>
      </c>
      <c r="C16" s="1607">
        <v>109</v>
      </c>
      <c r="D16" s="1607">
        <v>103</v>
      </c>
      <c r="E16" s="1607">
        <v>84</v>
      </c>
    </row>
    <row r="17" spans="1:5" x14ac:dyDescent="0.2">
      <c r="A17" s="1607">
        <v>14</v>
      </c>
      <c r="B17" s="1607" t="s">
        <v>241</v>
      </c>
      <c r="C17" s="1607">
        <v>14</v>
      </c>
      <c r="D17" s="1607">
        <v>5</v>
      </c>
      <c r="E17" s="1607">
        <v>11</v>
      </c>
    </row>
    <row r="18" spans="1:5" x14ac:dyDescent="0.2">
      <c r="A18" s="1607">
        <v>15</v>
      </c>
      <c r="B18" s="1607" t="s">
        <v>242</v>
      </c>
      <c r="C18" s="1607">
        <v>60</v>
      </c>
      <c r="D18" s="1607">
        <v>55</v>
      </c>
      <c r="E18" s="1607">
        <v>47</v>
      </c>
    </row>
    <row r="19" spans="1:5" x14ac:dyDescent="0.2">
      <c r="A19" s="1607">
        <v>16</v>
      </c>
      <c r="B19" s="1607" t="s">
        <v>243</v>
      </c>
      <c r="C19" s="1607">
        <v>1</v>
      </c>
      <c r="D19" s="1607">
        <v>1</v>
      </c>
      <c r="E19" s="1607">
        <v>2</v>
      </c>
    </row>
    <row r="20" spans="1:5" x14ac:dyDescent="0.2">
      <c r="A20" s="1607">
        <v>17</v>
      </c>
      <c r="B20" s="1607" t="s">
        <v>244</v>
      </c>
      <c r="C20" s="1607">
        <v>21</v>
      </c>
      <c r="D20" s="1607">
        <v>11</v>
      </c>
      <c r="E20" s="1607">
        <v>9</v>
      </c>
    </row>
    <row r="21" spans="1:5" x14ac:dyDescent="0.2">
      <c r="A21" s="1607">
        <v>18</v>
      </c>
      <c r="B21" s="1607" t="s">
        <v>245</v>
      </c>
      <c r="C21" s="1607">
        <v>28</v>
      </c>
      <c r="D21" s="1607">
        <v>25</v>
      </c>
      <c r="E21" s="1607">
        <v>24</v>
      </c>
    </row>
    <row r="22" spans="1:5" x14ac:dyDescent="0.2">
      <c r="A22" s="1607">
        <v>19</v>
      </c>
      <c r="B22" s="1607" t="s">
        <v>246</v>
      </c>
      <c r="C22" s="1607">
        <v>29</v>
      </c>
      <c r="D22" s="1607">
        <v>25</v>
      </c>
      <c r="E22" s="1607">
        <v>30</v>
      </c>
    </row>
    <row r="23" spans="1:5" x14ac:dyDescent="0.2">
      <c r="A23" s="1607">
        <v>20</v>
      </c>
      <c r="B23" s="1607" t="s">
        <v>247</v>
      </c>
      <c r="C23" s="1607">
        <v>14</v>
      </c>
      <c r="D23" s="1607">
        <v>15</v>
      </c>
      <c r="E23" s="1607">
        <v>13</v>
      </c>
    </row>
    <row r="24" spans="1:5" x14ac:dyDescent="0.2">
      <c r="A24" s="1607">
        <v>21</v>
      </c>
      <c r="B24" s="1607" t="s">
        <v>248</v>
      </c>
      <c r="C24" s="1607">
        <v>45</v>
      </c>
      <c r="D24" s="1607">
        <v>60</v>
      </c>
      <c r="E24" s="1607">
        <v>33</v>
      </c>
    </row>
    <row r="25" spans="1:5" x14ac:dyDescent="0.2">
      <c r="A25" s="1607">
        <v>22</v>
      </c>
      <c r="B25" s="1607" t="s">
        <v>249</v>
      </c>
      <c r="C25" s="1607">
        <v>359</v>
      </c>
      <c r="D25" s="1607">
        <v>305</v>
      </c>
      <c r="E25" s="1607">
        <v>308</v>
      </c>
    </row>
    <row r="26" spans="1:5" x14ac:dyDescent="0.2">
      <c r="A26" s="1607">
        <v>23</v>
      </c>
      <c r="B26" s="1607" t="s">
        <v>250</v>
      </c>
      <c r="C26" s="1607">
        <v>7</v>
      </c>
      <c r="D26" s="1607">
        <v>4</v>
      </c>
      <c r="E26" s="1607">
        <v>4</v>
      </c>
    </row>
    <row r="27" spans="1:5" x14ac:dyDescent="0.2">
      <c r="A27" s="1607">
        <v>24</v>
      </c>
      <c r="B27" s="1607" t="s">
        <v>251</v>
      </c>
      <c r="C27" s="1607">
        <v>5</v>
      </c>
      <c r="D27" s="1607">
        <v>8</v>
      </c>
      <c r="E27" s="1607">
        <v>3</v>
      </c>
    </row>
    <row r="28" spans="1:5" x14ac:dyDescent="0.2">
      <c r="A28" s="1607">
        <v>25</v>
      </c>
      <c r="B28" s="1607" t="s">
        <v>252</v>
      </c>
      <c r="C28" s="1607">
        <v>14</v>
      </c>
      <c r="D28" s="1607">
        <v>26</v>
      </c>
      <c r="E28" s="1607">
        <v>24</v>
      </c>
    </row>
    <row r="29" spans="1:5" x14ac:dyDescent="0.2">
      <c r="A29" s="1607">
        <v>26</v>
      </c>
      <c r="B29" s="1607" t="s">
        <v>253</v>
      </c>
      <c r="C29" s="1607">
        <v>32</v>
      </c>
      <c r="D29" s="1607">
        <v>35</v>
      </c>
      <c r="E29" s="1607">
        <v>43</v>
      </c>
    </row>
    <row r="30" spans="1:5" x14ac:dyDescent="0.2">
      <c r="A30" s="1607">
        <v>27</v>
      </c>
      <c r="B30" s="1607" t="s">
        <v>254</v>
      </c>
      <c r="C30" s="1607">
        <v>132</v>
      </c>
      <c r="D30" s="1607">
        <v>126</v>
      </c>
      <c r="E30" s="1607">
        <v>129</v>
      </c>
    </row>
    <row r="31" spans="1:5" x14ac:dyDescent="0.2">
      <c r="A31" s="1607">
        <v>28</v>
      </c>
      <c r="B31" s="1607" t="s">
        <v>255</v>
      </c>
      <c r="C31" s="1607">
        <v>9</v>
      </c>
      <c r="D31" s="1607">
        <v>17</v>
      </c>
      <c r="E31" s="1607">
        <v>9</v>
      </c>
    </row>
    <row r="32" spans="1:5" x14ac:dyDescent="0.2">
      <c r="A32" s="1607">
        <v>29</v>
      </c>
      <c r="B32" s="1607" t="s">
        <v>256</v>
      </c>
      <c r="C32" s="1607">
        <v>6</v>
      </c>
      <c r="D32" s="1607">
        <v>5</v>
      </c>
      <c r="E32" s="1607">
        <v>4</v>
      </c>
    </row>
    <row r="33" spans="1:5" x14ac:dyDescent="0.2">
      <c r="A33" s="1607">
        <v>30</v>
      </c>
      <c r="B33" s="1607" t="s">
        <v>257</v>
      </c>
      <c r="C33" s="1607">
        <v>12</v>
      </c>
      <c r="D33" s="1607">
        <v>10</v>
      </c>
      <c r="E33" s="1607">
        <v>11</v>
      </c>
    </row>
    <row r="34" spans="1:5" x14ac:dyDescent="0.2">
      <c r="A34" s="1607">
        <v>31</v>
      </c>
      <c r="B34" s="1607" t="s">
        <v>258</v>
      </c>
      <c r="C34" s="1607">
        <v>4</v>
      </c>
      <c r="D34" s="1607">
        <v>3</v>
      </c>
      <c r="E34" s="1607">
        <v>1</v>
      </c>
    </row>
    <row r="35" spans="1:5" x14ac:dyDescent="0.2">
      <c r="A35" s="1607">
        <v>32</v>
      </c>
      <c r="B35" s="1607" t="s">
        <v>259</v>
      </c>
      <c r="C35" s="1607">
        <v>8</v>
      </c>
      <c r="D35" s="1607">
        <v>7</v>
      </c>
      <c r="E35" s="1607">
        <v>8</v>
      </c>
    </row>
    <row r="36" spans="1:5" x14ac:dyDescent="0.2">
      <c r="A36" s="1607">
        <v>33</v>
      </c>
      <c r="B36" s="1607" t="s">
        <v>260</v>
      </c>
      <c r="C36" s="1607">
        <v>17</v>
      </c>
      <c r="D36" s="1607">
        <v>6</v>
      </c>
      <c r="E36" s="1607">
        <v>2</v>
      </c>
    </row>
    <row r="37" spans="1:5" x14ac:dyDescent="0.2">
      <c r="A37" s="1607">
        <v>34</v>
      </c>
      <c r="B37" s="1607" t="s">
        <v>261</v>
      </c>
      <c r="C37" s="1607">
        <v>31</v>
      </c>
      <c r="D37" s="1607">
        <v>38</v>
      </c>
      <c r="E37" s="1607">
        <v>39</v>
      </c>
    </row>
    <row r="38" spans="1:5" x14ac:dyDescent="0.2">
      <c r="A38" s="1607">
        <v>35</v>
      </c>
      <c r="B38" s="1607" t="s">
        <v>262</v>
      </c>
      <c r="C38" s="1607">
        <v>9</v>
      </c>
      <c r="D38" s="1607">
        <v>10</v>
      </c>
      <c r="E38" s="1607">
        <v>3</v>
      </c>
    </row>
    <row r="39" spans="1:5" x14ac:dyDescent="0.2">
      <c r="A39" s="1607">
        <v>36</v>
      </c>
      <c r="B39" s="1607" t="s">
        <v>263</v>
      </c>
      <c r="C39" s="1607">
        <v>3</v>
      </c>
      <c r="D39" s="1607">
        <v>4</v>
      </c>
      <c r="E39" s="1607">
        <v>4</v>
      </c>
    </row>
    <row r="40" spans="1:5" x14ac:dyDescent="0.2">
      <c r="A40" s="1607">
        <v>37</v>
      </c>
      <c r="B40" s="1607" t="s">
        <v>264</v>
      </c>
      <c r="C40" s="1607">
        <v>26</v>
      </c>
      <c r="D40" s="1607">
        <v>18</v>
      </c>
      <c r="E40" s="1607">
        <v>16</v>
      </c>
    </row>
    <row r="41" spans="1:5" x14ac:dyDescent="0.2">
      <c r="A41" s="1607">
        <v>38</v>
      </c>
      <c r="B41" s="1607" t="s">
        <v>265</v>
      </c>
      <c r="C41" s="1607">
        <v>20</v>
      </c>
      <c r="D41" s="1607">
        <v>21</v>
      </c>
      <c r="E41" s="1607">
        <v>24</v>
      </c>
    </row>
    <row r="42" spans="1:5" x14ac:dyDescent="0.2">
      <c r="A42" s="1607">
        <v>39</v>
      </c>
      <c r="B42" s="1607" t="s">
        <v>266</v>
      </c>
      <c r="C42" s="1607">
        <v>5</v>
      </c>
      <c r="D42" s="1607">
        <v>4</v>
      </c>
      <c r="E42" s="1607">
        <v>5</v>
      </c>
    </row>
    <row r="43" spans="1:5" x14ac:dyDescent="0.2">
      <c r="A43" s="1607">
        <v>40</v>
      </c>
      <c r="B43" s="1607" t="s">
        <v>267</v>
      </c>
      <c r="C43" s="1607">
        <v>1</v>
      </c>
      <c r="D43" s="1607">
        <v>6</v>
      </c>
      <c r="E43" s="1607">
        <v>1</v>
      </c>
    </row>
    <row r="44" spans="1:5" x14ac:dyDescent="0.2">
      <c r="A44" s="1607">
        <v>41</v>
      </c>
      <c r="B44" s="1607" t="s">
        <v>268</v>
      </c>
      <c r="C44" s="1607">
        <v>9</v>
      </c>
      <c r="D44" s="1607">
        <v>9</v>
      </c>
      <c r="E44" s="1607">
        <v>12</v>
      </c>
    </row>
    <row r="45" spans="1:5" x14ac:dyDescent="0.2">
      <c r="A45" s="1607">
        <v>42</v>
      </c>
      <c r="B45" s="1607" t="s">
        <v>269</v>
      </c>
      <c r="C45" s="1607">
        <v>5</v>
      </c>
      <c r="D45" s="1607">
        <v>4</v>
      </c>
      <c r="E45" s="1607">
        <v>7</v>
      </c>
    </row>
    <row r="46" spans="1:5" x14ac:dyDescent="0.2">
      <c r="A46" s="1607">
        <v>43</v>
      </c>
      <c r="B46" s="1607" t="s">
        <v>270</v>
      </c>
      <c r="C46" s="1607"/>
      <c r="D46" s="1607">
        <v>1</v>
      </c>
      <c r="E46" s="1607">
        <v>3</v>
      </c>
    </row>
    <row r="47" spans="1:5" x14ac:dyDescent="0.2">
      <c r="A47" s="1607">
        <v>44</v>
      </c>
      <c r="B47" s="1607" t="s">
        <v>271</v>
      </c>
      <c r="C47" s="1607">
        <v>1</v>
      </c>
      <c r="D47" s="1607">
        <v>1</v>
      </c>
      <c r="E47" s="1607"/>
    </row>
    <row r="48" spans="1:5" x14ac:dyDescent="0.2">
      <c r="A48" s="1607">
        <v>45</v>
      </c>
      <c r="B48" s="1607" t="s">
        <v>272</v>
      </c>
      <c r="C48" s="1607">
        <v>80</v>
      </c>
      <c r="D48" s="1607">
        <v>76</v>
      </c>
      <c r="E48" s="1607">
        <v>82</v>
      </c>
    </row>
    <row r="49" spans="1:5" x14ac:dyDescent="0.2">
      <c r="A49" s="1607">
        <v>46</v>
      </c>
      <c r="B49" s="1607" t="s">
        <v>273</v>
      </c>
      <c r="C49" s="1607">
        <v>11</v>
      </c>
      <c r="D49" s="1607">
        <v>5</v>
      </c>
      <c r="E49" s="1607">
        <v>11</v>
      </c>
    </row>
    <row r="50" spans="1:5" x14ac:dyDescent="0.2">
      <c r="A50" s="1607">
        <v>47</v>
      </c>
      <c r="B50" s="1607" t="s">
        <v>274</v>
      </c>
      <c r="C50" s="1607">
        <v>3</v>
      </c>
      <c r="D50" s="1607">
        <v>4</v>
      </c>
      <c r="E50" s="1607">
        <v>7</v>
      </c>
    </row>
    <row r="51" spans="1:5" x14ac:dyDescent="0.2">
      <c r="A51" s="1607">
        <v>48</v>
      </c>
      <c r="B51" s="1607" t="s">
        <v>275</v>
      </c>
      <c r="C51" s="1607">
        <v>1</v>
      </c>
      <c r="D51" s="1607">
        <v>1</v>
      </c>
      <c r="E51" s="1607"/>
    </row>
    <row r="52" spans="1:5" x14ac:dyDescent="0.2">
      <c r="A52" s="1607">
        <v>49</v>
      </c>
      <c r="B52" s="1607" t="s">
        <v>276</v>
      </c>
      <c r="C52" s="1607">
        <v>13</v>
      </c>
      <c r="D52" s="1607">
        <v>3</v>
      </c>
      <c r="E52" s="1607">
        <v>9</v>
      </c>
    </row>
    <row r="53" spans="1:5" x14ac:dyDescent="0.2">
      <c r="A53" s="1607">
        <v>50</v>
      </c>
      <c r="B53" s="1607" t="s">
        <v>277</v>
      </c>
      <c r="C53" s="1607">
        <v>89</v>
      </c>
      <c r="D53" s="1607">
        <v>95</v>
      </c>
      <c r="E53" s="1607">
        <v>117</v>
      </c>
    </row>
    <row r="54" spans="1:5" x14ac:dyDescent="0.2">
      <c r="A54" s="1607">
        <v>51</v>
      </c>
      <c r="B54" s="1607" t="s">
        <v>278</v>
      </c>
      <c r="C54" s="1607"/>
      <c r="D54" s="1607">
        <v>7</v>
      </c>
      <c r="E54" s="1607">
        <v>1</v>
      </c>
    </row>
    <row r="55" spans="1:5" x14ac:dyDescent="0.2">
      <c r="A55" s="1607">
        <v>52</v>
      </c>
      <c r="B55" s="1607" t="s">
        <v>279</v>
      </c>
      <c r="C55" s="1607">
        <v>6</v>
      </c>
      <c r="D55" s="1607">
        <v>5</v>
      </c>
      <c r="E55" s="1607">
        <v>11</v>
      </c>
    </row>
    <row r="56" spans="1:5" x14ac:dyDescent="0.2">
      <c r="A56" s="1607">
        <v>53</v>
      </c>
      <c r="B56" s="1607" t="s">
        <v>280</v>
      </c>
      <c r="C56" s="1607">
        <v>2</v>
      </c>
      <c r="D56" s="1607">
        <v>1</v>
      </c>
      <c r="E56" s="1607">
        <v>1</v>
      </c>
    </row>
    <row r="57" spans="1:5" x14ac:dyDescent="0.2">
      <c r="A57" s="1607">
        <v>54</v>
      </c>
      <c r="B57" s="1607" t="s">
        <v>281</v>
      </c>
      <c r="C57" s="1607">
        <v>2</v>
      </c>
      <c r="D57" s="1607">
        <v>5</v>
      </c>
      <c r="E57" s="1607">
        <v>1</v>
      </c>
    </row>
    <row r="58" spans="1:5" x14ac:dyDescent="0.2">
      <c r="A58" s="1607">
        <v>55</v>
      </c>
      <c r="B58" s="1607" t="s">
        <v>282</v>
      </c>
      <c r="C58" s="1607">
        <v>21</v>
      </c>
      <c r="D58" s="1607">
        <v>15</v>
      </c>
      <c r="E58" s="1607">
        <v>10</v>
      </c>
    </row>
    <row r="59" spans="1:5" x14ac:dyDescent="0.2">
      <c r="A59" s="1607">
        <v>56</v>
      </c>
      <c r="B59" s="1607" t="s">
        <v>283</v>
      </c>
      <c r="C59" s="1607">
        <v>1</v>
      </c>
      <c r="D59" s="1607">
        <v>5</v>
      </c>
      <c r="E59" s="1607">
        <v>2</v>
      </c>
    </row>
    <row r="60" spans="1:5" x14ac:dyDescent="0.2">
      <c r="A60" s="1607">
        <v>57</v>
      </c>
      <c r="B60" s="1607" t="s">
        <v>284</v>
      </c>
      <c r="C60" s="1607">
        <v>18</v>
      </c>
      <c r="D60" s="1607">
        <v>18</v>
      </c>
      <c r="E60" s="1607">
        <v>10</v>
      </c>
    </row>
    <row r="61" spans="1:5" x14ac:dyDescent="0.2">
      <c r="A61" s="1607">
        <v>58</v>
      </c>
      <c r="B61" s="1607" t="s">
        <v>1299</v>
      </c>
      <c r="C61" s="1607">
        <v>176</v>
      </c>
      <c r="D61" s="1607">
        <v>194</v>
      </c>
      <c r="E61" s="1607">
        <v>209</v>
      </c>
    </row>
  </sheetData>
  <pageMargins left="0.7" right="0.7" top="0.75" bottom="0.75" header="0.3" footer="0.3"/>
  <pageSetup paperSize="9" fitToHeight="50" orientation="landscape" r:id="rId1"/>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fitToPage="1"/>
  </sheetPr>
  <dimension ref="A1:H12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5.5703125" customWidth="1"/>
    <col min="2" max="2" width="7.85546875" bestFit="1" customWidth="1"/>
    <col min="3" max="3" width="20.42578125" bestFit="1" customWidth="1"/>
    <col min="4" max="4" width="5" customWidth="1"/>
    <col min="5" max="5" width="6" customWidth="1"/>
    <col min="6" max="6" width="4.85546875" customWidth="1"/>
    <col min="7" max="7" width="11.7109375" customWidth="1"/>
    <col min="8" max="8" width="11.7109375" bestFit="1" customWidth="1"/>
  </cols>
  <sheetData>
    <row r="1" spans="1:8" x14ac:dyDescent="0.2"/>
    <row r="4" spans="1:8" x14ac:dyDescent="0.2">
      <c r="A4" s="1606" t="s">
        <v>1302</v>
      </c>
      <c r="B4" s="1606" t="s">
        <v>4</v>
      </c>
      <c r="C4" s="1606" t="s">
        <v>11</v>
      </c>
      <c r="D4" s="1606" t="s">
        <v>1303</v>
      </c>
      <c r="E4" s="1606" t="s">
        <v>1304</v>
      </c>
      <c r="F4" s="1606" t="s">
        <v>1305</v>
      </c>
    </row>
    <row r="5" spans="1:8" x14ac:dyDescent="0.2">
      <c r="A5" s="1607" t="s">
        <v>1082</v>
      </c>
      <c r="B5" s="1607" t="s">
        <v>160</v>
      </c>
      <c r="C5" s="1607">
        <v>5072</v>
      </c>
      <c r="D5" s="1607">
        <v>725</v>
      </c>
      <c r="E5" s="1607">
        <v>3756</v>
      </c>
      <c r="F5" s="1607">
        <v>591</v>
      </c>
    </row>
    <row r="6" spans="1:8" x14ac:dyDescent="0.2">
      <c r="A6" s="1607" t="s">
        <v>1082</v>
      </c>
      <c r="B6" s="1607" t="s">
        <v>379</v>
      </c>
      <c r="C6" s="1607">
        <v>4930</v>
      </c>
      <c r="D6" s="1607">
        <v>704</v>
      </c>
      <c r="E6" s="1607">
        <v>3627</v>
      </c>
      <c r="F6" s="1607">
        <v>599</v>
      </c>
    </row>
    <row r="7" spans="1:8" x14ac:dyDescent="0.2">
      <c r="A7" s="1607" t="s">
        <v>1082</v>
      </c>
      <c r="B7" s="1607" t="s">
        <v>603</v>
      </c>
      <c r="C7" s="1607">
        <v>4752</v>
      </c>
      <c r="D7" s="1607">
        <v>713</v>
      </c>
      <c r="E7" s="1607">
        <v>3425</v>
      </c>
      <c r="F7" s="1607">
        <v>614</v>
      </c>
    </row>
    <row r="15" spans="1:8" x14ac:dyDescent="0.2">
      <c r="A15" s="1608" t="s">
        <v>1307</v>
      </c>
      <c r="B15" s="1608" t="s">
        <v>4</v>
      </c>
      <c r="C15" s="1608" t="s">
        <v>1211</v>
      </c>
      <c r="D15" s="1608" t="s">
        <v>1302</v>
      </c>
      <c r="E15" s="1608" t="s">
        <v>11</v>
      </c>
      <c r="F15" s="1608" t="s">
        <v>1303</v>
      </c>
      <c r="G15" s="1608" t="s">
        <v>1304</v>
      </c>
      <c r="H15" s="1608" t="s">
        <v>1305</v>
      </c>
    </row>
    <row r="16" spans="1:8" x14ac:dyDescent="0.2">
      <c r="A16" s="1607" t="s">
        <v>99</v>
      </c>
      <c r="B16" s="1607" t="s">
        <v>160</v>
      </c>
      <c r="C16" s="1607" t="s">
        <v>62</v>
      </c>
      <c r="D16" s="1607" t="s">
        <v>1082</v>
      </c>
      <c r="E16" s="1607">
        <v>33</v>
      </c>
      <c r="F16" s="1607">
        <v>12</v>
      </c>
      <c r="G16" s="1607">
        <v>8</v>
      </c>
      <c r="H16" s="1607">
        <v>13</v>
      </c>
    </row>
    <row r="17" spans="1:8" x14ac:dyDescent="0.2">
      <c r="A17" s="1607" t="s">
        <v>99</v>
      </c>
      <c r="B17" s="1607" t="s">
        <v>379</v>
      </c>
      <c r="C17" s="1607" t="s">
        <v>62</v>
      </c>
      <c r="D17" s="1607" t="s">
        <v>1082</v>
      </c>
      <c r="E17" s="1607">
        <v>31</v>
      </c>
      <c r="F17" s="1607">
        <v>9</v>
      </c>
      <c r="G17" s="1607">
        <v>4</v>
      </c>
      <c r="H17" s="1607">
        <v>18</v>
      </c>
    </row>
    <row r="18" spans="1:8" x14ac:dyDescent="0.2">
      <c r="A18" s="1607" t="s">
        <v>99</v>
      </c>
      <c r="B18" s="1607" t="s">
        <v>603</v>
      </c>
      <c r="C18" s="1607" t="s">
        <v>62</v>
      </c>
      <c r="D18" s="1607" t="s">
        <v>1082</v>
      </c>
      <c r="E18" s="1607">
        <v>35</v>
      </c>
      <c r="F18" s="1607">
        <v>9</v>
      </c>
      <c r="G18" s="1607">
        <v>9</v>
      </c>
      <c r="H18" s="1607">
        <v>17</v>
      </c>
    </row>
    <row r="19" spans="1:8" x14ac:dyDescent="0.2">
      <c r="A19" s="1607" t="s">
        <v>1306</v>
      </c>
      <c r="B19" s="1607" t="s">
        <v>160</v>
      </c>
      <c r="C19" s="1607" t="s">
        <v>62</v>
      </c>
      <c r="D19" s="1607" t="s">
        <v>1082</v>
      </c>
      <c r="E19" s="1607">
        <v>925</v>
      </c>
      <c r="F19" s="1607">
        <v>280</v>
      </c>
      <c r="G19" s="1607">
        <v>509</v>
      </c>
      <c r="H19" s="1607">
        <v>136</v>
      </c>
    </row>
    <row r="20" spans="1:8" x14ac:dyDescent="0.2">
      <c r="A20" s="1607" t="s">
        <v>1306</v>
      </c>
      <c r="B20" s="1607" t="s">
        <v>379</v>
      </c>
      <c r="C20" s="1607" t="s">
        <v>62</v>
      </c>
      <c r="D20" s="1607" t="s">
        <v>1082</v>
      </c>
      <c r="E20" s="1607">
        <v>940</v>
      </c>
      <c r="F20" s="1607">
        <v>271</v>
      </c>
      <c r="G20" s="1607">
        <v>518</v>
      </c>
      <c r="H20" s="1607">
        <v>151</v>
      </c>
    </row>
    <row r="21" spans="1:8" x14ac:dyDescent="0.2">
      <c r="A21" s="1607" t="s">
        <v>1306</v>
      </c>
      <c r="B21" s="1607" t="s">
        <v>603</v>
      </c>
      <c r="C21" s="1607" t="s">
        <v>62</v>
      </c>
      <c r="D21" s="1607" t="s">
        <v>1082</v>
      </c>
      <c r="E21" s="1607">
        <v>797</v>
      </c>
      <c r="F21" s="1607">
        <v>254</v>
      </c>
      <c r="G21" s="1607">
        <v>418</v>
      </c>
      <c r="H21" s="1607">
        <v>125</v>
      </c>
    </row>
    <row r="30" spans="1:8" x14ac:dyDescent="0.2">
      <c r="A30" s="1608" t="s">
        <v>1302</v>
      </c>
      <c r="B30" s="1608" t="s">
        <v>4</v>
      </c>
      <c r="C30" s="1608" t="s">
        <v>1081</v>
      </c>
      <c r="D30" s="1608" t="s">
        <v>11</v>
      </c>
      <c r="E30" s="1608" t="s">
        <v>1303</v>
      </c>
      <c r="F30" s="1608" t="s">
        <v>1304</v>
      </c>
      <c r="G30" s="1608" t="s">
        <v>1305</v>
      </c>
    </row>
    <row r="31" spans="1:8" x14ac:dyDescent="0.2">
      <c r="A31" s="1607" t="s">
        <v>1082</v>
      </c>
      <c r="B31" s="1607" t="s">
        <v>160</v>
      </c>
      <c r="C31" s="1607" t="s">
        <v>23</v>
      </c>
      <c r="D31" s="1607">
        <v>299</v>
      </c>
      <c r="E31" s="1607">
        <v>47</v>
      </c>
      <c r="F31" s="1607">
        <v>221</v>
      </c>
      <c r="G31" s="1607">
        <v>31</v>
      </c>
    </row>
    <row r="32" spans="1:8" x14ac:dyDescent="0.2">
      <c r="A32" s="1607" t="s">
        <v>1082</v>
      </c>
      <c r="B32" s="1607" t="s">
        <v>160</v>
      </c>
      <c r="C32" s="1607" t="s">
        <v>24</v>
      </c>
      <c r="D32" s="1607">
        <v>180</v>
      </c>
      <c r="E32" s="1607">
        <v>21</v>
      </c>
      <c r="F32" s="1607">
        <v>155</v>
      </c>
      <c r="G32" s="1607">
        <v>4</v>
      </c>
    </row>
    <row r="33" spans="1:7" x14ac:dyDescent="0.2">
      <c r="A33" s="1607" t="s">
        <v>1082</v>
      </c>
      <c r="B33" s="1607" t="s">
        <v>160</v>
      </c>
      <c r="C33" s="1607" t="s">
        <v>25</v>
      </c>
      <c r="D33" s="1607">
        <v>88</v>
      </c>
      <c r="E33" s="1607">
        <v>15</v>
      </c>
      <c r="F33" s="1607">
        <v>66</v>
      </c>
      <c r="G33" s="1607">
        <v>7</v>
      </c>
    </row>
    <row r="34" spans="1:7" x14ac:dyDescent="0.2">
      <c r="A34" s="1607" t="s">
        <v>1082</v>
      </c>
      <c r="B34" s="1607" t="s">
        <v>160</v>
      </c>
      <c r="C34" s="1607" t="s">
        <v>26</v>
      </c>
      <c r="D34" s="1607">
        <v>60</v>
      </c>
      <c r="E34" s="1607">
        <v>7</v>
      </c>
      <c r="F34" s="1607">
        <v>49</v>
      </c>
      <c r="G34" s="1607">
        <v>4</v>
      </c>
    </row>
    <row r="35" spans="1:7" x14ac:dyDescent="0.2">
      <c r="A35" s="1607" t="s">
        <v>1082</v>
      </c>
      <c r="B35" s="1607" t="s">
        <v>160</v>
      </c>
      <c r="C35" s="1607" t="s">
        <v>27</v>
      </c>
      <c r="D35" s="1607">
        <v>71</v>
      </c>
      <c r="E35" s="1607">
        <v>11</v>
      </c>
      <c r="F35" s="1607">
        <v>53</v>
      </c>
      <c r="G35" s="1607">
        <v>7</v>
      </c>
    </row>
    <row r="36" spans="1:7" x14ac:dyDescent="0.2">
      <c r="A36" s="1607" t="s">
        <v>1082</v>
      </c>
      <c r="B36" s="1607" t="s">
        <v>160</v>
      </c>
      <c r="C36" s="1607" t="s">
        <v>28</v>
      </c>
      <c r="D36" s="1607">
        <v>82</v>
      </c>
      <c r="E36" s="1607">
        <v>5</v>
      </c>
      <c r="F36" s="1607">
        <v>70</v>
      </c>
      <c r="G36" s="1607">
        <v>7</v>
      </c>
    </row>
    <row r="37" spans="1:7" x14ac:dyDescent="0.2">
      <c r="A37" s="1607" t="s">
        <v>1082</v>
      </c>
      <c r="B37" s="1607" t="s">
        <v>160</v>
      </c>
      <c r="C37" s="1607" t="s">
        <v>29</v>
      </c>
      <c r="D37" s="1607">
        <v>227</v>
      </c>
      <c r="E37" s="1607">
        <v>50</v>
      </c>
      <c r="F37" s="1607">
        <v>139</v>
      </c>
      <c r="G37" s="1607">
        <v>38</v>
      </c>
    </row>
    <row r="38" spans="1:7" x14ac:dyDescent="0.2">
      <c r="A38" s="1607" t="s">
        <v>1082</v>
      </c>
      <c r="B38" s="1607" t="s">
        <v>160</v>
      </c>
      <c r="C38" s="1607" t="s">
        <v>30</v>
      </c>
      <c r="D38" s="1607">
        <v>92</v>
      </c>
      <c r="E38" s="1607">
        <v>14</v>
      </c>
      <c r="F38" s="1607">
        <v>68</v>
      </c>
      <c r="G38" s="1607">
        <v>10</v>
      </c>
    </row>
    <row r="39" spans="1:7" x14ac:dyDescent="0.2">
      <c r="A39" s="1607" t="s">
        <v>1082</v>
      </c>
      <c r="B39" s="1607" t="s">
        <v>160</v>
      </c>
      <c r="C39" s="1607" t="s">
        <v>31</v>
      </c>
      <c r="D39" s="1607">
        <v>71</v>
      </c>
      <c r="E39" s="1607">
        <v>7</v>
      </c>
      <c r="F39" s="1607">
        <v>57</v>
      </c>
      <c r="G39" s="1607">
        <v>7</v>
      </c>
    </row>
    <row r="40" spans="1:7" x14ac:dyDescent="0.2">
      <c r="A40" s="1607" t="s">
        <v>1082</v>
      </c>
      <c r="B40" s="1607" t="s">
        <v>160</v>
      </c>
      <c r="C40" s="1607" t="s">
        <v>32</v>
      </c>
      <c r="D40" s="1607">
        <v>80</v>
      </c>
      <c r="E40" s="1607">
        <v>5</v>
      </c>
      <c r="F40" s="1607">
        <v>69</v>
      </c>
      <c r="G40" s="1607">
        <v>6</v>
      </c>
    </row>
    <row r="41" spans="1:7" x14ac:dyDescent="0.2">
      <c r="A41" s="1607" t="s">
        <v>1082</v>
      </c>
      <c r="B41" s="1607" t="s">
        <v>160</v>
      </c>
      <c r="C41" s="1607" t="s">
        <v>33</v>
      </c>
      <c r="D41" s="1607">
        <v>63</v>
      </c>
      <c r="E41" s="1607">
        <v>5</v>
      </c>
      <c r="F41" s="1607">
        <v>52</v>
      </c>
      <c r="G41" s="1607">
        <v>6</v>
      </c>
    </row>
    <row r="42" spans="1:7" x14ac:dyDescent="0.2">
      <c r="A42" s="1607" t="s">
        <v>1082</v>
      </c>
      <c r="B42" s="1607" t="s">
        <v>160</v>
      </c>
      <c r="C42" s="1607" t="s">
        <v>665</v>
      </c>
      <c r="D42" s="1607">
        <v>545</v>
      </c>
      <c r="E42" s="1607">
        <v>76</v>
      </c>
      <c r="F42" s="1607">
        <v>375</v>
      </c>
      <c r="G42" s="1607">
        <v>94</v>
      </c>
    </row>
    <row r="43" spans="1:7" x14ac:dyDescent="0.2">
      <c r="A43" s="1607" t="s">
        <v>1082</v>
      </c>
      <c r="B43" s="1607" t="s">
        <v>160</v>
      </c>
      <c r="C43" s="1607" t="s">
        <v>34</v>
      </c>
      <c r="D43" s="1607">
        <v>123</v>
      </c>
      <c r="E43" s="1607">
        <v>20</v>
      </c>
      <c r="F43" s="1607">
        <v>87</v>
      </c>
      <c r="G43" s="1607">
        <v>16</v>
      </c>
    </row>
    <row r="44" spans="1:7" x14ac:dyDescent="0.2">
      <c r="A44" s="1607" t="s">
        <v>1082</v>
      </c>
      <c r="B44" s="1607" t="s">
        <v>160</v>
      </c>
      <c r="C44" s="1607" t="s">
        <v>35</v>
      </c>
      <c r="D44" s="1607">
        <v>255</v>
      </c>
      <c r="E44" s="1607">
        <v>39</v>
      </c>
      <c r="F44" s="1607">
        <v>194</v>
      </c>
      <c r="G44" s="1607">
        <v>22</v>
      </c>
    </row>
    <row r="45" spans="1:7" x14ac:dyDescent="0.2">
      <c r="A45" s="1607" t="s">
        <v>1082</v>
      </c>
      <c r="B45" s="1607" t="s">
        <v>160</v>
      </c>
      <c r="C45" s="1607" t="s">
        <v>36</v>
      </c>
      <c r="D45" s="1607">
        <v>833</v>
      </c>
      <c r="E45" s="1607">
        <v>113</v>
      </c>
      <c r="F45" s="1607">
        <v>608</v>
      </c>
      <c r="G45" s="1607">
        <v>112</v>
      </c>
    </row>
    <row r="46" spans="1:7" x14ac:dyDescent="0.2">
      <c r="A46" s="1607" t="s">
        <v>1082</v>
      </c>
      <c r="B46" s="1607" t="s">
        <v>160</v>
      </c>
      <c r="C46" s="1607" t="s">
        <v>37</v>
      </c>
      <c r="D46" s="1607">
        <v>122</v>
      </c>
      <c r="E46" s="1607">
        <v>15</v>
      </c>
      <c r="F46" s="1607">
        <v>96</v>
      </c>
      <c r="G46" s="1607">
        <v>11</v>
      </c>
    </row>
    <row r="47" spans="1:7" x14ac:dyDescent="0.2">
      <c r="A47" s="1607" t="s">
        <v>1082</v>
      </c>
      <c r="B47" s="1607" t="s">
        <v>160</v>
      </c>
      <c r="C47" s="1607" t="s">
        <v>38</v>
      </c>
      <c r="D47" s="1607">
        <v>111</v>
      </c>
      <c r="E47" s="1607">
        <v>21</v>
      </c>
      <c r="F47" s="1607">
        <v>78</v>
      </c>
      <c r="G47" s="1607">
        <v>12</v>
      </c>
    </row>
    <row r="48" spans="1:7" x14ac:dyDescent="0.2">
      <c r="A48" s="1607" t="s">
        <v>1082</v>
      </c>
      <c r="B48" s="1607" t="s">
        <v>160</v>
      </c>
      <c r="C48" s="1607" t="s">
        <v>39</v>
      </c>
      <c r="D48" s="1607">
        <v>60</v>
      </c>
      <c r="E48" s="1607">
        <v>9</v>
      </c>
      <c r="F48" s="1607">
        <v>42</v>
      </c>
      <c r="G48" s="1607">
        <v>9</v>
      </c>
    </row>
    <row r="49" spans="1:7" x14ac:dyDescent="0.2">
      <c r="A49" s="1607" t="s">
        <v>1082</v>
      </c>
      <c r="B49" s="1607" t="s">
        <v>160</v>
      </c>
      <c r="C49" s="1607" t="s">
        <v>40</v>
      </c>
      <c r="D49" s="1607">
        <v>47</v>
      </c>
      <c r="E49" s="1607">
        <v>3</v>
      </c>
      <c r="F49" s="1607">
        <v>39</v>
      </c>
      <c r="G49" s="1607">
        <v>5</v>
      </c>
    </row>
    <row r="50" spans="1:7" x14ac:dyDescent="0.2">
      <c r="A50" s="1607" t="s">
        <v>1082</v>
      </c>
      <c r="B50" s="1607" t="s">
        <v>160</v>
      </c>
      <c r="C50" s="1607" t="s">
        <v>393</v>
      </c>
      <c r="D50" s="1607">
        <v>20</v>
      </c>
      <c r="E50" s="1607">
        <v>5</v>
      </c>
      <c r="F50" s="1607">
        <v>14</v>
      </c>
      <c r="G50" s="1607">
        <v>1</v>
      </c>
    </row>
    <row r="51" spans="1:7" x14ac:dyDescent="0.2">
      <c r="A51" s="1607" t="s">
        <v>1082</v>
      </c>
      <c r="B51" s="1607" t="s">
        <v>160</v>
      </c>
      <c r="C51" s="1607" t="s">
        <v>41</v>
      </c>
      <c r="D51" s="1607">
        <v>160</v>
      </c>
      <c r="E51" s="1607">
        <v>15</v>
      </c>
      <c r="F51" s="1607">
        <v>133</v>
      </c>
      <c r="G51" s="1607">
        <v>12</v>
      </c>
    </row>
    <row r="52" spans="1:7" x14ac:dyDescent="0.2">
      <c r="A52" s="1607" t="s">
        <v>1082</v>
      </c>
      <c r="B52" s="1607" t="s">
        <v>160</v>
      </c>
      <c r="C52" s="1607" t="s">
        <v>42</v>
      </c>
      <c r="D52" s="1607">
        <v>294</v>
      </c>
      <c r="E52" s="1607">
        <v>48</v>
      </c>
      <c r="F52" s="1607">
        <v>212</v>
      </c>
      <c r="G52" s="1607">
        <v>34</v>
      </c>
    </row>
    <row r="53" spans="1:7" x14ac:dyDescent="0.2">
      <c r="A53" s="1607" t="s">
        <v>1082</v>
      </c>
      <c r="B53" s="1607" t="s">
        <v>160</v>
      </c>
      <c r="C53" s="1607" t="s">
        <v>43</v>
      </c>
      <c r="D53" s="1607">
        <v>11</v>
      </c>
      <c r="E53" s="1607"/>
      <c r="F53" s="1607">
        <v>11</v>
      </c>
      <c r="G53" s="1607"/>
    </row>
    <row r="54" spans="1:7" x14ac:dyDescent="0.2">
      <c r="A54" s="1607" t="s">
        <v>1082</v>
      </c>
      <c r="B54" s="1607" t="s">
        <v>160</v>
      </c>
      <c r="C54" s="1607" t="s">
        <v>44</v>
      </c>
      <c r="D54" s="1607">
        <v>120</v>
      </c>
      <c r="E54" s="1607">
        <v>14</v>
      </c>
      <c r="F54" s="1607">
        <v>98</v>
      </c>
      <c r="G54" s="1607">
        <v>8</v>
      </c>
    </row>
    <row r="55" spans="1:7" x14ac:dyDescent="0.2">
      <c r="A55" s="1607" t="s">
        <v>1082</v>
      </c>
      <c r="B55" s="1607" t="s">
        <v>160</v>
      </c>
      <c r="C55" s="1607" t="s">
        <v>45</v>
      </c>
      <c r="D55" s="1607">
        <v>207</v>
      </c>
      <c r="E55" s="1607">
        <v>34</v>
      </c>
      <c r="F55" s="1607">
        <v>154</v>
      </c>
      <c r="G55" s="1607">
        <v>19</v>
      </c>
    </row>
    <row r="56" spans="1:7" x14ac:dyDescent="0.2">
      <c r="A56" s="1607" t="s">
        <v>1082</v>
      </c>
      <c r="B56" s="1607" t="s">
        <v>160</v>
      </c>
      <c r="C56" s="1607" t="s">
        <v>46</v>
      </c>
      <c r="D56" s="1607">
        <v>104</v>
      </c>
      <c r="E56" s="1607">
        <v>14</v>
      </c>
      <c r="F56" s="1607">
        <v>84</v>
      </c>
      <c r="G56" s="1607">
        <v>6</v>
      </c>
    </row>
    <row r="57" spans="1:7" x14ac:dyDescent="0.2">
      <c r="A57" s="1607" t="s">
        <v>1082</v>
      </c>
      <c r="B57" s="1607" t="s">
        <v>160</v>
      </c>
      <c r="C57" s="1607" t="s">
        <v>47</v>
      </c>
      <c r="D57" s="1607">
        <v>17</v>
      </c>
      <c r="E57" s="1607">
        <v>2</v>
      </c>
      <c r="F57" s="1607">
        <v>15</v>
      </c>
      <c r="G57" s="1607"/>
    </row>
    <row r="58" spans="1:7" x14ac:dyDescent="0.2">
      <c r="A58" s="1607" t="s">
        <v>1082</v>
      </c>
      <c r="B58" s="1607" t="s">
        <v>160</v>
      </c>
      <c r="C58" s="1607" t="s">
        <v>48</v>
      </c>
      <c r="D58" s="1607">
        <v>89</v>
      </c>
      <c r="E58" s="1607">
        <v>18</v>
      </c>
      <c r="F58" s="1607">
        <v>61</v>
      </c>
      <c r="G58" s="1607">
        <v>10</v>
      </c>
    </row>
    <row r="59" spans="1:7" x14ac:dyDescent="0.2">
      <c r="A59" s="1607" t="s">
        <v>1082</v>
      </c>
      <c r="B59" s="1607" t="s">
        <v>160</v>
      </c>
      <c r="C59" s="1607" t="s">
        <v>49</v>
      </c>
      <c r="D59" s="1607">
        <v>259</v>
      </c>
      <c r="E59" s="1607">
        <v>44</v>
      </c>
      <c r="F59" s="1607">
        <v>170</v>
      </c>
      <c r="G59" s="1607">
        <v>45</v>
      </c>
    </row>
    <row r="60" spans="1:7" x14ac:dyDescent="0.2">
      <c r="A60" s="1607" t="s">
        <v>1082</v>
      </c>
      <c r="B60" s="1607" t="s">
        <v>160</v>
      </c>
      <c r="C60" s="1607" t="s">
        <v>50</v>
      </c>
      <c r="D60" s="1607">
        <v>107</v>
      </c>
      <c r="E60" s="1607">
        <v>7</v>
      </c>
      <c r="F60" s="1607">
        <v>89</v>
      </c>
      <c r="G60" s="1607">
        <v>11</v>
      </c>
    </row>
    <row r="61" spans="1:7" x14ac:dyDescent="0.2">
      <c r="A61" s="1607" t="s">
        <v>1082</v>
      </c>
      <c r="B61" s="1607" t="s">
        <v>160</v>
      </c>
      <c r="C61" s="1607" t="s">
        <v>51</v>
      </c>
      <c r="D61" s="1607">
        <v>144</v>
      </c>
      <c r="E61" s="1607">
        <v>27</v>
      </c>
      <c r="F61" s="1607">
        <v>106</v>
      </c>
      <c r="G61" s="1607">
        <v>11</v>
      </c>
    </row>
    <row r="62" spans="1:7" x14ac:dyDescent="0.2">
      <c r="A62" s="1607" t="s">
        <v>1082</v>
      </c>
      <c r="B62" s="1607" t="s">
        <v>160</v>
      </c>
      <c r="C62" s="1607" t="s">
        <v>52</v>
      </c>
      <c r="D62" s="1607">
        <v>131</v>
      </c>
      <c r="E62" s="1607">
        <v>14</v>
      </c>
      <c r="F62" s="1607">
        <v>91</v>
      </c>
      <c r="G62" s="1607">
        <v>26</v>
      </c>
    </row>
    <row r="63" spans="1:7" x14ac:dyDescent="0.2">
      <c r="A63" s="1607" t="s">
        <v>1082</v>
      </c>
      <c r="B63" s="1607" t="s">
        <v>379</v>
      </c>
      <c r="C63" s="1607" t="s">
        <v>23</v>
      </c>
      <c r="D63" s="1607">
        <v>300</v>
      </c>
      <c r="E63" s="1607">
        <v>52</v>
      </c>
      <c r="F63" s="1607">
        <v>206</v>
      </c>
      <c r="G63" s="1607">
        <v>42</v>
      </c>
    </row>
    <row r="64" spans="1:7" x14ac:dyDescent="0.2">
      <c r="A64" s="1607" t="s">
        <v>1082</v>
      </c>
      <c r="B64" s="1607" t="s">
        <v>379</v>
      </c>
      <c r="C64" s="1607" t="s">
        <v>24</v>
      </c>
      <c r="D64" s="1607">
        <v>170</v>
      </c>
      <c r="E64" s="1607">
        <v>20</v>
      </c>
      <c r="F64" s="1607">
        <v>143</v>
      </c>
      <c r="G64" s="1607">
        <v>7</v>
      </c>
    </row>
    <row r="65" spans="1:7" x14ac:dyDescent="0.2">
      <c r="A65" s="1607" t="s">
        <v>1082</v>
      </c>
      <c r="B65" s="1607" t="s">
        <v>379</v>
      </c>
      <c r="C65" s="1607" t="s">
        <v>25</v>
      </c>
      <c r="D65" s="1607">
        <v>93</v>
      </c>
      <c r="E65" s="1607">
        <v>16</v>
      </c>
      <c r="F65" s="1607">
        <v>65</v>
      </c>
      <c r="G65" s="1607">
        <v>12</v>
      </c>
    </row>
    <row r="66" spans="1:7" x14ac:dyDescent="0.2">
      <c r="A66" s="1607" t="s">
        <v>1082</v>
      </c>
      <c r="B66" s="1607" t="s">
        <v>379</v>
      </c>
      <c r="C66" s="1607" t="s">
        <v>26</v>
      </c>
      <c r="D66" s="1607">
        <v>77</v>
      </c>
      <c r="E66" s="1607">
        <v>7</v>
      </c>
      <c r="F66" s="1607">
        <v>65</v>
      </c>
      <c r="G66" s="1607">
        <v>5</v>
      </c>
    </row>
    <row r="67" spans="1:7" x14ac:dyDescent="0.2">
      <c r="A67" s="1607" t="s">
        <v>1082</v>
      </c>
      <c r="B67" s="1607" t="s">
        <v>379</v>
      </c>
      <c r="C67" s="1607" t="s">
        <v>27</v>
      </c>
      <c r="D67" s="1607">
        <v>67</v>
      </c>
      <c r="E67" s="1607">
        <v>9</v>
      </c>
      <c r="F67" s="1607">
        <v>52</v>
      </c>
      <c r="G67" s="1607">
        <v>6</v>
      </c>
    </row>
    <row r="68" spans="1:7" x14ac:dyDescent="0.2">
      <c r="A68" s="1607" t="s">
        <v>1082</v>
      </c>
      <c r="B68" s="1607" t="s">
        <v>379</v>
      </c>
      <c r="C68" s="1607" t="s">
        <v>28</v>
      </c>
      <c r="D68" s="1607">
        <v>105</v>
      </c>
      <c r="E68" s="1607">
        <v>6</v>
      </c>
      <c r="F68" s="1607">
        <v>94</v>
      </c>
      <c r="G68" s="1607">
        <v>5</v>
      </c>
    </row>
    <row r="69" spans="1:7" x14ac:dyDescent="0.2">
      <c r="A69" s="1607" t="s">
        <v>1082</v>
      </c>
      <c r="B69" s="1607" t="s">
        <v>379</v>
      </c>
      <c r="C69" s="1607" t="s">
        <v>29</v>
      </c>
      <c r="D69" s="1607">
        <v>225</v>
      </c>
      <c r="E69" s="1607">
        <v>37</v>
      </c>
      <c r="F69" s="1607">
        <v>144</v>
      </c>
      <c r="G69" s="1607">
        <v>44</v>
      </c>
    </row>
    <row r="70" spans="1:7" x14ac:dyDescent="0.2">
      <c r="A70" s="1607" t="s">
        <v>1082</v>
      </c>
      <c r="B70" s="1607" t="s">
        <v>379</v>
      </c>
      <c r="C70" s="1607" t="s">
        <v>30</v>
      </c>
      <c r="D70" s="1607">
        <v>138</v>
      </c>
      <c r="E70" s="1607">
        <v>18</v>
      </c>
      <c r="F70" s="1607">
        <v>112</v>
      </c>
      <c r="G70" s="1607">
        <v>8</v>
      </c>
    </row>
    <row r="71" spans="1:7" x14ac:dyDescent="0.2">
      <c r="A71" s="1607" t="s">
        <v>1082</v>
      </c>
      <c r="B71" s="1607" t="s">
        <v>379</v>
      </c>
      <c r="C71" s="1607" t="s">
        <v>31</v>
      </c>
      <c r="D71" s="1607">
        <v>75</v>
      </c>
      <c r="E71" s="1607">
        <v>6</v>
      </c>
      <c r="F71" s="1607">
        <v>57</v>
      </c>
      <c r="G71" s="1607">
        <v>12</v>
      </c>
    </row>
    <row r="72" spans="1:7" x14ac:dyDescent="0.2">
      <c r="A72" s="1607" t="s">
        <v>1082</v>
      </c>
      <c r="B72" s="1607" t="s">
        <v>379</v>
      </c>
      <c r="C72" s="1607" t="s">
        <v>32</v>
      </c>
      <c r="D72" s="1607">
        <v>52</v>
      </c>
      <c r="E72" s="1607">
        <v>1</v>
      </c>
      <c r="F72" s="1607">
        <v>46</v>
      </c>
      <c r="G72" s="1607">
        <v>5</v>
      </c>
    </row>
    <row r="73" spans="1:7" x14ac:dyDescent="0.2">
      <c r="A73" s="1607" t="s">
        <v>1082</v>
      </c>
      <c r="B73" s="1607" t="s">
        <v>379</v>
      </c>
      <c r="C73" s="1607" t="s">
        <v>33</v>
      </c>
      <c r="D73" s="1607">
        <v>57</v>
      </c>
      <c r="E73" s="1607">
        <v>6</v>
      </c>
      <c r="F73" s="1607">
        <v>49</v>
      </c>
      <c r="G73" s="1607">
        <v>2</v>
      </c>
    </row>
    <row r="74" spans="1:7" x14ac:dyDescent="0.2">
      <c r="A74" s="1607" t="s">
        <v>1082</v>
      </c>
      <c r="B74" s="1607" t="s">
        <v>379</v>
      </c>
      <c r="C74" s="1607" t="s">
        <v>665</v>
      </c>
      <c r="D74" s="1607">
        <v>492</v>
      </c>
      <c r="E74" s="1607">
        <v>55</v>
      </c>
      <c r="F74" s="1607">
        <v>333</v>
      </c>
      <c r="G74" s="1607">
        <v>104</v>
      </c>
    </row>
    <row r="75" spans="1:7" x14ac:dyDescent="0.2">
      <c r="A75" s="1607" t="s">
        <v>1082</v>
      </c>
      <c r="B75" s="1607" t="s">
        <v>379</v>
      </c>
      <c r="C75" s="1607" t="s">
        <v>34</v>
      </c>
      <c r="D75" s="1607">
        <v>107</v>
      </c>
      <c r="E75" s="1607">
        <v>19</v>
      </c>
      <c r="F75" s="1607">
        <v>79</v>
      </c>
      <c r="G75" s="1607">
        <v>9</v>
      </c>
    </row>
    <row r="76" spans="1:7" x14ac:dyDescent="0.2">
      <c r="A76" s="1607" t="s">
        <v>1082</v>
      </c>
      <c r="B76" s="1607" t="s">
        <v>379</v>
      </c>
      <c r="C76" s="1607" t="s">
        <v>35</v>
      </c>
      <c r="D76" s="1607">
        <v>246</v>
      </c>
      <c r="E76" s="1607">
        <v>33</v>
      </c>
      <c r="F76" s="1607">
        <v>187</v>
      </c>
      <c r="G76" s="1607">
        <v>26</v>
      </c>
    </row>
    <row r="77" spans="1:7" x14ac:dyDescent="0.2">
      <c r="A77" s="1607" t="s">
        <v>1082</v>
      </c>
      <c r="B77" s="1607" t="s">
        <v>379</v>
      </c>
      <c r="C77" s="1607" t="s">
        <v>36</v>
      </c>
      <c r="D77" s="1607">
        <v>811</v>
      </c>
      <c r="E77" s="1607">
        <v>123</v>
      </c>
      <c r="F77" s="1607">
        <v>592</v>
      </c>
      <c r="G77" s="1607">
        <v>96</v>
      </c>
    </row>
    <row r="78" spans="1:7" x14ac:dyDescent="0.2">
      <c r="A78" s="1607" t="s">
        <v>1082</v>
      </c>
      <c r="B78" s="1607" t="s">
        <v>379</v>
      </c>
      <c r="C78" s="1607" t="s">
        <v>37</v>
      </c>
      <c r="D78" s="1607">
        <v>152</v>
      </c>
      <c r="E78" s="1607">
        <v>24</v>
      </c>
      <c r="F78" s="1607">
        <v>111</v>
      </c>
      <c r="G78" s="1607">
        <v>17</v>
      </c>
    </row>
    <row r="79" spans="1:7" x14ac:dyDescent="0.2">
      <c r="A79" s="1607" t="s">
        <v>1082</v>
      </c>
      <c r="B79" s="1607" t="s">
        <v>379</v>
      </c>
      <c r="C79" s="1607" t="s">
        <v>38</v>
      </c>
      <c r="D79" s="1607">
        <v>119</v>
      </c>
      <c r="E79" s="1607">
        <v>22</v>
      </c>
      <c r="F79" s="1607">
        <v>86</v>
      </c>
      <c r="G79" s="1607">
        <v>11</v>
      </c>
    </row>
    <row r="80" spans="1:7" x14ac:dyDescent="0.2">
      <c r="A80" s="1607" t="s">
        <v>1082</v>
      </c>
      <c r="B80" s="1607" t="s">
        <v>379</v>
      </c>
      <c r="C80" s="1607" t="s">
        <v>39</v>
      </c>
      <c r="D80" s="1607">
        <v>75</v>
      </c>
      <c r="E80" s="1607">
        <v>5</v>
      </c>
      <c r="F80" s="1607">
        <v>60</v>
      </c>
      <c r="G80" s="1607">
        <v>10</v>
      </c>
    </row>
    <row r="81" spans="1:7" x14ac:dyDescent="0.2">
      <c r="A81" s="1607" t="s">
        <v>1082</v>
      </c>
      <c r="B81" s="1607" t="s">
        <v>379</v>
      </c>
      <c r="C81" s="1607" t="s">
        <v>40</v>
      </c>
      <c r="D81" s="1607">
        <v>51</v>
      </c>
      <c r="E81" s="1607">
        <v>4</v>
      </c>
      <c r="F81" s="1607">
        <v>39</v>
      </c>
      <c r="G81" s="1607">
        <v>8</v>
      </c>
    </row>
    <row r="82" spans="1:7" x14ac:dyDescent="0.2">
      <c r="A82" s="1607" t="s">
        <v>1082</v>
      </c>
      <c r="B82" s="1607" t="s">
        <v>379</v>
      </c>
      <c r="C82" s="1607" t="s">
        <v>393</v>
      </c>
      <c r="D82" s="1607">
        <v>23</v>
      </c>
      <c r="E82" s="1607">
        <v>2</v>
      </c>
      <c r="F82" s="1607">
        <v>18</v>
      </c>
      <c r="G82" s="1607">
        <v>3</v>
      </c>
    </row>
    <row r="83" spans="1:7" x14ac:dyDescent="0.2">
      <c r="A83" s="1607" t="s">
        <v>1082</v>
      </c>
      <c r="B83" s="1607" t="s">
        <v>379</v>
      </c>
      <c r="C83" s="1607" t="s">
        <v>41</v>
      </c>
      <c r="D83" s="1607">
        <v>156</v>
      </c>
      <c r="E83" s="1607">
        <v>18</v>
      </c>
      <c r="F83" s="1607">
        <v>125</v>
      </c>
      <c r="G83" s="1607">
        <v>13</v>
      </c>
    </row>
    <row r="84" spans="1:7" x14ac:dyDescent="0.2">
      <c r="A84" s="1607" t="s">
        <v>1082</v>
      </c>
      <c r="B84" s="1607" t="s">
        <v>379</v>
      </c>
      <c r="C84" s="1607" t="s">
        <v>42</v>
      </c>
      <c r="D84" s="1607">
        <v>290</v>
      </c>
      <c r="E84" s="1607">
        <v>56</v>
      </c>
      <c r="F84" s="1607">
        <v>193</v>
      </c>
      <c r="G84" s="1607">
        <v>41</v>
      </c>
    </row>
    <row r="85" spans="1:7" x14ac:dyDescent="0.2">
      <c r="A85" s="1607" t="s">
        <v>1082</v>
      </c>
      <c r="B85" s="1607" t="s">
        <v>379</v>
      </c>
      <c r="C85" s="1607" t="s">
        <v>43</v>
      </c>
      <c r="D85" s="1607">
        <v>7</v>
      </c>
      <c r="E85" s="1607">
        <v>1</v>
      </c>
      <c r="F85" s="1607">
        <v>5</v>
      </c>
      <c r="G85" s="1607">
        <v>1</v>
      </c>
    </row>
    <row r="86" spans="1:7" x14ac:dyDescent="0.2">
      <c r="A86" s="1607" t="s">
        <v>1082</v>
      </c>
      <c r="B86" s="1607" t="s">
        <v>379</v>
      </c>
      <c r="C86" s="1607" t="s">
        <v>44</v>
      </c>
      <c r="D86" s="1607">
        <v>137</v>
      </c>
      <c r="E86" s="1607">
        <v>17</v>
      </c>
      <c r="F86" s="1607">
        <v>115</v>
      </c>
      <c r="G86" s="1607">
        <v>5</v>
      </c>
    </row>
    <row r="87" spans="1:7" x14ac:dyDescent="0.2">
      <c r="A87" s="1607" t="s">
        <v>1082</v>
      </c>
      <c r="B87" s="1607" t="s">
        <v>379</v>
      </c>
      <c r="C87" s="1607" t="s">
        <v>45</v>
      </c>
      <c r="D87" s="1607">
        <v>178</v>
      </c>
      <c r="E87" s="1607">
        <v>39</v>
      </c>
      <c r="F87" s="1607">
        <v>126</v>
      </c>
      <c r="G87" s="1607">
        <v>13</v>
      </c>
    </row>
    <row r="88" spans="1:7" x14ac:dyDescent="0.2">
      <c r="A88" s="1607" t="s">
        <v>1082</v>
      </c>
      <c r="B88" s="1607" t="s">
        <v>379</v>
      </c>
      <c r="C88" s="1607" t="s">
        <v>46</v>
      </c>
      <c r="D88" s="1607">
        <v>87</v>
      </c>
      <c r="E88" s="1607">
        <v>12</v>
      </c>
      <c r="F88" s="1607">
        <v>65</v>
      </c>
      <c r="G88" s="1607">
        <v>10</v>
      </c>
    </row>
    <row r="89" spans="1:7" x14ac:dyDescent="0.2">
      <c r="A89" s="1607" t="s">
        <v>1082</v>
      </c>
      <c r="B89" s="1607" t="s">
        <v>379</v>
      </c>
      <c r="C89" s="1607" t="s">
        <v>47</v>
      </c>
      <c r="D89" s="1607">
        <v>7</v>
      </c>
      <c r="E89" s="1607">
        <v>1</v>
      </c>
      <c r="F89" s="1607">
        <v>6</v>
      </c>
      <c r="G89" s="1607"/>
    </row>
    <row r="90" spans="1:7" x14ac:dyDescent="0.2">
      <c r="A90" s="1607" t="s">
        <v>1082</v>
      </c>
      <c r="B90" s="1607" t="s">
        <v>379</v>
      </c>
      <c r="C90" s="1607" t="s">
        <v>48</v>
      </c>
      <c r="D90" s="1607">
        <v>82</v>
      </c>
      <c r="E90" s="1607">
        <v>12</v>
      </c>
      <c r="F90" s="1607">
        <v>60</v>
      </c>
      <c r="G90" s="1607">
        <v>10</v>
      </c>
    </row>
    <row r="91" spans="1:7" x14ac:dyDescent="0.2">
      <c r="A91" s="1607" t="s">
        <v>1082</v>
      </c>
      <c r="B91" s="1607" t="s">
        <v>379</v>
      </c>
      <c r="C91" s="1607" t="s">
        <v>49</v>
      </c>
      <c r="D91" s="1607">
        <v>222</v>
      </c>
      <c r="E91" s="1607">
        <v>29</v>
      </c>
      <c r="F91" s="1607">
        <v>159</v>
      </c>
      <c r="G91" s="1607">
        <v>34</v>
      </c>
    </row>
    <row r="92" spans="1:7" x14ac:dyDescent="0.2">
      <c r="A92" s="1607" t="s">
        <v>1082</v>
      </c>
      <c r="B92" s="1607" t="s">
        <v>379</v>
      </c>
      <c r="C92" s="1607" t="s">
        <v>50</v>
      </c>
      <c r="D92" s="1607">
        <v>75</v>
      </c>
      <c r="E92" s="1607">
        <v>12</v>
      </c>
      <c r="F92" s="1607">
        <v>56</v>
      </c>
      <c r="G92" s="1607">
        <v>7</v>
      </c>
    </row>
    <row r="93" spans="1:7" x14ac:dyDescent="0.2">
      <c r="A93" s="1607" t="s">
        <v>1082</v>
      </c>
      <c r="B93" s="1607" t="s">
        <v>379</v>
      </c>
      <c r="C93" s="1607" t="s">
        <v>51</v>
      </c>
      <c r="D93" s="1607">
        <v>130</v>
      </c>
      <c r="E93" s="1607">
        <v>36</v>
      </c>
      <c r="F93" s="1607">
        <v>82</v>
      </c>
      <c r="G93" s="1607">
        <v>12</v>
      </c>
    </row>
    <row r="94" spans="1:7" x14ac:dyDescent="0.2">
      <c r="A94" s="1607" t="s">
        <v>1082</v>
      </c>
      <c r="B94" s="1607" t="s">
        <v>379</v>
      </c>
      <c r="C94" s="1607" t="s">
        <v>52</v>
      </c>
      <c r="D94" s="1607">
        <v>124</v>
      </c>
      <c r="E94" s="1607">
        <v>6</v>
      </c>
      <c r="F94" s="1607">
        <v>97</v>
      </c>
      <c r="G94" s="1607">
        <v>21</v>
      </c>
    </row>
    <row r="95" spans="1:7" x14ac:dyDescent="0.2">
      <c r="A95" s="1607" t="s">
        <v>1082</v>
      </c>
      <c r="B95" s="1607" t="s">
        <v>603</v>
      </c>
      <c r="C95" s="1607" t="s">
        <v>23</v>
      </c>
      <c r="D95" s="1607">
        <v>240</v>
      </c>
      <c r="E95" s="1607">
        <v>41</v>
      </c>
      <c r="F95" s="1607">
        <v>166</v>
      </c>
      <c r="G95" s="1607">
        <v>33</v>
      </c>
    </row>
    <row r="96" spans="1:7" x14ac:dyDescent="0.2">
      <c r="A96" s="1607" t="s">
        <v>1082</v>
      </c>
      <c r="B96" s="1607" t="s">
        <v>603</v>
      </c>
      <c r="C96" s="1607" t="s">
        <v>24</v>
      </c>
      <c r="D96" s="1607">
        <v>163</v>
      </c>
      <c r="E96" s="1607">
        <v>15</v>
      </c>
      <c r="F96" s="1607">
        <v>139</v>
      </c>
      <c r="G96" s="1607">
        <v>9</v>
      </c>
    </row>
    <row r="97" spans="1:7" x14ac:dyDescent="0.2">
      <c r="A97" s="1607" t="s">
        <v>1082</v>
      </c>
      <c r="B97" s="1607" t="s">
        <v>603</v>
      </c>
      <c r="C97" s="1607" t="s">
        <v>25</v>
      </c>
      <c r="D97" s="1607">
        <v>78</v>
      </c>
      <c r="E97" s="1607">
        <v>14</v>
      </c>
      <c r="F97" s="1607">
        <v>51</v>
      </c>
      <c r="G97" s="1607">
        <v>13</v>
      </c>
    </row>
    <row r="98" spans="1:7" x14ac:dyDescent="0.2">
      <c r="A98" s="1607" t="s">
        <v>1082</v>
      </c>
      <c r="B98" s="1607" t="s">
        <v>603</v>
      </c>
      <c r="C98" s="1607" t="s">
        <v>26</v>
      </c>
      <c r="D98" s="1607">
        <v>76</v>
      </c>
      <c r="E98" s="1607">
        <v>4</v>
      </c>
      <c r="F98" s="1607">
        <v>67</v>
      </c>
      <c r="G98" s="1607">
        <v>5</v>
      </c>
    </row>
    <row r="99" spans="1:7" x14ac:dyDescent="0.2">
      <c r="A99" s="1607" t="s">
        <v>1082</v>
      </c>
      <c r="B99" s="1607" t="s">
        <v>603</v>
      </c>
      <c r="C99" s="1607" t="s">
        <v>27</v>
      </c>
      <c r="D99" s="1607">
        <v>47</v>
      </c>
      <c r="E99" s="1607">
        <v>17</v>
      </c>
      <c r="F99" s="1607">
        <v>22</v>
      </c>
      <c r="G99" s="1607">
        <v>8</v>
      </c>
    </row>
    <row r="100" spans="1:7" x14ac:dyDescent="0.2">
      <c r="A100" s="1607" t="s">
        <v>1082</v>
      </c>
      <c r="B100" s="1607" t="s">
        <v>603</v>
      </c>
      <c r="C100" s="1607" t="s">
        <v>28</v>
      </c>
      <c r="D100" s="1607">
        <v>91</v>
      </c>
      <c r="E100" s="1607">
        <v>8</v>
      </c>
      <c r="F100" s="1607">
        <v>81</v>
      </c>
      <c r="G100" s="1607">
        <v>2</v>
      </c>
    </row>
    <row r="101" spans="1:7" x14ac:dyDescent="0.2">
      <c r="A101" s="1607" t="s">
        <v>1082</v>
      </c>
      <c r="B101" s="1607" t="s">
        <v>603</v>
      </c>
      <c r="C101" s="1607" t="s">
        <v>29</v>
      </c>
      <c r="D101" s="1607">
        <v>196</v>
      </c>
      <c r="E101" s="1607">
        <v>41</v>
      </c>
      <c r="F101" s="1607">
        <v>121</v>
      </c>
      <c r="G101" s="1607">
        <v>34</v>
      </c>
    </row>
    <row r="102" spans="1:7" x14ac:dyDescent="0.2">
      <c r="A102" s="1607" t="s">
        <v>1082</v>
      </c>
      <c r="B102" s="1607" t="s">
        <v>603</v>
      </c>
      <c r="C102" s="1607" t="s">
        <v>30</v>
      </c>
      <c r="D102" s="1607">
        <v>76</v>
      </c>
      <c r="E102" s="1607">
        <v>12</v>
      </c>
      <c r="F102" s="1607">
        <v>56</v>
      </c>
      <c r="G102" s="1607">
        <v>8</v>
      </c>
    </row>
    <row r="103" spans="1:7" x14ac:dyDescent="0.2">
      <c r="A103" s="1607" t="s">
        <v>1082</v>
      </c>
      <c r="B103" s="1607" t="s">
        <v>603</v>
      </c>
      <c r="C103" s="1607" t="s">
        <v>31</v>
      </c>
      <c r="D103" s="1607">
        <v>65</v>
      </c>
      <c r="E103" s="1607">
        <v>3</v>
      </c>
      <c r="F103" s="1607">
        <v>58</v>
      </c>
      <c r="G103" s="1607">
        <v>4</v>
      </c>
    </row>
    <row r="104" spans="1:7" x14ac:dyDescent="0.2">
      <c r="A104" s="1607" t="s">
        <v>1082</v>
      </c>
      <c r="B104" s="1607" t="s">
        <v>603</v>
      </c>
      <c r="C104" s="1607" t="s">
        <v>32</v>
      </c>
      <c r="D104" s="1607">
        <v>69</v>
      </c>
      <c r="E104" s="1607">
        <v>4</v>
      </c>
      <c r="F104" s="1607">
        <v>58</v>
      </c>
      <c r="G104" s="1607">
        <v>7</v>
      </c>
    </row>
    <row r="105" spans="1:7" x14ac:dyDescent="0.2">
      <c r="A105" s="1607" t="s">
        <v>1082</v>
      </c>
      <c r="B105" s="1607" t="s">
        <v>603</v>
      </c>
      <c r="C105" s="1607" t="s">
        <v>33</v>
      </c>
      <c r="D105" s="1607">
        <v>79</v>
      </c>
      <c r="E105" s="1607">
        <v>7</v>
      </c>
      <c r="F105" s="1607">
        <v>65</v>
      </c>
      <c r="G105" s="1607">
        <v>7</v>
      </c>
    </row>
    <row r="106" spans="1:7" x14ac:dyDescent="0.2">
      <c r="A106" s="1607" t="s">
        <v>1082</v>
      </c>
      <c r="B106" s="1607" t="s">
        <v>603</v>
      </c>
      <c r="C106" s="1607" t="s">
        <v>665</v>
      </c>
      <c r="D106" s="1607">
        <v>460</v>
      </c>
      <c r="E106" s="1607">
        <v>65</v>
      </c>
      <c r="F106" s="1607">
        <v>307</v>
      </c>
      <c r="G106" s="1607">
        <v>88</v>
      </c>
    </row>
    <row r="107" spans="1:7" x14ac:dyDescent="0.2">
      <c r="A107" s="1607" t="s">
        <v>1082</v>
      </c>
      <c r="B107" s="1607" t="s">
        <v>603</v>
      </c>
      <c r="C107" s="1607" t="s">
        <v>34</v>
      </c>
      <c r="D107" s="1607">
        <v>106</v>
      </c>
      <c r="E107" s="1607">
        <v>13</v>
      </c>
      <c r="F107" s="1607">
        <v>75</v>
      </c>
      <c r="G107" s="1607">
        <v>18</v>
      </c>
    </row>
    <row r="108" spans="1:7" x14ac:dyDescent="0.2">
      <c r="A108" s="1607" t="s">
        <v>1082</v>
      </c>
      <c r="B108" s="1607" t="s">
        <v>603</v>
      </c>
      <c r="C108" s="1607" t="s">
        <v>35</v>
      </c>
      <c r="D108" s="1607">
        <v>286</v>
      </c>
      <c r="E108" s="1607">
        <v>41</v>
      </c>
      <c r="F108" s="1607">
        <v>205</v>
      </c>
      <c r="G108" s="1607">
        <v>40</v>
      </c>
    </row>
    <row r="109" spans="1:7" x14ac:dyDescent="0.2">
      <c r="A109" s="1607" t="s">
        <v>1082</v>
      </c>
      <c r="B109" s="1607" t="s">
        <v>603</v>
      </c>
      <c r="C109" s="1607" t="s">
        <v>36</v>
      </c>
      <c r="D109" s="1607">
        <v>847</v>
      </c>
      <c r="E109" s="1607">
        <v>149</v>
      </c>
      <c r="F109" s="1607">
        <v>573</v>
      </c>
      <c r="G109" s="1607">
        <v>125</v>
      </c>
    </row>
    <row r="110" spans="1:7" x14ac:dyDescent="0.2">
      <c r="A110" s="1607" t="s">
        <v>1082</v>
      </c>
      <c r="B110" s="1607" t="s">
        <v>603</v>
      </c>
      <c r="C110" s="1607" t="s">
        <v>37</v>
      </c>
      <c r="D110" s="1607">
        <v>146</v>
      </c>
      <c r="E110" s="1607">
        <v>12</v>
      </c>
      <c r="F110" s="1607">
        <v>116</v>
      </c>
      <c r="G110" s="1607">
        <v>18</v>
      </c>
    </row>
    <row r="111" spans="1:7" x14ac:dyDescent="0.2">
      <c r="A111" s="1607" t="s">
        <v>1082</v>
      </c>
      <c r="B111" s="1607" t="s">
        <v>603</v>
      </c>
      <c r="C111" s="1607" t="s">
        <v>38</v>
      </c>
      <c r="D111" s="1607">
        <v>84</v>
      </c>
      <c r="E111" s="1607">
        <v>12</v>
      </c>
      <c r="F111" s="1607">
        <v>64</v>
      </c>
      <c r="G111" s="1607">
        <v>8</v>
      </c>
    </row>
    <row r="112" spans="1:7" x14ac:dyDescent="0.2">
      <c r="A112" s="1607" t="s">
        <v>1082</v>
      </c>
      <c r="B112" s="1607" t="s">
        <v>603</v>
      </c>
      <c r="C112" s="1607" t="s">
        <v>39</v>
      </c>
      <c r="D112" s="1607">
        <v>60</v>
      </c>
      <c r="E112" s="1607">
        <v>4</v>
      </c>
      <c r="F112" s="1607">
        <v>50</v>
      </c>
      <c r="G112" s="1607">
        <v>6</v>
      </c>
    </row>
    <row r="113" spans="1:7" x14ac:dyDescent="0.2">
      <c r="A113" s="1607" t="s">
        <v>1082</v>
      </c>
      <c r="B113" s="1607" t="s">
        <v>603</v>
      </c>
      <c r="C113" s="1607" t="s">
        <v>40</v>
      </c>
      <c r="D113" s="1607">
        <v>35</v>
      </c>
      <c r="E113" s="1607">
        <v>6</v>
      </c>
      <c r="F113" s="1607">
        <v>27</v>
      </c>
      <c r="G113" s="1607">
        <v>2</v>
      </c>
    </row>
    <row r="114" spans="1:7" x14ac:dyDescent="0.2">
      <c r="A114" s="1607" t="s">
        <v>1082</v>
      </c>
      <c r="B114" s="1607" t="s">
        <v>603</v>
      </c>
      <c r="C114" s="1607" t="s">
        <v>393</v>
      </c>
      <c r="D114" s="1607">
        <v>16</v>
      </c>
      <c r="E114" s="1607">
        <v>1</v>
      </c>
      <c r="F114" s="1607">
        <v>15</v>
      </c>
      <c r="G114" s="1607"/>
    </row>
    <row r="115" spans="1:7" x14ac:dyDescent="0.2">
      <c r="A115" s="1607" t="s">
        <v>1082</v>
      </c>
      <c r="B115" s="1607" t="s">
        <v>603</v>
      </c>
      <c r="C115" s="1607" t="s">
        <v>41</v>
      </c>
      <c r="D115" s="1607">
        <v>147</v>
      </c>
      <c r="E115" s="1607">
        <v>25</v>
      </c>
      <c r="F115" s="1607">
        <v>105</v>
      </c>
      <c r="G115" s="1607">
        <v>17</v>
      </c>
    </row>
    <row r="116" spans="1:7" x14ac:dyDescent="0.2">
      <c r="A116" s="1607" t="s">
        <v>1082</v>
      </c>
      <c r="B116" s="1607" t="s">
        <v>603</v>
      </c>
      <c r="C116" s="1607" t="s">
        <v>42</v>
      </c>
      <c r="D116" s="1607">
        <v>262</v>
      </c>
      <c r="E116" s="1607">
        <v>50</v>
      </c>
      <c r="F116" s="1607">
        <v>167</v>
      </c>
      <c r="G116" s="1607">
        <v>45</v>
      </c>
    </row>
    <row r="117" spans="1:7" x14ac:dyDescent="0.2">
      <c r="A117" s="1607" t="s">
        <v>1082</v>
      </c>
      <c r="B117" s="1607" t="s">
        <v>603</v>
      </c>
      <c r="C117" s="1607" t="s">
        <v>43</v>
      </c>
      <c r="D117" s="1607">
        <v>7</v>
      </c>
      <c r="E117" s="1607">
        <v>1</v>
      </c>
      <c r="F117" s="1607">
        <v>5</v>
      </c>
      <c r="G117" s="1607">
        <v>1</v>
      </c>
    </row>
    <row r="118" spans="1:7" x14ac:dyDescent="0.2">
      <c r="A118" s="1607" t="s">
        <v>1082</v>
      </c>
      <c r="B118" s="1607" t="s">
        <v>603</v>
      </c>
      <c r="C118" s="1607" t="s">
        <v>44</v>
      </c>
      <c r="D118" s="1607">
        <v>113</v>
      </c>
      <c r="E118" s="1607">
        <v>11</v>
      </c>
      <c r="F118" s="1607">
        <v>98</v>
      </c>
      <c r="G118" s="1607">
        <v>4</v>
      </c>
    </row>
    <row r="119" spans="1:7" x14ac:dyDescent="0.2">
      <c r="A119" s="1607" t="s">
        <v>1082</v>
      </c>
      <c r="B119" s="1607" t="s">
        <v>603</v>
      </c>
      <c r="C119" s="1607" t="s">
        <v>45</v>
      </c>
      <c r="D119" s="1607">
        <v>191</v>
      </c>
      <c r="E119" s="1607">
        <v>37</v>
      </c>
      <c r="F119" s="1607">
        <v>136</v>
      </c>
      <c r="G119" s="1607">
        <v>18</v>
      </c>
    </row>
    <row r="120" spans="1:7" x14ac:dyDescent="0.2">
      <c r="A120" s="1607" t="s">
        <v>1082</v>
      </c>
      <c r="B120" s="1607" t="s">
        <v>603</v>
      </c>
      <c r="C120" s="1607" t="s">
        <v>46</v>
      </c>
      <c r="D120" s="1607">
        <v>92</v>
      </c>
      <c r="E120" s="1607">
        <v>10</v>
      </c>
      <c r="F120" s="1607">
        <v>78</v>
      </c>
      <c r="G120" s="1607">
        <v>4</v>
      </c>
    </row>
    <row r="121" spans="1:7" x14ac:dyDescent="0.2">
      <c r="A121" s="1607" t="s">
        <v>1082</v>
      </c>
      <c r="B121" s="1607" t="s">
        <v>603</v>
      </c>
      <c r="C121" s="1607" t="s">
        <v>47</v>
      </c>
      <c r="D121" s="1607">
        <v>12</v>
      </c>
      <c r="E121" s="1607"/>
      <c r="F121" s="1607">
        <v>12</v>
      </c>
      <c r="G121" s="1607"/>
    </row>
    <row r="122" spans="1:7" x14ac:dyDescent="0.2">
      <c r="A122" s="1607" t="s">
        <v>1082</v>
      </c>
      <c r="B122" s="1607" t="s">
        <v>603</v>
      </c>
      <c r="C122" s="1607" t="s">
        <v>48</v>
      </c>
      <c r="D122" s="1607">
        <v>95</v>
      </c>
      <c r="E122" s="1607">
        <v>11</v>
      </c>
      <c r="F122" s="1607">
        <v>71</v>
      </c>
      <c r="G122" s="1607">
        <v>13</v>
      </c>
    </row>
    <row r="123" spans="1:7" x14ac:dyDescent="0.2">
      <c r="A123" s="1607" t="s">
        <v>1082</v>
      </c>
      <c r="B123" s="1607" t="s">
        <v>603</v>
      </c>
      <c r="C123" s="1607" t="s">
        <v>49</v>
      </c>
      <c r="D123" s="1607">
        <v>244</v>
      </c>
      <c r="E123" s="1607">
        <v>43</v>
      </c>
      <c r="F123" s="1607">
        <v>163</v>
      </c>
      <c r="G123" s="1607">
        <v>38</v>
      </c>
    </row>
    <row r="124" spans="1:7" x14ac:dyDescent="0.2">
      <c r="A124" s="1607" t="s">
        <v>1082</v>
      </c>
      <c r="B124" s="1607" t="s">
        <v>603</v>
      </c>
      <c r="C124" s="1607" t="s">
        <v>50</v>
      </c>
      <c r="D124" s="1607">
        <v>79</v>
      </c>
      <c r="E124" s="1607">
        <v>8</v>
      </c>
      <c r="F124" s="1607">
        <v>65</v>
      </c>
      <c r="G124" s="1607">
        <v>6</v>
      </c>
    </row>
    <row r="125" spans="1:7" x14ac:dyDescent="0.2">
      <c r="A125" s="1607" t="s">
        <v>1082</v>
      </c>
      <c r="B125" s="1607" t="s">
        <v>603</v>
      </c>
      <c r="C125" s="1607" t="s">
        <v>51</v>
      </c>
      <c r="D125" s="1607">
        <v>141</v>
      </c>
      <c r="E125" s="1607">
        <v>32</v>
      </c>
      <c r="F125" s="1607">
        <v>98</v>
      </c>
      <c r="G125" s="1607">
        <v>11</v>
      </c>
    </row>
    <row r="126" spans="1:7" x14ac:dyDescent="0.2">
      <c r="A126" s="1607" t="s">
        <v>1082</v>
      </c>
      <c r="B126" s="1607" t="s">
        <v>603</v>
      </c>
      <c r="C126" s="1607" t="s">
        <v>52</v>
      </c>
      <c r="D126" s="1607">
        <v>149</v>
      </c>
      <c r="E126" s="1607">
        <v>16</v>
      </c>
      <c r="F126" s="1607">
        <v>111</v>
      </c>
      <c r="G126" s="1607">
        <v>22</v>
      </c>
    </row>
  </sheetData>
  <pageMargins left="0.7" right="0.7" top="0.75" bottom="0.75" header="0.3" footer="0.3"/>
  <pageSetup paperSize="9" fitToHeight="50" orientation="landscape" r:id="rId1"/>
  <legacy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fitToPage="1"/>
  </sheetPr>
  <dimension ref="A1:H1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3.85546875" bestFit="1" customWidth="1"/>
    <col min="2" max="2" width="7.85546875" bestFit="1" customWidth="1"/>
    <col min="3" max="3" width="18.85546875" bestFit="1" customWidth="1"/>
    <col min="4" max="4" width="29" bestFit="1" customWidth="1"/>
    <col min="5" max="5" width="19.7109375" bestFit="1" customWidth="1"/>
    <col min="6" max="6" width="19.140625" bestFit="1" customWidth="1"/>
    <col min="7" max="7" width="13.85546875" bestFit="1" customWidth="1"/>
    <col min="8" max="8" width="29.85546875" bestFit="1" customWidth="1"/>
  </cols>
  <sheetData>
    <row r="1" spans="1:8" x14ac:dyDescent="0.2"/>
    <row r="4" spans="1:8" x14ac:dyDescent="0.2">
      <c r="A4" s="1606" t="s">
        <v>1308</v>
      </c>
      <c r="B4" s="1606" t="s">
        <v>4</v>
      </c>
      <c r="C4" s="1606" t="s">
        <v>1309</v>
      </c>
      <c r="D4" s="1606" t="s">
        <v>1310</v>
      </c>
      <c r="E4" s="1606" t="s">
        <v>1311</v>
      </c>
      <c r="F4" s="1606" t="s">
        <v>1312</v>
      </c>
      <c r="G4" s="1606" t="s">
        <v>1313</v>
      </c>
      <c r="H4" s="1606" t="s">
        <v>1314</v>
      </c>
    </row>
    <row r="5" spans="1:8" x14ac:dyDescent="0.2">
      <c r="A5" s="1607" t="s">
        <v>1189</v>
      </c>
      <c r="B5" s="1607" t="s">
        <v>160</v>
      </c>
      <c r="C5" s="1607">
        <v>1550</v>
      </c>
      <c r="D5" s="1607">
        <v>981</v>
      </c>
      <c r="E5" s="1607">
        <v>381</v>
      </c>
      <c r="F5" s="1607">
        <v>68</v>
      </c>
      <c r="G5" s="1607">
        <v>65</v>
      </c>
      <c r="H5" s="1607">
        <v>2632</v>
      </c>
    </row>
    <row r="6" spans="1:8" x14ac:dyDescent="0.2">
      <c r="A6" s="1607" t="s">
        <v>1189</v>
      </c>
      <c r="B6" s="1607" t="s">
        <v>379</v>
      </c>
      <c r="C6" s="1607">
        <v>1533</v>
      </c>
      <c r="D6" s="1607">
        <v>871</v>
      </c>
      <c r="E6" s="1607">
        <v>395</v>
      </c>
      <c r="F6" s="1607">
        <v>80</v>
      </c>
      <c r="G6" s="1607">
        <v>39</v>
      </c>
      <c r="H6" s="1607">
        <v>2630</v>
      </c>
    </row>
    <row r="7" spans="1:8" x14ac:dyDescent="0.2">
      <c r="A7" s="1607" t="s">
        <v>1189</v>
      </c>
      <c r="B7" s="1607" t="s">
        <v>603</v>
      </c>
      <c r="C7" s="1607">
        <v>1459</v>
      </c>
      <c r="D7" s="1607">
        <v>847</v>
      </c>
      <c r="E7" s="1607">
        <v>417</v>
      </c>
      <c r="F7" s="1607">
        <v>63</v>
      </c>
      <c r="G7" s="1607">
        <v>41</v>
      </c>
      <c r="H7" s="1607">
        <v>2483</v>
      </c>
    </row>
    <row r="8" spans="1:8" x14ac:dyDescent="0.2">
      <c r="A8" s="1607" t="s">
        <v>6</v>
      </c>
      <c r="B8" s="1607" t="s">
        <v>160</v>
      </c>
      <c r="C8" s="1607">
        <v>696</v>
      </c>
      <c r="D8" s="1607">
        <v>448</v>
      </c>
      <c r="E8" s="1607">
        <v>160</v>
      </c>
      <c r="F8" s="1607">
        <v>262</v>
      </c>
      <c r="G8" s="1607">
        <v>19</v>
      </c>
      <c r="H8" s="1607">
        <v>912</v>
      </c>
    </row>
    <row r="9" spans="1:8" x14ac:dyDescent="0.2">
      <c r="A9" s="1607" t="s">
        <v>6</v>
      </c>
      <c r="B9" s="1607" t="s">
        <v>379</v>
      </c>
      <c r="C9" s="1607">
        <v>651</v>
      </c>
      <c r="D9" s="1607">
        <v>389</v>
      </c>
      <c r="E9" s="1607">
        <v>138</v>
      </c>
      <c r="F9" s="1607">
        <v>272</v>
      </c>
      <c r="G9" s="1607">
        <v>21</v>
      </c>
      <c r="H9" s="1607">
        <v>808</v>
      </c>
    </row>
    <row r="10" spans="1:8" x14ac:dyDescent="0.2">
      <c r="A10" s="1607" t="s">
        <v>6</v>
      </c>
      <c r="B10" s="1607" t="s">
        <v>603</v>
      </c>
      <c r="C10" s="1607">
        <v>652</v>
      </c>
      <c r="D10" s="1607">
        <v>421</v>
      </c>
      <c r="E10" s="1607">
        <v>149</v>
      </c>
      <c r="F10" s="1607">
        <v>301</v>
      </c>
      <c r="G10" s="1607">
        <v>18</v>
      </c>
      <c r="H10" s="1607">
        <v>740</v>
      </c>
    </row>
  </sheetData>
  <pageMargins left="0.7" right="0.7" top="0.75" bottom="0.75" header="0.3" footer="0.3"/>
  <pageSetup paperSize="9" fitToHeight="50" orientation="landscape" r:id="rId1"/>
  <legacy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fitToPage="1"/>
  </sheetPr>
  <dimension ref="A1:K207"/>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7.5703125" bestFit="1" customWidth="1"/>
    <col min="2" max="2" width="7.85546875" bestFit="1" customWidth="1"/>
    <col min="3" max="3" width="20.42578125" bestFit="1" customWidth="1"/>
    <col min="4" max="4" width="5.140625" customWidth="1"/>
    <col min="5" max="5" width="5.140625" bestFit="1" customWidth="1"/>
    <col min="6" max="6" width="4.140625" customWidth="1"/>
    <col min="7" max="9" width="5.85546875" bestFit="1" customWidth="1"/>
    <col min="10" max="10" width="4.140625" customWidth="1"/>
    <col min="11" max="11" width="8.85546875" customWidth="1"/>
  </cols>
  <sheetData>
    <row r="1" spans="1:11" x14ac:dyDescent="0.2"/>
    <row r="4" spans="1:11" x14ac:dyDescent="0.2">
      <c r="A4" s="1606" t="s">
        <v>1190</v>
      </c>
      <c r="B4" s="1606" t="s">
        <v>4</v>
      </c>
      <c r="C4" s="1606" t="s">
        <v>11</v>
      </c>
      <c r="D4" s="1609" t="s">
        <v>1315</v>
      </c>
      <c r="E4" s="1609" t="s">
        <v>1316</v>
      </c>
      <c r="F4" s="1609" t="s">
        <v>1317</v>
      </c>
      <c r="G4" s="1609" t="s">
        <v>1318</v>
      </c>
      <c r="H4" s="1609" t="s">
        <v>1319</v>
      </c>
      <c r="I4" s="1609" t="s">
        <v>1320</v>
      </c>
      <c r="J4" s="1609" t="s">
        <v>190</v>
      </c>
    </row>
    <row r="5" spans="1:11" x14ac:dyDescent="0.2">
      <c r="A5" s="1607" t="s">
        <v>873</v>
      </c>
      <c r="B5" s="1607" t="s">
        <v>160</v>
      </c>
      <c r="C5" s="1607">
        <v>10908</v>
      </c>
      <c r="D5" s="1607">
        <v>3353</v>
      </c>
      <c r="E5" s="1607">
        <v>4897</v>
      </c>
      <c r="F5" s="1607">
        <v>2354</v>
      </c>
      <c r="G5" s="1607">
        <v>111</v>
      </c>
      <c r="H5" s="1607">
        <v>21</v>
      </c>
      <c r="I5" s="1607">
        <v>17</v>
      </c>
      <c r="J5" s="1607">
        <v>155</v>
      </c>
    </row>
    <row r="6" spans="1:11" x14ac:dyDescent="0.2">
      <c r="A6" s="1607" t="s">
        <v>873</v>
      </c>
      <c r="B6" s="1607" t="s">
        <v>379</v>
      </c>
      <c r="C6" s="1607">
        <v>10804</v>
      </c>
      <c r="D6" s="1607">
        <v>3569</v>
      </c>
      <c r="E6" s="1607">
        <v>4819</v>
      </c>
      <c r="F6" s="1607">
        <v>2257</v>
      </c>
      <c r="G6" s="1607">
        <v>125</v>
      </c>
      <c r="H6" s="1607">
        <v>16</v>
      </c>
      <c r="I6" s="1607">
        <v>17</v>
      </c>
      <c r="J6" s="1607">
        <v>1</v>
      </c>
    </row>
    <row r="7" spans="1:11" x14ac:dyDescent="0.2">
      <c r="A7" s="1607" t="s">
        <v>873</v>
      </c>
      <c r="B7" s="1607" t="s">
        <v>603</v>
      </c>
      <c r="C7" s="1607">
        <v>10563</v>
      </c>
      <c r="D7" s="1607">
        <v>3572</v>
      </c>
      <c r="E7" s="1607">
        <v>4607</v>
      </c>
      <c r="F7" s="1607">
        <v>2213</v>
      </c>
      <c r="G7" s="1607">
        <v>124</v>
      </c>
      <c r="H7" s="1607">
        <v>27</v>
      </c>
      <c r="I7" s="1607">
        <v>19</v>
      </c>
      <c r="J7" s="1607">
        <v>1</v>
      </c>
    </row>
    <row r="8" spans="1:11" x14ac:dyDescent="0.2">
      <c r="A8" s="1607" t="s">
        <v>872</v>
      </c>
      <c r="B8" s="1607" t="s">
        <v>160</v>
      </c>
      <c r="C8" s="1607">
        <v>14704</v>
      </c>
      <c r="D8" s="1607">
        <v>12744</v>
      </c>
      <c r="E8" s="1607">
        <v>1522</v>
      </c>
      <c r="F8" s="1607">
        <v>276</v>
      </c>
      <c r="G8" s="1607">
        <v>3</v>
      </c>
      <c r="H8" s="1607"/>
      <c r="I8" s="1607"/>
      <c r="J8" s="1607">
        <v>159</v>
      </c>
    </row>
    <row r="9" spans="1:11" x14ac:dyDescent="0.2">
      <c r="A9" s="1607" t="s">
        <v>872</v>
      </c>
      <c r="B9" s="1607" t="s">
        <v>379</v>
      </c>
      <c r="C9" s="1607">
        <v>15638</v>
      </c>
      <c r="D9" s="1607">
        <v>13943</v>
      </c>
      <c r="E9" s="1607">
        <v>1367</v>
      </c>
      <c r="F9" s="1607">
        <v>313</v>
      </c>
      <c r="G9" s="1607">
        <v>3</v>
      </c>
      <c r="H9" s="1607"/>
      <c r="I9" s="1607"/>
      <c r="J9" s="1607">
        <v>12</v>
      </c>
    </row>
    <row r="10" spans="1:11" x14ac:dyDescent="0.2">
      <c r="A10" s="1607" t="s">
        <v>872</v>
      </c>
      <c r="B10" s="1607" t="s">
        <v>603</v>
      </c>
      <c r="C10" s="1607">
        <v>14673</v>
      </c>
      <c r="D10" s="1607">
        <v>12904</v>
      </c>
      <c r="E10" s="1607">
        <v>1420</v>
      </c>
      <c r="F10" s="1607">
        <v>338</v>
      </c>
      <c r="G10" s="1607"/>
      <c r="H10" s="1607"/>
      <c r="I10" s="1607"/>
      <c r="J10" s="1607">
        <v>11</v>
      </c>
    </row>
    <row r="15" spans="1:11" x14ac:dyDescent="0.2">
      <c r="A15" s="1608" t="s">
        <v>1190</v>
      </c>
      <c r="B15" s="1608" t="s">
        <v>4</v>
      </c>
      <c r="C15" s="1608" t="s">
        <v>1081</v>
      </c>
      <c r="D15" s="1608" t="s">
        <v>11</v>
      </c>
      <c r="E15" s="1610" t="s">
        <v>1315</v>
      </c>
      <c r="F15" s="1610" t="s">
        <v>1316</v>
      </c>
      <c r="G15" s="1610" t="s">
        <v>1317</v>
      </c>
      <c r="H15" s="1610" t="s">
        <v>1318</v>
      </c>
      <c r="I15" s="1610" t="s">
        <v>1319</v>
      </c>
      <c r="J15" s="1610" t="s">
        <v>1320</v>
      </c>
      <c r="K15" s="1610" t="s">
        <v>190</v>
      </c>
    </row>
    <row r="16" spans="1:11" x14ac:dyDescent="0.2">
      <c r="A16" s="1607" t="s">
        <v>873</v>
      </c>
      <c r="B16" s="1607" t="s">
        <v>160</v>
      </c>
      <c r="C16" s="1607" t="s">
        <v>23</v>
      </c>
      <c r="D16" s="1607">
        <v>550</v>
      </c>
      <c r="E16" s="1607">
        <v>106</v>
      </c>
      <c r="F16" s="1607">
        <v>133</v>
      </c>
      <c r="G16" s="1607">
        <v>306</v>
      </c>
      <c r="H16" s="1607">
        <v>5</v>
      </c>
      <c r="I16" s="1607"/>
      <c r="J16" s="1607"/>
      <c r="K16" s="1607"/>
    </row>
    <row r="17" spans="1:11" x14ac:dyDescent="0.2">
      <c r="A17" s="1607" t="s">
        <v>873</v>
      </c>
      <c r="B17" s="1607" t="s">
        <v>160</v>
      </c>
      <c r="C17" s="1607" t="s">
        <v>24</v>
      </c>
      <c r="D17" s="1607">
        <v>402</v>
      </c>
      <c r="E17" s="1607">
        <v>153</v>
      </c>
      <c r="F17" s="1607">
        <v>177</v>
      </c>
      <c r="G17" s="1607">
        <v>62</v>
      </c>
      <c r="H17" s="1607">
        <v>8</v>
      </c>
      <c r="I17" s="1607">
        <v>2</v>
      </c>
      <c r="J17" s="1607"/>
      <c r="K17" s="1607"/>
    </row>
    <row r="18" spans="1:11" x14ac:dyDescent="0.2">
      <c r="A18" s="1607" t="s">
        <v>873</v>
      </c>
      <c r="B18" s="1607" t="s">
        <v>160</v>
      </c>
      <c r="C18" s="1607" t="s">
        <v>25</v>
      </c>
      <c r="D18" s="1607">
        <v>178</v>
      </c>
      <c r="E18" s="1607">
        <v>54</v>
      </c>
      <c r="F18" s="1607">
        <v>101</v>
      </c>
      <c r="G18" s="1607">
        <v>22</v>
      </c>
      <c r="H18" s="1607">
        <v>1</v>
      </c>
      <c r="I18" s="1607"/>
      <c r="J18" s="1607"/>
      <c r="K18" s="1607"/>
    </row>
    <row r="19" spans="1:11" x14ac:dyDescent="0.2">
      <c r="A19" s="1607" t="s">
        <v>873</v>
      </c>
      <c r="B19" s="1607" t="s">
        <v>160</v>
      </c>
      <c r="C19" s="1607" t="s">
        <v>26</v>
      </c>
      <c r="D19" s="1607">
        <v>137</v>
      </c>
      <c r="E19" s="1607">
        <v>47</v>
      </c>
      <c r="F19" s="1607">
        <v>74</v>
      </c>
      <c r="G19" s="1607">
        <v>16</v>
      </c>
      <c r="H19" s="1607"/>
      <c r="I19" s="1607"/>
      <c r="J19" s="1607"/>
      <c r="K19" s="1607"/>
    </row>
    <row r="20" spans="1:11" x14ac:dyDescent="0.2">
      <c r="A20" s="1607" t="s">
        <v>873</v>
      </c>
      <c r="B20" s="1607" t="s">
        <v>160</v>
      </c>
      <c r="C20" s="1607" t="s">
        <v>27</v>
      </c>
      <c r="D20" s="1607">
        <v>108</v>
      </c>
      <c r="E20" s="1607">
        <v>44</v>
      </c>
      <c r="F20" s="1607">
        <v>42</v>
      </c>
      <c r="G20" s="1607">
        <v>15</v>
      </c>
      <c r="H20" s="1607"/>
      <c r="I20" s="1607"/>
      <c r="J20" s="1607"/>
      <c r="K20" s="1607">
        <v>7</v>
      </c>
    </row>
    <row r="21" spans="1:11" x14ac:dyDescent="0.2">
      <c r="A21" s="1607" t="s">
        <v>873</v>
      </c>
      <c r="B21" s="1607" t="s">
        <v>160</v>
      </c>
      <c r="C21" s="1607" t="s">
        <v>28</v>
      </c>
      <c r="D21" s="1607">
        <v>224</v>
      </c>
      <c r="E21" s="1607">
        <v>73</v>
      </c>
      <c r="F21" s="1607">
        <v>126</v>
      </c>
      <c r="G21" s="1607">
        <v>21</v>
      </c>
      <c r="H21" s="1607">
        <v>2</v>
      </c>
      <c r="I21" s="1607">
        <v>1</v>
      </c>
      <c r="J21" s="1607">
        <v>1</v>
      </c>
      <c r="K21" s="1607"/>
    </row>
    <row r="22" spans="1:11" x14ac:dyDescent="0.2">
      <c r="A22" s="1607" t="s">
        <v>873</v>
      </c>
      <c r="B22" s="1607" t="s">
        <v>160</v>
      </c>
      <c r="C22" s="1607" t="s">
        <v>29</v>
      </c>
      <c r="D22" s="1607">
        <v>370</v>
      </c>
      <c r="E22" s="1607">
        <v>58</v>
      </c>
      <c r="F22" s="1607">
        <v>231</v>
      </c>
      <c r="G22" s="1607">
        <v>81</v>
      </c>
      <c r="H22" s="1607"/>
      <c r="I22" s="1607"/>
      <c r="J22" s="1607"/>
      <c r="K22" s="1607"/>
    </row>
    <row r="23" spans="1:11" x14ac:dyDescent="0.2">
      <c r="A23" s="1607" t="s">
        <v>873</v>
      </c>
      <c r="B23" s="1607" t="s">
        <v>160</v>
      </c>
      <c r="C23" s="1607" t="s">
        <v>30</v>
      </c>
      <c r="D23" s="1607">
        <v>219</v>
      </c>
      <c r="E23" s="1607">
        <v>88</v>
      </c>
      <c r="F23" s="1607">
        <v>105</v>
      </c>
      <c r="G23" s="1607">
        <v>21</v>
      </c>
      <c r="H23" s="1607">
        <v>1</v>
      </c>
      <c r="I23" s="1607">
        <v>3</v>
      </c>
      <c r="J23" s="1607">
        <v>1</v>
      </c>
      <c r="K23" s="1607"/>
    </row>
    <row r="24" spans="1:11" x14ac:dyDescent="0.2">
      <c r="A24" s="1607" t="s">
        <v>873</v>
      </c>
      <c r="B24" s="1607" t="s">
        <v>160</v>
      </c>
      <c r="C24" s="1607" t="s">
        <v>31</v>
      </c>
      <c r="D24" s="1607">
        <v>146</v>
      </c>
      <c r="E24" s="1607">
        <v>63</v>
      </c>
      <c r="F24" s="1607">
        <v>68</v>
      </c>
      <c r="G24" s="1607">
        <v>14</v>
      </c>
      <c r="H24" s="1607">
        <v>1</v>
      </c>
      <c r="I24" s="1607"/>
      <c r="J24" s="1607"/>
      <c r="K24" s="1607"/>
    </row>
    <row r="25" spans="1:11" x14ac:dyDescent="0.2">
      <c r="A25" s="1607" t="s">
        <v>873</v>
      </c>
      <c r="B25" s="1607" t="s">
        <v>160</v>
      </c>
      <c r="C25" s="1607" t="s">
        <v>32</v>
      </c>
      <c r="D25" s="1607">
        <v>196</v>
      </c>
      <c r="E25" s="1607">
        <v>60</v>
      </c>
      <c r="F25" s="1607">
        <v>85</v>
      </c>
      <c r="G25" s="1607">
        <v>21</v>
      </c>
      <c r="H25" s="1607">
        <v>3</v>
      </c>
      <c r="I25" s="1607">
        <v>1</v>
      </c>
      <c r="J25" s="1607"/>
      <c r="K25" s="1607">
        <v>26</v>
      </c>
    </row>
    <row r="26" spans="1:11" x14ac:dyDescent="0.2">
      <c r="A26" s="1607" t="s">
        <v>873</v>
      </c>
      <c r="B26" s="1607" t="s">
        <v>160</v>
      </c>
      <c r="C26" s="1607" t="s">
        <v>33</v>
      </c>
      <c r="D26" s="1607">
        <v>130</v>
      </c>
      <c r="E26" s="1607">
        <v>48</v>
      </c>
      <c r="F26" s="1607">
        <v>68</v>
      </c>
      <c r="G26" s="1607">
        <v>12</v>
      </c>
      <c r="H26" s="1607">
        <v>2</v>
      </c>
      <c r="I26" s="1607"/>
      <c r="J26" s="1607"/>
      <c r="K26" s="1607"/>
    </row>
    <row r="27" spans="1:11" x14ac:dyDescent="0.2">
      <c r="A27" s="1607" t="s">
        <v>873</v>
      </c>
      <c r="B27" s="1607" t="s">
        <v>160</v>
      </c>
      <c r="C27" s="1607" t="s">
        <v>665</v>
      </c>
      <c r="D27" s="1607">
        <v>1218</v>
      </c>
      <c r="E27" s="1607">
        <v>363</v>
      </c>
      <c r="F27" s="1607">
        <v>370</v>
      </c>
      <c r="G27" s="1607">
        <v>447</v>
      </c>
      <c r="H27" s="1607">
        <v>8</v>
      </c>
      <c r="I27" s="1607">
        <v>3</v>
      </c>
      <c r="J27" s="1607"/>
      <c r="K27" s="1607">
        <v>27</v>
      </c>
    </row>
    <row r="28" spans="1:11" x14ac:dyDescent="0.2">
      <c r="A28" s="1607" t="s">
        <v>873</v>
      </c>
      <c r="B28" s="1607" t="s">
        <v>160</v>
      </c>
      <c r="C28" s="1607" t="s">
        <v>34</v>
      </c>
      <c r="D28" s="1607">
        <v>296</v>
      </c>
      <c r="E28" s="1607">
        <v>115</v>
      </c>
      <c r="F28" s="1607">
        <v>120</v>
      </c>
      <c r="G28" s="1607">
        <v>35</v>
      </c>
      <c r="H28" s="1607">
        <v>2</v>
      </c>
      <c r="I28" s="1607">
        <v>2</v>
      </c>
      <c r="J28" s="1607"/>
      <c r="K28" s="1607">
        <v>22</v>
      </c>
    </row>
    <row r="29" spans="1:11" x14ac:dyDescent="0.2">
      <c r="A29" s="1607" t="s">
        <v>873</v>
      </c>
      <c r="B29" s="1607" t="s">
        <v>160</v>
      </c>
      <c r="C29" s="1607" t="s">
        <v>35</v>
      </c>
      <c r="D29" s="1607">
        <v>558</v>
      </c>
      <c r="E29" s="1607">
        <v>171</v>
      </c>
      <c r="F29" s="1607">
        <v>303</v>
      </c>
      <c r="G29" s="1607">
        <v>79</v>
      </c>
      <c r="H29" s="1607">
        <v>4</v>
      </c>
      <c r="I29" s="1607">
        <v>1</v>
      </c>
      <c r="J29" s="1607"/>
      <c r="K29" s="1607"/>
    </row>
    <row r="30" spans="1:11" x14ac:dyDescent="0.2">
      <c r="A30" s="1607" t="s">
        <v>873</v>
      </c>
      <c r="B30" s="1607" t="s">
        <v>160</v>
      </c>
      <c r="C30" s="1607" t="s">
        <v>36</v>
      </c>
      <c r="D30" s="1607">
        <v>1734</v>
      </c>
      <c r="E30" s="1607">
        <v>367</v>
      </c>
      <c r="F30" s="1607">
        <v>739</v>
      </c>
      <c r="G30" s="1607">
        <v>602</v>
      </c>
      <c r="H30" s="1607">
        <v>19</v>
      </c>
      <c r="I30" s="1607">
        <v>1</v>
      </c>
      <c r="J30" s="1607">
        <v>5</v>
      </c>
      <c r="K30" s="1607">
        <v>1</v>
      </c>
    </row>
    <row r="31" spans="1:11" x14ac:dyDescent="0.2">
      <c r="A31" s="1607" t="s">
        <v>873</v>
      </c>
      <c r="B31" s="1607" t="s">
        <v>160</v>
      </c>
      <c r="C31" s="1607" t="s">
        <v>37</v>
      </c>
      <c r="D31" s="1607">
        <v>371</v>
      </c>
      <c r="E31" s="1607">
        <v>158</v>
      </c>
      <c r="F31" s="1607">
        <v>166</v>
      </c>
      <c r="G31" s="1607">
        <v>42</v>
      </c>
      <c r="H31" s="1607">
        <v>4</v>
      </c>
      <c r="I31" s="1607"/>
      <c r="J31" s="1607">
        <v>1</v>
      </c>
      <c r="K31" s="1607"/>
    </row>
    <row r="32" spans="1:11" x14ac:dyDescent="0.2">
      <c r="A32" s="1607" t="s">
        <v>873</v>
      </c>
      <c r="B32" s="1607" t="s">
        <v>160</v>
      </c>
      <c r="C32" s="1607" t="s">
        <v>38</v>
      </c>
      <c r="D32" s="1607">
        <v>213</v>
      </c>
      <c r="E32" s="1607">
        <v>65</v>
      </c>
      <c r="F32" s="1607">
        <v>95</v>
      </c>
      <c r="G32" s="1607">
        <v>46</v>
      </c>
      <c r="H32" s="1607">
        <v>5</v>
      </c>
      <c r="I32" s="1607"/>
      <c r="J32" s="1607">
        <v>1</v>
      </c>
      <c r="K32" s="1607">
        <v>1</v>
      </c>
    </row>
    <row r="33" spans="1:11" x14ac:dyDescent="0.2">
      <c r="A33" s="1607" t="s">
        <v>873</v>
      </c>
      <c r="B33" s="1607" t="s">
        <v>160</v>
      </c>
      <c r="C33" s="1607" t="s">
        <v>39</v>
      </c>
      <c r="D33" s="1607">
        <v>168</v>
      </c>
      <c r="E33" s="1607">
        <v>80</v>
      </c>
      <c r="F33" s="1607">
        <v>50</v>
      </c>
      <c r="G33" s="1607">
        <v>14</v>
      </c>
      <c r="H33" s="1607">
        <v>3</v>
      </c>
      <c r="I33" s="1607">
        <v>1</v>
      </c>
      <c r="J33" s="1607">
        <v>1</v>
      </c>
      <c r="K33" s="1607">
        <v>19</v>
      </c>
    </row>
    <row r="34" spans="1:11" x14ac:dyDescent="0.2">
      <c r="A34" s="1607" t="s">
        <v>873</v>
      </c>
      <c r="B34" s="1607" t="s">
        <v>160</v>
      </c>
      <c r="C34" s="1607" t="s">
        <v>40</v>
      </c>
      <c r="D34" s="1607">
        <v>125</v>
      </c>
      <c r="E34" s="1607">
        <v>44</v>
      </c>
      <c r="F34" s="1607">
        <v>65</v>
      </c>
      <c r="G34" s="1607">
        <v>11</v>
      </c>
      <c r="H34" s="1607">
        <v>4</v>
      </c>
      <c r="I34" s="1607"/>
      <c r="J34" s="1607">
        <v>1</v>
      </c>
      <c r="K34" s="1607"/>
    </row>
    <row r="35" spans="1:11" x14ac:dyDescent="0.2">
      <c r="A35" s="1607" t="s">
        <v>873</v>
      </c>
      <c r="B35" s="1607" t="s">
        <v>160</v>
      </c>
      <c r="C35" s="1607" t="s">
        <v>393</v>
      </c>
      <c r="D35" s="1607">
        <v>41</v>
      </c>
      <c r="E35" s="1607">
        <v>20</v>
      </c>
      <c r="F35" s="1607">
        <v>17</v>
      </c>
      <c r="G35" s="1607">
        <v>4</v>
      </c>
      <c r="H35" s="1607"/>
      <c r="I35" s="1607"/>
      <c r="J35" s="1607"/>
      <c r="K35" s="1607"/>
    </row>
    <row r="36" spans="1:11" x14ac:dyDescent="0.2">
      <c r="A36" s="1607" t="s">
        <v>873</v>
      </c>
      <c r="B36" s="1607" t="s">
        <v>160</v>
      </c>
      <c r="C36" s="1607" t="s">
        <v>41</v>
      </c>
      <c r="D36" s="1607">
        <v>283</v>
      </c>
      <c r="E36" s="1607">
        <v>113</v>
      </c>
      <c r="F36" s="1607">
        <v>135</v>
      </c>
      <c r="G36" s="1607">
        <v>32</v>
      </c>
      <c r="H36" s="1607">
        <v>2</v>
      </c>
      <c r="I36" s="1607"/>
      <c r="J36" s="1607"/>
      <c r="K36" s="1607">
        <v>1</v>
      </c>
    </row>
    <row r="37" spans="1:11" x14ac:dyDescent="0.2">
      <c r="A37" s="1607" t="s">
        <v>873</v>
      </c>
      <c r="B37" s="1607" t="s">
        <v>160</v>
      </c>
      <c r="C37" s="1607" t="s">
        <v>42</v>
      </c>
      <c r="D37" s="1607">
        <v>651</v>
      </c>
      <c r="E37" s="1607">
        <v>202</v>
      </c>
      <c r="F37" s="1607">
        <v>353</v>
      </c>
      <c r="G37" s="1607">
        <v>81</v>
      </c>
      <c r="H37" s="1607">
        <v>8</v>
      </c>
      <c r="I37" s="1607">
        <v>2</v>
      </c>
      <c r="J37" s="1607">
        <v>2</v>
      </c>
      <c r="K37" s="1607">
        <v>3</v>
      </c>
    </row>
    <row r="38" spans="1:11" x14ac:dyDescent="0.2">
      <c r="A38" s="1607" t="s">
        <v>873</v>
      </c>
      <c r="B38" s="1607" t="s">
        <v>160</v>
      </c>
      <c r="C38" s="1607" t="s">
        <v>43</v>
      </c>
      <c r="D38" s="1607">
        <v>37</v>
      </c>
      <c r="E38" s="1607">
        <v>18</v>
      </c>
      <c r="F38" s="1607">
        <v>16</v>
      </c>
      <c r="G38" s="1607">
        <v>3</v>
      </c>
      <c r="H38" s="1607"/>
      <c r="I38" s="1607"/>
      <c r="J38" s="1607"/>
      <c r="K38" s="1607"/>
    </row>
    <row r="39" spans="1:11" x14ac:dyDescent="0.2">
      <c r="A39" s="1607" t="s">
        <v>873</v>
      </c>
      <c r="B39" s="1607" t="s">
        <v>160</v>
      </c>
      <c r="C39" s="1607" t="s">
        <v>44</v>
      </c>
      <c r="D39" s="1607">
        <v>267</v>
      </c>
      <c r="E39" s="1607">
        <v>79</v>
      </c>
      <c r="F39" s="1607">
        <v>152</v>
      </c>
      <c r="G39" s="1607">
        <v>33</v>
      </c>
      <c r="H39" s="1607">
        <v>3</v>
      </c>
      <c r="I39" s="1607"/>
      <c r="J39" s="1607"/>
      <c r="K39" s="1607"/>
    </row>
    <row r="40" spans="1:11" x14ac:dyDescent="0.2">
      <c r="A40" s="1607" t="s">
        <v>873</v>
      </c>
      <c r="B40" s="1607" t="s">
        <v>160</v>
      </c>
      <c r="C40" s="1607" t="s">
        <v>45</v>
      </c>
      <c r="D40" s="1607">
        <v>404</v>
      </c>
      <c r="E40" s="1607">
        <v>89</v>
      </c>
      <c r="F40" s="1607">
        <v>209</v>
      </c>
      <c r="G40" s="1607">
        <v>101</v>
      </c>
      <c r="H40" s="1607">
        <v>3</v>
      </c>
      <c r="I40" s="1607"/>
      <c r="J40" s="1607">
        <v>1</v>
      </c>
      <c r="K40" s="1607">
        <v>1</v>
      </c>
    </row>
    <row r="41" spans="1:11" x14ac:dyDescent="0.2">
      <c r="A41" s="1607" t="s">
        <v>873</v>
      </c>
      <c r="B41" s="1607" t="s">
        <v>160</v>
      </c>
      <c r="C41" s="1607" t="s">
        <v>46</v>
      </c>
      <c r="D41" s="1607">
        <v>225</v>
      </c>
      <c r="E41" s="1607">
        <v>92</v>
      </c>
      <c r="F41" s="1607">
        <v>101</v>
      </c>
      <c r="G41" s="1607">
        <v>16</v>
      </c>
      <c r="H41" s="1607">
        <v>5</v>
      </c>
      <c r="I41" s="1607"/>
      <c r="J41" s="1607"/>
      <c r="K41" s="1607">
        <v>11</v>
      </c>
    </row>
    <row r="42" spans="1:11" x14ac:dyDescent="0.2">
      <c r="A42" s="1607" t="s">
        <v>873</v>
      </c>
      <c r="B42" s="1607" t="s">
        <v>160</v>
      </c>
      <c r="C42" s="1607" t="s">
        <v>47</v>
      </c>
      <c r="D42" s="1607">
        <v>37</v>
      </c>
      <c r="E42" s="1607">
        <v>17</v>
      </c>
      <c r="F42" s="1607">
        <v>16</v>
      </c>
      <c r="G42" s="1607">
        <v>4</v>
      </c>
      <c r="H42" s="1607"/>
      <c r="I42" s="1607"/>
      <c r="J42" s="1607"/>
      <c r="K42" s="1607"/>
    </row>
    <row r="43" spans="1:11" x14ac:dyDescent="0.2">
      <c r="A43" s="1607" t="s">
        <v>873</v>
      </c>
      <c r="B43" s="1607" t="s">
        <v>160</v>
      </c>
      <c r="C43" s="1607" t="s">
        <v>48</v>
      </c>
      <c r="D43" s="1607">
        <v>188</v>
      </c>
      <c r="E43" s="1607">
        <v>51</v>
      </c>
      <c r="F43" s="1607">
        <v>113</v>
      </c>
      <c r="G43" s="1607">
        <v>23</v>
      </c>
      <c r="H43" s="1607">
        <v>1</v>
      </c>
      <c r="I43" s="1607"/>
      <c r="J43" s="1607"/>
      <c r="K43" s="1607"/>
    </row>
    <row r="44" spans="1:11" x14ac:dyDescent="0.2">
      <c r="A44" s="1607" t="s">
        <v>873</v>
      </c>
      <c r="B44" s="1607" t="s">
        <v>160</v>
      </c>
      <c r="C44" s="1607" t="s">
        <v>49</v>
      </c>
      <c r="D44" s="1607">
        <v>536</v>
      </c>
      <c r="E44" s="1607">
        <v>176</v>
      </c>
      <c r="F44" s="1607">
        <v>270</v>
      </c>
      <c r="G44" s="1607">
        <v>81</v>
      </c>
      <c r="H44" s="1607">
        <v>6</v>
      </c>
      <c r="I44" s="1607">
        <v>2</v>
      </c>
      <c r="J44" s="1607">
        <v>1</v>
      </c>
      <c r="K44" s="1607"/>
    </row>
    <row r="45" spans="1:11" x14ac:dyDescent="0.2">
      <c r="A45" s="1607" t="s">
        <v>873</v>
      </c>
      <c r="B45" s="1607" t="s">
        <v>160</v>
      </c>
      <c r="C45" s="1607" t="s">
        <v>50</v>
      </c>
      <c r="D45" s="1607">
        <v>227</v>
      </c>
      <c r="E45" s="1607">
        <v>78</v>
      </c>
      <c r="F45" s="1607">
        <v>94</v>
      </c>
      <c r="G45" s="1607">
        <v>37</v>
      </c>
      <c r="H45" s="1607">
        <v>3</v>
      </c>
      <c r="I45" s="1607">
        <v>1</v>
      </c>
      <c r="J45" s="1607"/>
      <c r="K45" s="1607">
        <v>14</v>
      </c>
    </row>
    <row r="46" spans="1:11" x14ac:dyDescent="0.2">
      <c r="A46" s="1607" t="s">
        <v>873</v>
      </c>
      <c r="B46" s="1607" t="s">
        <v>160</v>
      </c>
      <c r="C46" s="1607" t="s">
        <v>51</v>
      </c>
      <c r="D46" s="1607">
        <v>270</v>
      </c>
      <c r="E46" s="1607">
        <v>88</v>
      </c>
      <c r="F46" s="1607">
        <v>144</v>
      </c>
      <c r="G46" s="1607">
        <v>37</v>
      </c>
      <c r="H46" s="1607">
        <v>1</v>
      </c>
      <c r="I46" s="1607"/>
      <c r="J46" s="1607"/>
      <c r="K46" s="1607"/>
    </row>
    <row r="47" spans="1:11" x14ac:dyDescent="0.2">
      <c r="A47" s="1607" t="s">
        <v>873</v>
      </c>
      <c r="B47" s="1607" t="s">
        <v>160</v>
      </c>
      <c r="C47" s="1607" t="s">
        <v>52</v>
      </c>
      <c r="D47" s="1607">
        <v>399</v>
      </c>
      <c r="E47" s="1607">
        <v>173</v>
      </c>
      <c r="F47" s="1607">
        <v>159</v>
      </c>
      <c r="G47" s="1607">
        <v>35</v>
      </c>
      <c r="H47" s="1607">
        <v>7</v>
      </c>
      <c r="I47" s="1607">
        <v>1</v>
      </c>
      <c r="J47" s="1607">
        <v>2</v>
      </c>
      <c r="K47" s="1607">
        <v>22</v>
      </c>
    </row>
    <row r="48" spans="1:11" x14ac:dyDescent="0.2">
      <c r="A48" s="1607" t="s">
        <v>873</v>
      </c>
      <c r="B48" s="1607" t="s">
        <v>379</v>
      </c>
      <c r="C48" s="1607" t="s">
        <v>23</v>
      </c>
      <c r="D48" s="1607">
        <v>563</v>
      </c>
      <c r="E48" s="1607">
        <v>114</v>
      </c>
      <c r="F48" s="1607">
        <v>225</v>
      </c>
      <c r="G48" s="1607">
        <v>218</v>
      </c>
      <c r="H48" s="1607">
        <v>5</v>
      </c>
      <c r="I48" s="1607"/>
      <c r="J48" s="1607">
        <v>1</v>
      </c>
      <c r="K48" s="1607"/>
    </row>
    <row r="49" spans="1:11" x14ac:dyDescent="0.2">
      <c r="A49" s="1607" t="s">
        <v>873</v>
      </c>
      <c r="B49" s="1607" t="s">
        <v>379</v>
      </c>
      <c r="C49" s="1607" t="s">
        <v>24</v>
      </c>
      <c r="D49" s="1607">
        <v>392</v>
      </c>
      <c r="E49" s="1607">
        <v>124</v>
      </c>
      <c r="F49" s="1607">
        <v>199</v>
      </c>
      <c r="G49" s="1607">
        <v>57</v>
      </c>
      <c r="H49" s="1607">
        <v>9</v>
      </c>
      <c r="I49" s="1607"/>
      <c r="J49" s="1607">
        <v>3</v>
      </c>
      <c r="K49" s="1607"/>
    </row>
    <row r="50" spans="1:11" x14ac:dyDescent="0.2">
      <c r="A50" s="1607" t="s">
        <v>873</v>
      </c>
      <c r="B50" s="1607" t="s">
        <v>379</v>
      </c>
      <c r="C50" s="1607" t="s">
        <v>25</v>
      </c>
      <c r="D50" s="1607">
        <v>182</v>
      </c>
      <c r="E50" s="1607">
        <v>64</v>
      </c>
      <c r="F50" s="1607">
        <v>103</v>
      </c>
      <c r="G50" s="1607">
        <v>14</v>
      </c>
      <c r="H50" s="1607">
        <v>1</v>
      </c>
      <c r="I50" s="1607"/>
      <c r="J50" s="1607"/>
      <c r="K50" s="1607"/>
    </row>
    <row r="51" spans="1:11" x14ac:dyDescent="0.2">
      <c r="A51" s="1607" t="s">
        <v>873</v>
      </c>
      <c r="B51" s="1607" t="s">
        <v>379</v>
      </c>
      <c r="C51" s="1607" t="s">
        <v>26</v>
      </c>
      <c r="D51" s="1607">
        <v>149</v>
      </c>
      <c r="E51" s="1607">
        <v>65</v>
      </c>
      <c r="F51" s="1607">
        <v>68</v>
      </c>
      <c r="G51" s="1607">
        <v>12</v>
      </c>
      <c r="H51" s="1607">
        <v>3</v>
      </c>
      <c r="I51" s="1607">
        <v>1</v>
      </c>
      <c r="J51" s="1607"/>
      <c r="K51" s="1607"/>
    </row>
    <row r="52" spans="1:11" x14ac:dyDescent="0.2">
      <c r="A52" s="1607" t="s">
        <v>873</v>
      </c>
      <c r="B52" s="1607" t="s">
        <v>379</v>
      </c>
      <c r="C52" s="1607" t="s">
        <v>27</v>
      </c>
      <c r="D52" s="1607">
        <v>107</v>
      </c>
      <c r="E52" s="1607">
        <v>36</v>
      </c>
      <c r="F52" s="1607">
        <v>54</v>
      </c>
      <c r="G52" s="1607">
        <v>15</v>
      </c>
      <c r="H52" s="1607">
        <v>2</v>
      </c>
      <c r="I52" s="1607"/>
      <c r="J52" s="1607"/>
      <c r="K52" s="1607"/>
    </row>
    <row r="53" spans="1:11" x14ac:dyDescent="0.2">
      <c r="A53" s="1607" t="s">
        <v>873</v>
      </c>
      <c r="B53" s="1607" t="s">
        <v>379</v>
      </c>
      <c r="C53" s="1607" t="s">
        <v>28</v>
      </c>
      <c r="D53" s="1607">
        <v>243</v>
      </c>
      <c r="E53" s="1607">
        <v>73</v>
      </c>
      <c r="F53" s="1607">
        <v>132</v>
      </c>
      <c r="G53" s="1607">
        <v>32</v>
      </c>
      <c r="H53" s="1607">
        <v>4</v>
      </c>
      <c r="I53" s="1607"/>
      <c r="J53" s="1607">
        <v>2</v>
      </c>
      <c r="K53" s="1607"/>
    </row>
    <row r="54" spans="1:11" x14ac:dyDescent="0.2">
      <c r="A54" s="1607" t="s">
        <v>873</v>
      </c>
      <c r="B54" s="1607" t="s">
        <v>379</v>
      </c>
      <c r="C54" s="1607" t="s">
        <v>29</v>
      </c>
      <c r="D54" s="1607">
        <v>374</v>
      </c>
      <c r="E54" s="1607">
        <v>75</v>
      </c>
      <c r="F54" s="1607">
        <v>228</v>
      </c>
      <c r="G54" s="1607">
        <v>69</v>
      </c>
      <c r="H54" s="1607">
        <v>2</v>
      </c>
      <c r="I54" s="1607"/>
      <c r="J54" s="1607"/>
      <c r="K54" s="1607"/>
    </row>
    <row r="55" spans="1:11" x14ac:dyDescent="0.2">
      <c r="A55" s="1607" t="s">
        <v>873</v>
      </c>
      <c r="B55" s="1607" t="s">
        <v>379</v>
      </c>
      <c r="C55" s="1607" t="s">
        <v>30</v>
      </c>
      <c r="D55" s="1607">
        <v>255</v>
      </c>
      <c r="E55" s="1607">
        <v>93</v>
      </c>
      <c r="F55" s="1607">
        <v>144</v>
      </c>
      <c r="G55" s="1607">
        <v>15</v>
      </c>
      <c r="H55" s="1607">
        <v>2</v>
      </c>
      <c r="I55" s="1607"/>
      <c r="J55" s="1607">
        <v>1</v>
      </c>
      <c r="K55" s="1607"/>
    </row>
    <row r="56" spans="1:11" x14ac:dyDescent="0.2">
      <c r="A56" s="1607" t="s">
        <v>873</v>
      </c>
      <c r="B56" s="1607" t="s">
        <v>379</v>
      </c>
      <c r="C56" s="1607" t="s">
        <v>31</v>
      </c>
      <c r="D56" s="1607">
        <v>165</v>
      </c>
      <c r="E56" s="1607">
        <v>72</v>
      </c>
      <c r="F56" s="1607">
        <v>73</v>
      </c>
      <c r="G56" s="1607">
        <v>16</v>
      </c>
      <c r="H56" s="1607">
        <v>2</v>
      </c>
      <c r="I56" s="1607">
        <v>2</v>
      </c>
      <c r="J56" s="1607"/>
      <c r="K56" s="1607"/>
    </row>
    <row r="57" spans="1:11" x14ac:dyDescent="0.2">
      <c r="A57" s="1607" t="s">
        <v>873</v>
      </c>
      <c r="B57" s="1607" t="s">
        <v>379</v>
      </c>
      <c r="C57" s="1607" t="s">
        <v>32</v>
      </c>
      <c r="D57" s="1607">
        <v>153</v>
      </c>
      <c r="E57" s="1607">
        <v>60</v>
      </c>
      <c r="F57" s="1607">
        <v>71</v>
      </c>
      <c r="G57" s="1607">
        <v>16</v>
      </c>
      <c r="H57" s="1607">
        <v>5</v>
      </c>
      <c r="I57" s="1607"/>
      <c r="J57" s="1607">
        <v>1</v>
      </c>
      <c r="K57" s="1607"/>
    </row>
    <row r="58" spans="1:11" x14ac:dyDescent="0.2">
      <c r="A58" s="1607" t="s">
        <v>873</v>
      </c>
      <c r="B58" s="1607" t="s">
        <v>379</v>
      </c>
      <c r="C58" s="1607" t="s">
        <v>33</v>
      </c>
      <c r="D58" s="1607">
        <v>106</v>
      </c>
      <c r="E58" s="1607">
        <v>43</v>
      </c>
      <c r="F58" s="1607">
        <v>55</v>
      </c>
      <c r="G58" s="1607">
        <v>7</v>
      </c>
      <c r="H58" s="1607">
        <v>1</v>
      </c>
      <c r="I58" s="1607"/>
      <c r="J58" s="1607"/>
      <c r="K58" s="1607"/>
    </row>
    <row r="59" spans="1:11" x14ac:dyDescent="0.2">
      <c r="A59" s="1607" t="s">
        <v>873</v>
      </c>
      <c r="B59" s="1607" t="s">
        <v>379</v>
      </c>
      <c r="C59" s="1607" t="s">
        <v>665</v>
      </c>
      <c r="D59" s="1607">
        <v>1159</v>
      </c>
      <c r="E59" s="1607">
        <v>329</v>
      </c>
      <c r="F59" s="1607">
        <v>389</v>
      </c>
      <c r="G59" s="1607">
        <v>426</v>
      </c>
      <c r="H59" s="1607">
        <v>13</v>
      </c>
      <c r="I59" s="1607">
        <v>1</v>
      </c>
      <c r="J59" s="1607">
        <v>1</v>
      </c>
      <c r="K59" s="1607"/>
    </row>
    <row r="60" spans="1:11" x14ac:dyDescent="0.2">
      <c r="A60" s="1607" t="s">
        <v>873</v>
      </c>
      <c r="B60" s="1607" t="s">
        <v>379</v>
      </c>
      <c r="C60" s="1607" t="s">
        <v>34</v>
      </c>
      <c r="D60" s="1607">
        <v>277</v>
      </c>
      <c r="E60" s="1607">
        <v>104</v>
      </c>
      <c r="F60" s="1607">
        <v>132</v>
      </c>
      <c r="G60" s="1607">
        <v>37</v>
      </c>
      <c r="H60" s="1607">
        <v>4</v>
      </c>
      <c r="I60" s="1607"/>
      <c r="J60" s="1607"/>
      <c r="K60" s="1607"/>
    </row>
    <row r="61" spans="1:11" x14ac:dyDescent="0.2">
      <c r="A61" s="1607" t="s">
        <v>873</v>
      </c>
      <c r="B61" s="1607" t="s">
        <v>379</v>
      </c>
      <c r="C61" s="1607" t="s">
        <v>35</v>
      </c>
      <c r="D61" s="1607">
        <v>619</v>
      </c>
      <c r="E61" s="1607">
        <v>203</v>
      </c>
      <c r="F61" s="1607">
        <v>326</v>
      </c>
      <c r="G61" s="1607">
        <v>79</v>
      </c>
      <c r="H61" s="1607">
        <v>11</v>
      </c>
      <c r="I61" s="1607"/>
      <c r="J61" s="1607"/>
      <c r="K61" s="1607"/>
    </row>
    <row r="62" spans="1:11" x14ac:dyDescent="0.2">
      <c r="A62" s="1607" t="s">
        <v>873</v>
      </c>
      <c r="B62" s="1607" t="s">
        <v>379</v>
      </c>
      <c r="C62" s="1607" t="s">
        <v>36</v>
      </c>
      <c r="D62" s="1607">
        <v>1701</v>
      </c>
      <c r="E62" s="1607">
        <v>449</v>
      </c>
      <c r="F62" s="1607">
        <v>582</v>
      </c>
      <c r="G62" s="1607">
        <v>644</v>
      </c>
      <c r="H62" s="1607">
        <v>20</v>
      </c>
      <c r="I62" s="1607">
        <v>2</v>
      </c>
      <c r="J62" s="1607">
        <v>3</v>
      </c>
      <c r="K62" s="1607">
        <v>1</v>
      </c>
    </row>
    <row r="63" spans="1:11" x14ac:dyDescent="0.2">
      <c r="A63" s="1607" t="s">
        <v>873</v>
      </c>
      <c r="B63" s="1607" t="s">
        <v>379</v>
      </c>
      <c r="C63" s="1607" t="s">
        <v>37</v>
      </c>
      <c r="D63" s="1607">
        <v>371</v>
      </c>
      <c r="E63" s="1607">
        <v>155</v>
      </c>
      <c r="F63" s="1607">
        <v>173</v>
      </c>
      <c r="G63" s="1607">
        <v>37</v>
      </c>
      <c r="H63" s="1607">
        <v>5</v>
      </c>
      <c r="I63" s="1607">
        <v>1</v>
      </c>
      <c r="J63" s="1607"/>
      <c r="K63" s="1607"/>
    </row>
    <row r="64" spans="1:11" x14ac:dyDescent="0.2">
      <c r="A64" s="1607" t="s">
        <v>873</v>
      </c>
      <c r="B64" s="1607" t="s">
        <v>379</v>
      </c>
      <c r="C64" s="1607" t="s">
        <v>38</v>
      </c>
      <c r="D64" s="1607">
        <v>214</v>
      </c>
      <c r="E64" s="1607">
        <v>69</v>
      </c>
      <c r="F64" s="1607">
        <v>86</v>
      </c>
      <c r="G64" s="1607">
        <v>55</v>
      </c>
      <c r="H64" s="1607">
        <v>3</v>
      </c>
      <c r="I64" s="1607"/>
      <c r="J64" s="1607">
        <v>1</v>
      </c>
      <c r="K64" s="1607"/>
    </row>
    <row r="65" spans="1:11" x14ac:dyDescent="0.2">
      <c r="A65" s="1607" t="s">
        <v>873</v>
      </c>
      <c r="B65" s="1607" t="s">
        <v>379</v>
      </c>
      <c r="C65" s="1607" t="s">
        <v>39</v>
      </c>
      <c r="D65" s="1607">
        <v>201</v>
      </c>
      <c r="E65" s="1607">
        <v>114</v>
      </c>
      <c r="F65" s="1607">
        <v>76</v>
      </c>
      <c r="G65" s="1607">
        <v>9</v>
      </c>
      <c r="H65" s="1607">
        <v>2</v>
      </c>
      <c r="I65" s="1607"/>
      <c r="J65" s="1607"/>
      <c r="K65" s="1607"/>
    </row>
    <row r="66" spans="1:11" x14ac:dyDescent="0.2">
      <c r="A66" s="1607" t="s">
        <v>873</v>
      </c>
      <c r="B66" s="1607" t="s">
        <v>379</v>
      </c>
      <c r="C66" s="1607" t="s">
        <v>40</v>
      </c>
      <c r="D66" s="1607">
        <v>127</v>
      </c>
      <c r="E66" s="1607">
        <v>51</v>
      </c>
      <c r="F66" s="1607">
        <v>61</v>
      </c>
      <c r="G66" s="1607">
        <v>12</v>
      </c>
      <c r="H66" s="1607">
        <v>2</v>
      </c>
      <c r="I66" s="1607">
        <v>1</v>
      </c>
      <c r="J66" s="1607"/>
      <c r="K66" s="1607"/>
    </row>
    <row r="67" spans="1:11" x14ac:dyDescent="0.2">
      <c r="A67" s="1607" t="s">
        <v>873</v>
      </c>
      <c r="B67" s="1607" t="s">
        <v>379</v>
      </c>
      <c r="C67" s="1607" t="s">
        <v>393</v>
      </c>
      <c r="D67" s="1607">
        <v>36</v>
      </c>
      <c r="E67" s="1607">
        <v>11</v>
      </c>
      <c r="F67" s="1607">
        <v>21</v>
      </c>
      <c r="G67" s="1607">
        <v>4</v>
      </c>
      <c r="H67" s="1607"/>
      <c r="I67" s="1607"/>
      <c r="J67" s="1607"/>
      <c r="K67" s="1607"/>
    </row>
    <row r="68" spans="1:11" x14ac:dyDescent="0.2">
      <c r="A68" s="1607" t="s">
        <v>873</v>
      </c>
      <c r="B68" s="1607" t="s">
        <v>379</v>
      </c>
      <c r="C68" s="1607" t="s">
        <v>41</v>
      </c>
      <c r="D68" s="1607">
        <v>268</v>
      </c>
      <c r="E68" s="1607">
        <v>127</v>
      </c>
      <c r="F68" s="1607">
        <v>121</v>
      </c>
      <c r="G68" s="1607">
        <v>19</v>
      </c>
      <c r="H68" s="1607">
        <v>1</v>
      </c>
      <c r="I68" s="1607"/>
      <c r="J68" s="1607"/>
      <c r="K68" s="1607"/>
    </row>
    <row r="69" spans="1:11" x14ac:dyDescent="0.2">
      <c r="A69" s="1607" t="s">
        <v>873</v>
      </c>
      <c r="B69" s="1607" t="s">
        <v>379</v>
      </c>
      <c r="C69" s="1607" t="s">
        <v>42</v>
      </c>
      <c r="D69" s="1607">
        <v>685</v>
      </c>
      <c r="E69" s="1607">
        <v>239</v>
      </c>
      <c r="F69" s="1607">
        <v>339</v>
      </c>
      <c r="G69" s="1607">
        <v>98</v>
      </c>
      <c r="H69" s="1607">
        <v>6</v>
      </c>
      <c r="I69" s="1607">
        <v>2</v>
      </c>
      <c r="J69" s="1607">
        <v>1</v>
      </c>
      <c r="K69" s="1607"/>
    </row>
    <row r="70" spans="1:11" x14ac:dyDescent="0.2">
      <c r="A70" s="1607" t="s">
        <v>873</v>
      </c>
      <c r="B70" s="1607" t="s">
        <v>379</v>
      </c>
      <c r="C70" s="1607" t="s">
        <v>43</v>
      </c>
      <c r="D70" s="1607">
        <v>23</v>
      </c>
      <c r="E70" s="1607">
        <v>12</v>
      </c>
      <c r="F70" s="1607">
        <v>8</v>
      </c>
      <c r="G70" s="1607">
        <v>3</v>
      </c>
      <c r="H70" s="1607"/>
      <c r="I70" s="1607"/>
      <c r="J70" s="1607"/>
      <c r="K70" s="1607"/>
    </row>
    <row r="71" spans="1:11" x14ac:dyDescent="0.2">
      <c r="A71" s="1607" t="s">
        <v>873</v>
      </c>
      <c r="B71" s="1607" t="s">
        <v>379</v>
      </c>
      <c r="C71" s="1607" t="s">
        <v>44</v>
      </c>
      <c r="D71" s="1607">
        <v>286</v>
      </c>
      <c r="E71" s="1607">
        <v>81</v>
      </c>
      <c r="F71" s="1607">
        <v>164</v>
      </c>
      <c r="G71" s="1607">
        <v>37</v>
      </c>
      <c r="H71" s="1607">
        <v>3</v>
      </c>
      <c r="I71" s="1607">
        <v>1</v>
      </c>
      <c r="J71" s="1607"/>
      <c r="K71" s="1607"/>
    </row>
    <row r="72" spans="1:11" x14ac:dyDescent="0.2">
      <c r="A72" s="1607" t="s">
        <v>873</v>
      </c>
      <c r="B72" s="1607" t="s">
        <v>379</v>
      </c>
      <c r="C72" s="1607" t="s">
        <v>45</v>
      </c>
      <c r="D72" s="1607">
        <v>384</v>
      </c>
      <c r="E72" s="1607">
        <v>128</v>
      </c>
      <c r="F72" s="1607">
        <v>181</v>
      </c>
      <c r="G72" s="1607">
        <v>71</v>
      </c>
      <c r="H72" s="1607">
        <v>1</v>
      </c>
      <c r="I72" s="1607">
        <v>3</v>
      </c>
      <c r="J72" s="1607"/>
      <c r="K72" s="1607"/>
    </row>
    <row r="73" spans="1:11" x14ac:dyDescent="0.2">
      <c r="A73" s="1607" t="s">
        <v>873</v>
      </c>
      <c r="B73" s="1607" t="s">
        <v>379</v>
      </c>
      <c r="C73" s="1607" t="s">
        <v>46</v>
      </c>
      <c r="D73" s="1607">
        <v>192</v>
      </c>
      <c r="E73" s="1607">
        <v>82</v>
      </c>
      <c r="F73" s="1607">
        <v>79</v>
      </c>
      <c r="G73" s="1607">
        <v>27</v>
      </c>
      <c r="H73" s="1607">
        <v>3</v>
      </c>
      <c r="I73" s="1607"/>
      <c r="J73" s="1607">
        <v>1</v>
      </c>
      <c r="K73" s="1607"/>
    </row>
    <row r="74" spans="1:11" x14ac:dyDescent="0.2">
      <c r="A74" s="1607" t="s">
        <v>873</v>
      </c>
      <c r="B74" s="1607" t="s">
        <v>379</v>
      </c>
      <c r="C74" s="1607" t="s">
        <v>47</v>
      </c>
      <c r="D74" s="1607">
        <v>25</v>
      </c>
      <c r="E74" s="1607">
        <v>10</v>
      </c>
      <c r="F74" s="1607">
        <v>13</v>
      </c>
      <c r="G74" s="1607">
        <v>2</v>
      </c>
      <c r="H74" s="1607"/>
      <c r="I74" s="1607"/>
      <c r="J74" s="1607"/>
      <c r="K74" s="1607"/>
    </row>
    <row r="75" spans="1:11" x14ac:dyDescent="0.2">
      <c r="A75" s="1607" t="s">
        <v>873</v>
      </c>
      <c r="B75" s="1607" t="s">
        <v>379</v>
      </c>
      <c r="C75" s="1607" t="s">
        <v>48</v>
      </c>
      <c r="D75" s="1607">
        <v>188</v>
      </c>
      <c r="E75" s="1607">
        <v>54</v>
      </c>
      <c r="F75" s="1607">
        <v>101</v>
      </c>
      <c r="G75" s="1607">
        <v>31</v>
      </c>
      <c r="H75" s="1607">
        <v>2</v>
      </c>
      <c r="I75" s="1607"/>
      <c r="J75" s="1607"/>
      <c r="K75" s="1607"/>
    </row>
    <row r="76" spans="1:11" x14ac:dyDescent="0.2">
      <c r="A76" s="1607" t="s">
        <v>873</v>
      </c>
      <c r="B76" s="1607" t="s">
        <v>379</v>
      </c>
      <c r="C76" s="1607" t="s">
        <v>49</v>
      </c>
      <c r="D76" s="1607">
        <v>554</v>
      </c>
      <c r="E76" s="1607">
        <v>216</v>
      </c>
      <c r="F76" s="1607">
        <v>254</v>
      </c>
      <c r="G76" s="1607">
        <v>75</v>
      </c>
      <c r="H76" s="1607">
        <v>6</v>
      </c>
      <c r="I76" s="1607">
        <v>1</v>
      </c>
      <c r="J76" s="1607">
        <v>2</v>
      </c>
      <c r="K76" s="1607"/>
    </row>
    <row r="77" spans="1:11" x14ac:dyDescent="0.2">
      <c r="A77" s="1607" t="s">
        <v>873</v>
      </c>
      <c r="B77" s="1607" t="s">
        <v>379</v>
      </c>
      <c r="C77" s="1607" t="s">
        <v>50</v>
      </c>
      <c r="D77" s="1607">
        <v>199</v>
      </c>
      <c r="E77" s="1607">
        <v>67</v>
      </c>
      <c r="F77" s="1607">
        <v>85</v>
      </c>
      <c r="G77" s="1607">
        <v>46</v>
      </c>
      <c r="H77" s="1607">
        <v>1</v>
      </c>
      <c r="I77" s="1607"/>
      <c r="J77" s="1607"/>
      <c r="K77" s="1607"/>
    </row>
    <row r="78" spans="1:11" x14ac:dyDescent="0.2">
      <c r="A78" s="1607" t="s">
        <v>873</v>
      </c>
      <c r="B78" s="1607" t="s">
        <v>379</v>
      </c>
      <c r="C78" s="1607" t="s">
        <v>51</v>
      </c>
      <c r="D78" s="1607">
        <v>260</v>
      </c>
      <c r="E78" s="1607">
        <v>97</v>
      </c>
      <c r="F78" s="1607">
        <v>123</v>
      </c>
      <c r="G78" s="1607">
        <v>38</v>
      </c>
      <c r="H78" s="1607">
        <v>1</v>
      </c>
      <c r="I78" s="1607">
        <v>1</v>
      </c>
      <c r="J78" s="1607"/>
      <c r="K78" s="1607"/>
    </row>
    <row r="79" spans="1:11" x14ac:dyDescent="0.2">
      <c r="A79" s="1607" t="s">
        <v>873</v>
      </c>
      <c r="B79" s="1607" t="s">
        <v>379</v>
      </c>
      <c r="C79" s="1607" t="s">
        <v>52</v>
      </c>
      <c r="D79" s="1607">
        <v>346</v>
      </c>
      <c r="E79" s="1607">
        <v>152</v>
      </c>
      <c r="F79" s="1607">
        <v>153</v>
      </c>
      <c r="G79" s="1607">
        <v>36</v>
      </c>
      <c r="H79" s="1607">
        <v>5</v>
      </c>
      <c r="I79" s="1607"/>
      <c r="J79" s="1607"/>
      <c r="K79" s="1607"/>
    </row>
    <row r="80" spans="1:11" x14ac:dyDescent="0.2">
      <c r="A80" s="1607" t="s">
        <v>873</v>
      </c>
      <c r="B80" s="1607" t="s">
        <v>603</v>
      </c>
      <c r="C80" s="1607" t="s">
        <v>23</v>
      </c>
      <c r="D80" s="1607">
        <v>451</v>
      </c>
      <c r="E80" s="1607">
        <v>99</v>
      </c>
      <c r="F80" s="1607">
        <v>243</v>
      </c>
      <c r="G80" s="1607">
        <v>103</v>
      </c>
      <c r="H80" s="1607">
        <v>5</v>
      </c>
      <c r="I80" s="1607">
        <v>1</v>
      </c>
      <c r="J80" s="1607"/>
      <c r="K80" s="1607"/>
    </row>
    <row r="81" spans="1:11" x14ac:dyDescent="0.2">
      <c r="A81" s="1607" t="s">
        <v>873</v>
      </c>
      <c r="B81" s="1607" t="s">
        <v>603</v>
      </c>
      <c r="C81" s="1607" t="s">
        <v>24</v>
      </c>
      <c r="D81" s="1607">
        <v>390</v>
      </c>
      <c r="E81" s="1607">
        <v>114</v>
      </c>
      <c r="F81" s="1607">
        <v>220</v>
      </c>
      <c r="G81" s="1607">
        <v>45</v>
      </c>
      <c r="H81" s="1607">
        <v>11</v>
      </c>
      <c r="I81" s="1607"/>
      <c r="J81" s="1607"/>
      <c r="K81" s="1607"/>
    </row>
    <row r="82" spans="1:11" x14ac:dyDescent="0.2">
      <c r="A82" s="1607" t="s">
        <v>873</v>
      </c>
      <c r="B82" s="1607" t="s">
        <v>603</v>
      </c>
      <c r="C82" s="1607" t="s">
        <v>25</v>
      </c>
      <c r="D82" s="1607">
        <v>161</v>
      </c>
      <c r="E82" s="1607">
        <v>50</v>
      </c>
      <c r="F82" s="1607">
        <v>89</v>
      </c>
      <c r="G82" s="1607">
        <v>20</v>
      </c>
      <c r="H82" s="1607">
        <v>1</v>
      </c>
      <c r="I82" s="1607">
        <v>1</v>
      </c>
      <c r="J82" s="1607"/>
      <c r="K82" s="1607"/>
    </row>
    <row r="83" spans="1:11" x14ac:dyDescent="0.2">
      <c r="A83" s="1607" t="s">
        <v>873</v>
      </c>
      <c r="B83" s="1607" t="s">
        <v>603</v>
      </c>
      <c r="C83" s="1607" t="s">
        <v>26</v>
      </c>
      <c r="D83" s="1607">
        <v>183</v>
      </c>
      <c r="E83" s="1607">
        <v>66</v>
      </c>
      <c r="F83" s="1607">
        <v>98</v>
      </c>
      <c r="G83" s="1607">
        <v>17</v>
      </c>
      <c r="H83" s="1607">
        <v>2</v>
      </c>
      <c r="I83" s="1607"/>
      <c r="J83" s="1607"/>
      <c r="K83" s="1607"/>
    </row>
    <row r="84" spans="1:11" x14ac:dyDescent="0.2">
      <c r="A84" s="1607" t="s">
        <v>873</v>
      </c>
      <c r="B84" s="1607" t="s">
        <v>603</v>
      </c>
      <c r="C84" s="1607" t="s">
        <v>27</v>
      </c>
      <c r="D84" s="1607">
        <v>93</v>
      </c>
      <c r="E84" s="1607">
        <v>34</v>
      </c>
      <c r="F84" s="1607">
        <v>36</v>
      </c>
      <c r="G84" s="1607">
        <v>21</v>
      </c>
      <c r="H84" s="1607">
        <v>2</v>
      </c>
      <c r="I84" s="1607"/>
      <c r="J84" s="1607"/>
      <c r="K84" s="1607"/>
    </row>
    <row r="85" spans="1:11" x14ac:dyDescent="0.2">
      <c r="A85" s="1607" t="s">
        <v>873</v>
      </c>
      <c r="B85" s="1607" t="s">
        <v>603</v>
      </c>
      <c r="C85" s="1607" t="s">
        <v>28</v>
      </c>
      <c r="D85" s="1607">
        <v>224</v>
      </c>
      <c r="E85" s="1607">
        <v>73</v>
      </c>
      <c r="F85" s="1607">
        <v>118</v>
      </c>
      <c r="G85" s="1607">
        <v>28</v>
      </c>
      <c r="H85" s="1607">
        <v>4</v>
      </c>
      <c r="I85" s="1607"/>
      <c r="J85" s="1607"/>
      <c r="K85" s="1607">
        <v>1</v>
      </c>
    </row>
    <row r="86" spans="1:11" x14ac:dyDescent="0.2">
      <c r="A86" s="1607" t="s">
        <v>873</v>
      </c>
      <c r="B86" s="1607" t="s">
        <v>603</v>
      </c>
      <c r="C86" s="1607" t="s">
        <v>29</v>
      </c>
      <c r="D86" s="1607">
        <v>338</v>
      </c>
      <c r="E86" s="1607">
        <v>75</v>
      </c>
      <c r="F86" s="1607">
        <v>203</v>
      </c>
      <c r="G86" s="1607">
        <v>58</v>
      </c>
      <c r="H86" s="1607">
        <v>1</v>
      </c>
      <c r="I86" s="1607"/>
      <c r="J86" s="1607">
        <v>1</v>
      </c>
      <c r="K86" s="1607"/>
    </row>
    <row r="87" spans="1:11" x14ac:dyDescent="0.2">
      <c r="A87" s="1607" t="s">
        <v>873</v>
      </c>
      <c r="B87" s="1607" t="s">
        <v>603</v>
      </c>
      <c r="C87" s="1607" t="s">
        <v>30</v>
      </c>
      <c r="D87" s="1607">
        <v>180</v>
      </c>
      <c r="E87" s="1607">
        <v>79</v>
      </c>
      <c r="F87" s="1607">
        <v>82</v>
      </c>
      <c r="G87" s="1607">
        <v>14</v>
      </c>
      <c r="H87" s="1607">
        <v>4</v>
      </c>
      <c r="I87" s="1607">
        <v>1</v>
      </c>
      <c r="J87" s="1607"/>
      <c r="K87" s="1607"/>
    </row>
    <row r="88" spans="1:11" x14ac:dyDescent="0.2">
      <c r="A88" s="1607" t="s">
        <v>873</v>
      </c>
      <c r="B88" s="1607" t="s">
        <v>603</v>
      </c>
      <c r="C88" s="1607" t="s">
        <v>31</v>
      </c>
      <c r="D88" s="1607">
        <v>158</v>
      </c>
      <c r="E88" s="1607">
        <v>75</v>
      </c>
      <c r="F88" s="1607">
        <v>63</v>
      </c>
      <c r="G88" s="1607">
        <v>17</v>
      </c>
      <c r="H88" s="1607">
        <v>3</v>
      </c>
      <c r="I88" s="1607"/>
      <c r="J88" s="1607"/>
      <c r="K88" s="1607"/>
    </row>
    <row r="89" spans="1:11" x14ac:dyDescent="0.2">
      <c r="A89" s="1607" t="s">
        <v>873</v>
      </c>
      <c r="B89" s="1607" t="s">
        <v>603</v>
      </c>
      <c r="C89" s="1607" t="s">
        <v>32</v>
      </c>
      <c r="D89" s="1607">
        <v>188</v>
      </c>
      <c r="E89" s="1607">
        <v>77</v>
      </c>
      <c r="F89" s="1607">
        <v>87</v>
      </c>
      <c r="G89" s="1607">
        <v>22</v>
      </c>
      <c r="H89" s="1607">
        <v>2</v>
      </c>
      <c r="I89" s="1607"/>
      <c r="J89" s="1607"/>
      <c r="K89" s="1607"/>
    </row>
    <row r="90" spans="1:11" x14ac:dyDescent="0.2">
      <c r="A90" s="1607" t="s">
        <v>873</v>
      </c>
      <c r="B90" s="1607" t="s">
        <v>603</v>
      </c>
      <c r="C90" s="1607" t="s">
        <v>33</v>
      </c>
      <c r="D90" s="1607">
        <v>130</v>
      </c>
      <c r="E90" s="1607">
        <v>62</v>
      </c>
      <c r="F90" s="1607">
        <v>54</v>
      </c>
      <c r="G90" s="1607">
        <v>10</v>
      </c>
      <c r="H90" s="1607">
        <v>2</v>
      </c>
      <c r="I90" s="1607">
        <v>1</v>
      </c>
      <c r="J90" s="1607">
        <v>1</v>
      </c>
      <c r="K90" s="1607"/>
    </row>
    <row r="91" spans="1:11" x14ac:dyDescent="0.2">
      <c r="A91" s="1607" t="s">
        <v>873</v>
      </c>
      <c r="B91" s="1607" t="s">
        <v>603</v>
      </c>
      <c r="C91" s="1607" t="s">
        <v>665</v>
      </c>
      <c r="D91" s="1607">
        <v>1028</v>
      </c>
      <c r="E91" s="1607">
        <v>294</v>
      </c>
      <c r="F91" s="1607">
        <v>340</v>
      </c>
      <c r="G91" s="1607">
        <v>383</v>
      </c>
      <c r="H91" s="1607">
        <v>7</v>
      </c>
      <c r="I91" s="1607">
        <v>3</v>
      </c>
      <c r="J91" s="1607">
        <v>1</v>
      </c>
      <c r="K91" s="1607"/>
    </row>
    <row r="92" spans="1:11" x14ac:dyDescent="0.2">
      <c r="A92" s="1607" t="s">
        <v>873</v>
      </c>
      <c r="B92" s="1607" t="s">
        <v>603</v>
      </c>
      <c r="C92" s="1607" t="s">
        <v>34</v>
      </c>
      <c r="D92" s="1607">
        <v>339</v>
      </c>
      <c r="E92" s="1607">
        <v>127</v>
      </c>
      <c r="F92" s="1607">
        <v>147</v>
      </c>
      <c r="G92" s="1607">
        <v>59</v>
      </c>
      <c r="H92" s="1607">
        <v>3</v>
      </c>
      <c r="I92" s="1607">
        <v>1</v>
      </c>
      <c r="J92" s="1607">
        <v>2</v>
      </c>
      <c r="K92" s="1607"/>
    </row>
    <row r="93" spans="1:11" x14ac:dyDescent="0.2">
      <c r="A93" s="1607" t="s">
        <v>873</v>
      </c>
      <c r="B93" s="1607" t="s">
        <v>603</v>
      </c>
      <c r="C93" s="1607" t="s">
        <v>35</v>
      </c>
      <c r="D93" s="1607">
        <v>644</v>
      </c>
      <c r="E93" s="1607">
        <v>205</v>
      </c>
      <c r="F93" s="1607">
        <v>344</v>
      </c>
      <c r="G93" s="1607">
        <v>84</v>
      </c>
      <c r="H93" s="1607">
        <v>9</v>
      </c>
      <c r="I93" s="1607">
        <v>1</v>
      </c>
      <c r="J93" s="1607">
        <v>1</v>
      </c>
      <c r="K93" s="1607"/>
    </row>
    <row r="94" spans="1:11" x14ac:dyDescent="0.2">
      <c r="A94" s="1607" t="s">
        <v>873</v>
      </c>
      <c r="B94" s="1607" t="s">
        <v>603</v>
      </c>
      <c r="C94" s="1607" t="s">
        <v>36</v>
      </c>
      <c r="D94" s="1607">
        <v>1708</v>
      </c>
      <c r="E94" s="1607">
        <v>438</v>
      </c>
      <c r="F94" s="1607">
        <v>562</v>
      </c>
      <c r="G94" s="1607">
        <v>685</v>
      </c>
      <c r="H94" s="1607">
        <v>18</v>
      </c>
      <c r="I94" s="1607">
        <v>2</v>
      </c>
      <c r="J94" s="1607">
        <v>3</v>
      </c>
      <c r="K94" s="1607"/>
    </row>
    <row r="95" spans="1:11" x14ac:dyDescent="0.2">
      <c r="A95" s="1607" t="s">
        <v>873</v>
      </c>
      <c r="B95" s="1607" t="s">
        <v>603</v>
      </c>
      <c r="C95" s="1607" t="s">
        <v>37</v>
      </c>
      <c r="D95" s="1607">
        <v>355</v>
      </c>
      <c r="E95" s="1607">
        <v>121</v>
      </c>
      <c r="F95" s="1607">
        <v>167</v>
      </c>
      <c r="G95" s="1607">
        <v>54</v>
      </c>
      <c r="H95" s="1607">
        <v>6</v>
      </c>
      <c r="I95" s="1607">
        <v>5</v>
      </c>
      <c r="J95" s="1607">
        <v>2</v>
      </c>
      <c r="K95" s="1607"/>
    </row>
    <row r="96" spans="1:11" x14ac:dyDescent="0.2">
      <c r="A96" s="1607" t="s">
        <v>873</v>
      </c>
      <c r="B96" s="1607" t="s">
        <v>603</v>
      </c>
      <c r="C96" s="1607" t="s">
        <v>38</v>
      </c>
      <c r="D96" s="1607">
        <v>189</v>
      </c>
      <c r="E96" s="1607">
        <v>68</v>
      </c>
      <c r="F96" s="1607">
        <v>68</v>
      </c>
      <c r="G96" s="1607">
        <v>50</v>
      </c>
      <c r="H96" s="1607">
        <v>2</v>
      </c>
      <c r="I96" s="1607">
        <v>1</v>
      </c>
      <c r="J96" s="1607"/>
      <c r="K96" s="1607"/>
    </row>
    <row r="97" spans="1:11" x14ac:dyDescent="0.2">
      <c r="A97" s="1607" t="s">
        <v>873</v>
      </c>
      <c r="B97" s="1607" t="s">
        <v>603</v>
      </c>
      <c r="C97" s="1607" t="s">
        <v>39</v>
      </c>
      <c r="D97" s="1607">
        <v>209</v>
      </c>
      <c r="E97" s="1607">
        <v>141</v>
      </c>
      <c r="F97" s="1607">
        <v>52</v>
      </c>
      <c r="G97" s="1607">
        <v>13</v>
      </c>
      <c r="H97" s="1607">
        <v>3</v>
      </c>
      <c r="I97" s="1607"/>
      <c r="J97" s="1607"/>
      <c r="K97" s="1607"/>
    </row>
    <row r="98" spans="1:11" x14ac:dyDescent="0.2">
      <c r="A98" s="1607" t="s">
        <v>873</v>
      </c>
      <c r="B98" s="1607" t="s">
        <v>603</v>
      </c>
      <c r="C98" s="1607" t="s">
        <v>40</v>
      </c>
      <c r="D98" s="1607">
        <v>111</v>
      </c>
      <c r="E98" s="1607">
        <v>40</v>
      </c>
      <c r="F98" s="1607">
        <v>53</v>
      </c>
      <c r="G98" s="1607">
        <v>15</v>
      </c>
      <c r="H98" s="1607">
        <v>3</v>
      </c>
      <c r="I98" s="1607"/>
      <c r="J98" s="1607"/>
      <c r="K98" s="1607"/>
    </row>
    <row r="99" spans="1:11" x14ac:dyDescent="0.2">
      <c r="A99" s="1607" t="s">
        <v>873</v>
      </c>
      <c r="B99" s="1607" t="s">
        <v>603</v>
      </c>
      <c r="C99" s="1607" t="s">
        <v>393</v>
      </c>
      <c r="D99" s="1607">
        <v>39</v>
      </c>
      <c r="E99" s="1607">
        <v>13</v>
      </c>
      <c r="F99" s="1607">
        <v>21</v>
      </c>
      <c r="G99" s="1607">
        <v>3</v>
      </c>
      <c r="H99" s="1607">
        <v>1</v>
      </c>
      <c r="I99" s="1607"/>
      <c r="J99" s="1607">
        <v>1</v>
      </c>
      <c r="K99" s="1607"/>
    </row>
    <row r="100" spans="1:11" x14ac:dyDescent="0.2">
      <c r="A100" s="1607" t="s">
        <v>873</v>
      </c>
      <c r="B100" s="1607" t="s">
        <v>603</v>
      </c>
      <c r="C100" s="1607" t="s">
        <v>41</v>
      </c>
      <c r="D100" s="1607">
        <v>270</v>
      </c>
      <c r="E100" s="1607">
        <v>107</v>
      </c>
      <c r="F100" s="1607">
        <v>125</v>
      </c>
      <c r="G100" s="1607">
        <v>35</v>
      </c>
      <c r="H100" s="1607">
        <v>3</v>
      </c>
      <c r="I100" s="1607"/>
      <c r="J100" s="1607"/>
      <c r="K100" s="1607"/>
    </row>
    <row r="101" spans="1:11" x14ac:dyDescent="0.2">
      <c r="A101" s="1607" t="s">
        <v>873</v>
      </c>
      <c r="B101" s="1607" t="s">
        <v>603</v>
      </c>
      <c r="C101" s="1607" t="s">
        <v>42</v>
      </c>
      <c r="D101" s="1607">
        <v>654</v>
      </c>
      <c r="E101" s="1607">
        <v>244</v>
      </c>
      <c r="F101" s="1607">
        <v>314</v>
      </c>
      <c r="G101" s="1607">
        <v>90</v>
      </c>
      <c r="H101" s="1607">
        <v>4</v>
      </c>
      <c r="I101" s="1607">
        <v>2</v>
      </c>
      <c r="J101" s="1607"/>
      <c r="K101" s="1607"/>
    </row>
    <row r="102" spans="1:11" x14ac:dyDescent="0.2">
      <c r="A102" s="1607" t="s">
        <v>873</v>
      </c>
      <c r="B102" s="1607" t="s">
        <v>603</v>
      </c>
      <c r="C102" s="1607" t="s">
        <v>43</v>
      </c>
      <c r="D102" s="1607">
        <v>15</v>
      </c>
      <c r="E102" s="1607">
        <v>8</v>
      </c>
      <c r="F102" s="1607">
        <v>6</v>
      </c>
      <c r="G102" s="1607">
        <v>1</v>
      </c>
      <c r="H102" s="1607"/>
      <c r="I102" s="1607"/>
      <c r="J102" s="1607"/>
      <c r="K102" s="1607"/>
    </row>
    <row r="103" spans="1:11" x14ac:dyDescent="0.2">
      <c r="A103" s="1607" t="s">
        <v>873</v>
      </c>
      <c r="B103" s="1607" t="s">
        <v>603</v>
      </c>
      <c r="C103" s="1607" t="s">
        <v>44</v>
      </c>
      <c r="D103" s="1607">
        <v>230</v>
      </c>
      <c r="E103" s="1607">
        <v>66</v>
      </c>
      <c r="F103" s="1607">
        <v>123</v>
      </c>
      <c r="G103" s="1607">
        <v>36</v>
      </c>
      <c r="H103" s="1607"/>
      <c r="I103" s="1607">
        <v>4</v>
      </c>
      <c r="J103" s="1607">
        <v>1</v>
      </c>
      <c r="K103" s="1607"/>
    </row>
    <row r="104" spans="1:11" x14ac:dyDescent="0.2">
      <c r="A104" s="1607" t="s">
        <v>873</v>
      </c>
      <c r="B104" s="1607" t="s">
        <v>603</v>
      </c>
      <c r="C104" s="1607" t="s">
        <v>45</v>
      </c>
      <c r="D104" s="1607">
        <v>393</v>
      </c>
      <c r="E104" s="1607">
        <v>138</v>
      </c>
      <c r="F104" s="1607">
        <v>158</v>
      </c>
      <c r="G104" s="1607">
        <v>91</v>
      </c>
      <c r="H104" s="1607">
        <v>5</v>
      </c>
      <c r="I104" s="1607"/>
      <c r="J104" s="1607">
        <v>1</v>
      </c>
      <c r="K104" s="1607"/>
    </row>
    <row r="105" spans="1:11" x14ac:dyDescent="0.2">
      <c r="A105" s="1607" t="s">
        <v>873</v>
      </c>
      <c r="B105" s="1607" t="s">
        <v>603</v>
      </c>
      <c r="C105" s="1607" t="s">
        <v>46</v>
      </c>
      <c r="D105" s="1607">
        <v>203</v>
      </c>
      <c r="E105" s="1607">
        <v>107</v>
      </c>
      <c r="F105" s="1607">
        <v>77</v>
      </c>
      <c r="G105" s="1607">
        <v>14</v>
      </c>
      <c r="H105" s="1607">
        <v>4</v>
      </c>
      <c r="I105" s="1607"/>
      <c r="J105" s="1607">
        <v>1</v>
      </c>
      <c r="K105" s="1607"/>
    </row>
    <row r="106" spans="1:11" x14ac:dyDescent="0.2">
      <c r="A106" s="1607" t="s">
        <v>873</v>
      </c>
      <c r="B106" s="1607" t="s">
        <v>603</v>
      </c>
      <c r="C106" s="1607" t="s">
        <v>47</v>
      </c>
      <c r="D106" s="1607">
        <v>32</v>
      </c>
      <c r="E106" s="1607">
        <v>12</v>
      </c>
      <c r="F106" s="1607">
        <v>14</v>
      </c>
      <c r="G106" s="1607">
        <v>5</v>
      </c>
      <c r="H106" s="1607">
        <v>1</v>
      </c>
      <c r="I106" s="1607"/>
      <c r="J106" s="1607"/>
      <c r="K106" s="1607"/>
    </row>
    <row r="107" spans="1:11" x14ac:dyDescent="0.2">
      <c r="A107" s="1607" t="s">
        <v>873</v>
      </c>
      <c r="B107" s="1607" t="s">
        <v>603</v>
      </c>
      <c r="C107" s="1607" t="s">
        <v>48</v>
      </c>
      <c r="D107" s="1607">
        <v>204</v>
      </c>
      <c r="E107" s="1607">
        <v>66</v>
      </c>
      <c r="F107" s="1607">
        <v>103</v>
      </c>
      <c r="G107" s="1607">
        <v>31</v>
      </c>
      <c r="H107" s="1607">
        <v>2</v>
      </c>
      <c r="I107" s="1607">
        <v>1</v>
      </c>
      <c r="J107" s="1607">
        <v>1</v>
      </c>
      <c r="K107" s="1607"/>
    </row>
    <row r="108" spans="1:11" x14ac:dyDescent="0.2">
      <c r="A108" s="1607" t="s">
        <v>873</v>
      </c>
      <c r="B108" s="1607" t="s">
        <v>603</v>
      </c>
      <c r="C108" s="1607" t="s">
        <v>49</v>
      </c>
      <c r="D108" s="1607">
        <v>583</v>
      </c>
      <c r="E108" s="1607">
        <v>216</v>
      </c>
      <c r="F108" s="1607">
        <v>266</v>
      </c>
      <c r="G108" s="1607">
        <v>91</v>
      </c>
      <c r="H108" s="1607">
        <v>9</v>
      </c>
      <c r="I108" s="1607">
        <v>1</v>
      </c>
      <c r="J108" s="1607"/>
      <c r="K108" s="1607"/>
    </row>
    <row r="109" spans="1:11" x14ac:dyDescent="0.2">
      <c r="A109" s="1607" t="s">
        <v>873</v>
      </c>
      <c r="B109" s="1607" t="s">
        <v>603</v>
      </c>
      <c r="C109" s="1607" t="s">
        <v>50</v>
      </c>
      <c r="D109" s="1607">
        <v>173</v>
      </c>
      <c r="E109" s="1607">
        <v>58</v>
      </c>
      <c r="F109" s="1607">
        <v>76</v>
      </c>
      <c r="G109" s="1607">
        <v>36</v>
      </c>
      <c r="H109" s="1607">
        <v>2</v>
      </c>
      <c r="I109" s="1607">
        <v>1</v>
      </c>
      <c r="J109" s="1607"/>
      <c r="K109" s="1607"/>
    </row>
    <row r="110" spans="1:11" x14ac:dyDescent="0.2">
      <c r="A110" s="1607" t="s">
        <v>873</v>
      </c>
      <c r="B110" s="1607" t="s">
        <v>603</v>
      </c>
      <c r="C110" s="1607" t="s">
        <v>51</v>
      </c>
      <c r="D110" s="1607">
        <v>269</v>
      </c>
      <c r="E110" s="1607">
        <v>102</v>
      </c>
      <c r="F110" s="1607">
        <v>125</v>
      </c>
      <c r="G110" s="1607">
        <v>37</v>
      </c>
      <c r="H110" s="1607">
        <v>2</v>
      </c>
      <c r="I110" s="1607">
        <v>1</v>
      </c>
      <c r="J110" s="1607">
        <v>2</v>
      </c>
      <c r="K110" s="1607"/>
    </row>
    <row r="111" spans="1:11" x14ac:dyDescent="0.2">
      <c r="A111" s="1607" t="s">
        <v>873</v>
      </c>
      <c r="B111" s="1607" t="s">
        <v>603</v>
      </c>
      <c r="C111" s="1607" t="s">
        <v>52</v>
      </c>
      <c r="D111" s="1607">
        <v>419</v>
      </c>
      <c r="E111" s="1607">
        <v>197</v>
      </c>
      <c r="F111" s="1607">
        <v>173</v>
      </c>
      <c r="G111" s="1607">
        <v>45</v>
      </c>
      <c r="H111" s="1607">
        <v>3</v>
      </c>
      <c r="I111" s="1607"/>
      <c r="J111" s="1607">
        <v>1</v>
      </c>
      <c r="K111" s="1607"/>
    </row>
    <row r="112" spans="1:11" x14ac:dyDescent="0.2">
      <c r="A112" s="1607" t="s">
        <v>872</v>
      </c>
      <c r="B112" s="1607" t="s">
        <v>160</v>
      </c>
      <c r="C112" s="1607" t="s">
        <v>23</v>
      </c>
      <c r="D112" s="1607">
        <v>441</v>
      </c>
      <c r="E112" s="1607">
        <v>401</v>
      </c>
      <c r="F112" s="1607">
        <v>26</v>
      </c>
      <c r="G112" s="1607">
        <v>14</v>
      </c>
      <c r="H112" s="1607"/>
      <c r="I112" s="1607"/>
      <c r="J112" s="1607"/>
      <c r="K112" s="1607"/>
    </row>
    <row r="113" spans="1:11" x14ac:dyDescent="0.2">
      <c r="A113" s="1607" t="s">
        <v>872</v>
      </c>
      <c r="B113" s="1607" t="s">
        <v>160</v>
      </c>
      <c r="C113" s="1607" t="s">
        <v>24</v>
      </c>
      <c r="D113" s="1607">
        <v>182</v>
      </c>
      <c r="E113" s="1607">
        <v>160</v>
      </c>
      <c r="F113" s="1607">
        <v>17</v>
      </c>
      <c r="G113" s="1607">
        <v>5</v>
      </c>
      <c r="H113" s="1607"/>
      <c r="I113" s="1607"/>
      <c r="J113" s="1607"/>
      <c r="K113" s="1607"/>
    </row>
    <row r="114" spans="1:11" x14ac:dyDescent="0.2">
      <c r="A114" s="1607" t="s">
        <v>872</v>
      </c>
      <c r="B114" s="1607" t="s">
        <v>160</v>
      </c>
      <c r="C114" s="1607" t="s">
        <v>25</v>
      </c>
      <c r="D114" s="1607">
        <v>147</v>
      </c>
      <c r="E114" s="1607">
        <v>136</v>
      </c>
      <c r="F114" s="1607">
        <v>10</v>
      </c>
      <c r="G114" s="1607">
        <v>1</v>
      </c>
      <c r="H114" s="1607"/>
      <c r="I114" s="1607"/>
      <c r="J114" s="1607"/>
      <c r="K114" s="1607"/>
    </row>
    <row r="115" spans="1:11" x14ac:dyDescent="0.2">
      <c r="A115" s="1607" t="s">
        <v>872</v>
      </c>
      <c r="B115" s="1607" t="s">
        <v>160</v>
      </c>
      <c r="C115" s="1607" t="s">
        <v>26</v>
      </c>
      <c r="D115" s="1607">
        <v>68</v>
      </c>
      <c r="E115" s="1607">
        <v>49</v>
      </c>
      <c r="F115" s="1607">
        <v>16</v>
      </c>
      <c r="G115" s="1607">
        <v>2</v>
      </c>
      <c r="H115" s="1607"/>
      <c r="I115" s="1607"/>
      <c r="J115" s="1607"/>
      <c r="K115" s="1607">
        <v>1</v>
      </c>
    </row>
    <row r="116" spans="1:11" x14ac:dyDescent="0.2">
      <c r="A116" s="1607" t="s">
        <v>872</v>
      </c>
      <c r="B116" s="1607" t="s">
        <v>160</v>
      </c>
      <c r="C116" s="1607" t="s">
        <v>27</v>
      </c>
      <c r="D116" s="1607">
        <v>102</v>
      </c>
      <c r="E116" s="1607">
        <v>86</v>
      </c>
      <c r="F116" s="1607">
        <v>8</v>
      </c>
      <c r="G116" s="1607">
        <v>2</v>
      </c>
      <c r="H116" s="1607"/>
      <c r="I116" s="1607"/>
      <c r="J116" s="1607"/>
      <c r="K116" s="1607">
        <v>6</v>
      </c>
    </row>
    <row r="117" spans="1:11" x14ac:dyDescent="0.2">
      <c r="A117" s="1607" t="s">
        <v>872</v>
      </c>
      <c r="B117" s="1607" t="s">
        <v>160</v>
      </c>
      <c r="C117" s="1607" t="s">
        <v>28</v>
      </c>
      <c r="D117" s="1607">
        <v>153</v>
      </c>
      <c r="E117" s="1607">
        <v>112</v>
      </c>
      <c r="F117" s="1607">
        <v>38</v>
      </c>
      <c r="G117" s="1607">
        <v>2</v>
      </c>
      <c r="H117" s="1607"/>
      <c r="I117" s="1607"/>
      <c r="J117" s="1607"/>
      <c r="K117" s="1607">
        <v>1</v>
      </c>
    </row>
    <row r="118" spans="1:11" x14ac:dyDescent="0.2">
      <c r="A118" s="1607" t="s">
        <v>872</v>
      </c>
      <c r="B118" s="1607" t="s">
        <v>160</v>
      </c>
      <c r="C118" s="1607" t="s">
        <v>29</v>
      </c>
      <c r="D118" s="1607">
        <v>671</v>
      </c>
      <c r="E118" s="1607">
        <v>619</v>
      </c>
      <c r="F118" s="1607">
        <v>42</v>
      </c>
      <c r="G118" s="1607">
        <v>6</v>
      </c>
      <c r="H118" s="1607">
        <v>2</v>
      </c>
      <c r="I118" s="1607"/>
      <c r="J118" s="1607"/>
      <c r="K118" s="1607">
        <v>2</v>
      </c>
    </row>
    <row r="119" spans="1:11" x14ac:dyDescent="0.2">
      <c r="A119" s="1607" t="s">
        <v>872</v>
      </c>
      <c r="B119" s="1607" t="s">
        <v>160</v>
      </c>
      <c r="C119" s="1607" t="s">
        <v>30</v>
      </c>
      <c r="D119" s="1607">
        <v>615</v>
      </c>
      <c r="E119" s="1607">
        <v>523</v>
      </c>
      <c r="F119" s="1607">
        <v>89</v>
      </c>
      <c r="G119" s="1607">
        <v>3</v>
      </c>
      <c r="H119" s="1607"/>
      <c r="I119" s="1607"/>
      <c r="J119" s="1607"/>
      <c r="K119" s="1607"/>
    </row>
    <row r="120" spans="1:11" x14ac:dyDescent="0.2">
      <c r="A120" s="1607" t="s">
        <v>872</v>
      </c>
      <c r="B120" s="1607" t="s">
        <v>160</v>
      </c>
      <c r="C120" s="1607" t="s">
        <v>31</v>
      </c>
      <c r="D120" s="1607">
        <v>171</v>
      </c>
      <c r="E120" s="1607">
        <v>145</v>
      </c>
      <c r="F120" s="1607">
        <v>23</v>
      </c>
      <c r="G120" s="1607">
        <v>3</v>
      </c>
      <c r="H120" s="1607"/>
      <c r="I120" s="1607"/>
      <c r="J120" s="1607"/>
      <c r="K120" s="1607"/>
    </row>
    <row r="121" spans="1:11" x14ac:dyDescent="0.2">
      <c r="A121" s="1607" t="s">
        <v>872</v>
      </c>
      <c r="B121" s="1607" t="s">
        <v>160</v>
      </c>
      <c r="C121" s="1607" t="s">
        <v>32</v>
      </c>
      <c r="D121" s="1607">
        <v>195</v>
      </c>
      <c r="E121" s="1607">
        <v>170</v>
      </c>
      <c r="F121" s="1607">
        <v>16</v>
      </c>
      <c r="G121" s="1607">
        <v>2</v>
      </c>
      <c r="H121" s="1607"/>
      <c r="I121" s="1607"/>
      <c r="J121" s="1607"/>
      <c r="K121" s="1607">
        <v>7</v>
      </c>
    </row>
    <row r="122" spans="1:11" x14ac:dyDescent="0.2">
      <c r="A122" s="1607" t="s">
        <v>872</v>
      </c>
      <c r="B122" s="1607" t="s">
        <v>160</v>
      </c>
      <c r="C122" s="1607" t="s">
        <v>33</v>
      </c>
      <c r="D122" s="1607">
        <v>147</v>
      </c>
      <c r="E122" s="1607">
        <v>126</v>
      </c>
      <c r="F122" s="1607">
        <v>15</v>
      </c>
      <c r="G122" s="1607">
        <v>6</v>
      </c>
      <c r="H122" s="1607"/>
      <c r="I122" s="1607"/>
      <c r="J122" s="1607"/>
      <c r="K122" s="1607"/>
    </row>
    <row r="123" spans="1:11" x14ac:dyDescent="0.2">
      <c r="A123" s="1607" t="s">
        <v>872</v>
      </c>
      <c r="B123" s="1607" t="s">
        <v>160</v>
      </c>
      <c r="C123" s="1607" t="s">
        <v>665</v>
      </c>
      <c r="D123" s="1607">
        <v>1889</v>
      </c>
      <c r="E123" s="1607">
        <v>1747</v>
      </c>
      <c r="F123" s="1607">
        <v>77</v>
      </c>
      <c r="G123" s="1607">
        <v>20</v>
      </c>
      <c r="H123" s="1607"/>
      <c r="I123" s="1607"/>
      <c r="J123" s="1607"/>
      <c r="K123" s="1607">
        <v>45</v>
      </c>
    </row>
    <row r="124" spans="1:11" x14ac:dyDescent="0.2">
      <c r="A124" s="1607" t="s">
        <v>872</v>
      </c>
      <c r="B124" s="1607" t="s">
        <v>160</v>
      </c>
      <c r="C124" s="1607" t="s">
        <v>34</v>
      </c>
      <c r="D124" s="1607">
        <v>341</v>
      </c>
      <c r="E124" s="1607">
        <v>308</v>
      </c>
      <c r="F124" s="1607">
        <v>17</v>
      </c>
      <c r="G124" s="1607">
        <v>1</v>
      </c>
      <c r="H124" s="1607"/>
      <c r="I124" s="1607"/>
      <c r="J124" s="1607"/>
      <c r="K124" s="1607">
        <v>15</v>
      </c>
    </row>
    <row r="125" spans="1:11" x14ac:dyDescent="0.2">
      <c r="A125" s="1607" t="s">
        <v>872</v>
      </c>
      <c r="B125" s="1607" t="s">
        <v>160</v>
      </c>
      <c r="C125" s="1607" t="s">
        <v>35</v>
      </c>
      <c r="D125" s="1607">
        <v>737</v>
      </c>
      <c r="E125" s="1607">
        <v>668</v>
      </c>
      <c r="F125" s="1607">
        <v>59</v>
      </c>
      <c r="G125" s="1607">
        <v>9</v>
      </c>
      <c r="H125" s="1607"/>
      <c r="I125" s="1607"/>
      <c r="J125" s="1607"/>
      <c r="K125" s="1607">
        <v>1</v>
      </c>
    </row>
    <row r="126" spans="1:11" x14ac:dyDescent="0.2">
      <c r="A126" s="1607" t="s">
        <v>872</v>
      </c>
      <c r="B126" s="1607" t="s">
        <v>160</v>
      </c>
      <c r="C126" s="1607" t="s">
        <v>36</v>
      </c>
      <c r="D126" s="1607">
        <v>2435</v>
      </c>
      <c r="E126" s="1607">
        <v>1980</v>
      </c>
      <c r="F126" s="1607">
        <v>349</v>
      </c>
      <c r="G126" s="1607">
        <v>102</v>
      </c>
      <c r="H126" s="1607"/>
      <c r="I126" s="1607"/>
      <c r="J126" s="1607"/>
      <c r="K126" s="1607">
        <v>4</v>
      </c>
    </row>
    <row r="127" spans="1:11" x14ac:dyDescent="0.2">
      <c r="A127" s="1607" t="s">
        <v>872</v>
      </c>
      <c r="B127" s="1607" t="s">
        <v>160</v>
      </c>
      <c r="C127" s="1607" t="s">
        <v>37</v>
      </c>
      <c r="D127" s="1607">
        <v>339</v>
      </c>
      <c r="E127" s="1607">
        <v>291</v>
      </c>
      <c r="F127" s="1607">
        <v>35</v>
      </c>
      <c r="G127" s="1607">
        <v>13</v>
      </c>
      <c r="H127" s="1607"/>
      <c r="I127" s="1607"/>
      <c r="J127" s="1607"/>
      <c r="K127" s="1607"/>
    </row>
    <row r="128" spans="1:11" x14ac:dyDescent="0.2">
      <c r="A128" s="1607" t="s">
        <v>872</v>
      </c>
      <c r="B128" s="1607" t="s">
        <v>160</v>
      </c>
      <c r="C128" s="1607" t="s">
        <v>38</v>
      </c>
      <c r="D128" s="1607">
        <v>405</v>
      </c>
      <c r="E128" s="1607">
        <v>355</v>
      </c>
      <c r="F128" s="1607">
        <v>39</v>
      </c>
      <c r="G128" s="1607">
        <v>11</v>
      </c>
      <c r="H128" s="1607"/>
      <c r="I128" s="1607"/>
      <c r="J128" s="1607"/>
      <c r="K128" s="1607"/>
    </row>
    <row r="129" spans="1:11" x14ac:dyDescent="0.2">
      <c r="A129" s="1607" t="s">
        <v>872</v>
      </c>
      <c r="B129" s="1607" t="s">
        <v>160</v>
      </c>
      <c r="C129" s="1607" t="s">
        <v>39</v>
      </c>
      <c r="D129" s="1607">
        <v>301</v>
      </c>
      <c r="E129" s="1607">
        <v>265</v>
      </c>
      <c r="F129" s="1607">
        <v>15</v>
      </c>
      <c r="G129" s="1607">
        <v>3</v>
      </c>
      <c r="H129" s="1607"/>
      <c r="I129" s="1607"/>
      <c r="J129" s="1607"/>
      <c r="K129" s="1607">
        <v>18</v>
      </c>
    </row>
    <row r="130" spans="1:11" x14ac:dyDescent="0.2">
      <c r="A130" s="1607" t="s">
        <v>872</v>
      </c>
      <c r="B130" s="1607" t="s">
        <v>160</v>
      </c>
      <c r="C130" s="1607" t="s">
        <v>40</v>
      </c>
      <c r="D130" s="1607">
        <v>94</v>
      </c>
      <c r="E130" s="1607">
        <v>83</v>
      </c>
      <c r="F130" s="1607">
        <v>7</v>
      </c>
      <c r="G130" s="1607">
        <v>3</v>
      </c>
      <c r="H130" s="1607">
        <v>1</v>
      </c>
      <c r="I130" s="1607"/>
      <c r="J130" s="1607"/>
      <c r="K130" s="1607"/>
    </row>
    <row r="131" spans="1:11" x14ac:dyDescent="0.2">
      <c r="A131" s="1607" t="s">
        <v>872</v>
      </c>
      <c r="B131" s="1607" t="s">
        <v>160</v>
      </c>
      <c r="C131" s="1607" t="s">
        <v>393</v>
      </c>
      <c r="D131" s="1607">
        <v>30</v>
      </c>
      <c r="E131" s="1607">
        <v>24</v>
      </c>
      <c r="F131" s="1607">
        <v>3</v>
      </c>
      <c r="G131" s="1607">
        <v>3</v>
      </c>
      <c r="H131" s="1607"/>
      <c r="I131" s="1607"/>
      <c r="J131" s="1607"/>
      <c r="K131" s="1607"/>
    </row>
    <row r="132" spans="1:11" x14ac:dyDescent="0.2">
      <c r="A132" s="1607" t="s">
        <v>872</v>
      </c>
      <c r="B132" s="1607" t="s">
        <v>160</v>
      </c>
      <c r="C132" s="1607" t="s">
        <v>41</v>
      </c>
      <c r="D132" s="1607">
        <v>507</v>
      </c>
      <c r="E132" s="1607">
        <v>437</v>
      </c>
      <c r="F132" s="1607">
        <v>69</v>
      </c>
      <c r="G132" s="1607">
        <v>1</v>
      </c>
      <c r="H132" s="1607"/>
      <c r="I132" s="1607"/>
      <c r="J132" s="1607"/>
      <c r="K132" s="1607"/>
    </row>
    <row r="133" spans="1:11" x14ac:dyDescent="0.2">
      <c r="A133" s="1607" t="s">
        <v>872</v>
      </c>
      <c r="B133" s="1607" t="s">
        <v>160</v>
      </c>
      <c r="C133" s="1607" t="s">
        <v>42</v>
      </c>
      <c r="D133" s="1607">
        <v>1540</v>
      </c>
      <c r="E133" s="1607">
        <v>1323</v>
      </c>
      <c r="F133" s="1607">
        <v>188</v>
      </c>
      <c r="G133" s="1607">
        <v>19</v>
      </c>
      <c r="H133" s="1607"/>
      <c r="I133" s="1607"/>
      <c r="J133" s="1607"/>
      <c r="K133" s="1607">
        <v>10</v>
      </c>
    </row>
    <row r="134" spans="1:11" x14ac:dyDescent="0.2">
      <c r="A134" s="1607" t="s">
        <v>872</v>
      </c>
      <c r="B134" s="1607" t="s">
        <v>160</v>
      </c>
      <c r="C134" s="1607" t="s">
        <v>43</v>
      </c>
      <c r="D134" s="1607">
        <v>13</v>
      </c>
      <c r="E134" s="1607">
        <v>11</v>
      </c>
      <c r="F134" s="1607">
        <v>2</v>
      </c>
      <c r="G134" s="1607"/>
      <c r="H134" s="1607"/>
      <c r="I134" s="1607"/>
      <c r="J134" s="1607"/>
      <c r="K134" s="1607"/>
    </row>
    <row r="135" spans="1:11" x14ac:dyDescent="0.2">
      <c r="A135" s="1607" t="s">
        <v>872</v>
      </c>
      <c r="B135" s="1607" t="s">
        <v>160</v>
      </c>
      <c r="C135" s="1607" t="s">
        <v>44</v>
      </c>
      <c r="D135" s="1607">
        <v>144</v>
      </c>
      <c r="E135" s="1607">
        <v>127</v>
      </c>
      <c r="F135" s="1607">
        <v>14</v>
      </c>
      <c r="G135" s="1607">
        <v>3</v>
      </c>
      <c r="H135" s="1607"/>
      <c r="I135" s="1607"/>
      <c r="J135" s="1607"/>
      <c r="K135" s="1607"/>
    </row>
    <row r="136" spans="1:11" x14ac:dyDescent="0.2">
      <c r="A136" s="1607" t="s">
        <v>872</v>
      </c>
      <c r="B136" s="1607" t="s">
        <v>160</v>
      </c>
      <c r="C136" s="1607" t="s">
        <v>45</v>
      </c>
      <c r="D136" s="1607">
        <v>566</v>
      </c>
      <c r="E136" s="1607">
        <v>472</v>
      </c>
      <c r="F136" s="1607">
        <v>83</v>
      </c>
      <c r="G136" s="1607">
        <v>11</v>
      </c>
      <c r="H136" s="1607"/>
      <c r="I136" s="1607"/>
      <c r="J136" s="1607"/>
      <c r="K136" s="1607"/>
    </row>
    <row r="137" spans="1:11" x14ac:dyDescent="0.2">
      <c r="A137" s="1607" t="s">
        <v>872</v>
      </c>
      <c r="B137" s="1607" t="s">
        <v>160</v>
      </c>
      <c r="C137" s="1607" t="s">
        <v>46</v>
      </c>
      <c r="D137" s="1607">
        <v>92</v>
      </c>
      <c r="E137" s="1607">
        <v>78</v>
      </c>
      <c r="F137" s="1607">
        <v>10</v>
      </c>
      <c r="G137" s="1607"/>
      <c r="H137" s="1607"/>
      <c r="I137" s="1607"/>
      <c r="J137" s="1607"/>
      <c r="K137" s="1607">
        <v>4</v>
      </c>
    </row>
    <row r="138" spans="1:11" x14ac:dyDescent="0.2">
      <c r="A138" s="1607" t="s">
        <v>872</v>
      </c>
      <c r="B138" s="1607" t="s">
        <v>160</v>
      </c>
      <c r="C138" s="1607" t="s">
        <v>47</v>
      </c>
      <c r="D138" s="1607">
        <v>11</v>
      </c>
      <c r="E138" s="1607">
        <v>7</v>
      </c>
      <c r="F138" s="1607">
        <v>1</v>
      </c>
      <c r="G138" s="1607">
        <v>3</v>
      </c>
      <c r="H138" s="1607"/>
      <c r="I138" s="1607"/>
      <c r="J138" s="1607"/>
      <c r="K138" s="1607"/>
    </row>
    <row r="139" spans="1:11" x14ac:dyDescent="0.2">
      <c r="A139" s="1607" t="s">
        <v>872</v>
      </c>
      <c r="B139" s="1607" t="s">
        <v>160</v>
      </c>
      <c r="C139" s="1607" t="s">
        <v>48</v>
      </c>
      <c r="D139" s="1607">
        <v>211</v>
      </c>
      <c r="E139" s="1607">
        <v>171</v>
      </c>
      <c r="F139" s="1607">
        <v>37</v>
      </c>
      <c r="G139" s="1607">
        <v>2</v>
      </c>
      <c r="H139" s="1607"/>
      <c r="I139" s="1607"/>
      <c r="J139" s="1607"/>
      <c r="K139" s="1607">
        <v>1</v>
      </c>
    </row>
    <row r="140" spans="1:11" x14ac:dyDescent="0.2">
      <c r="A140" s="1607" t="s">
        <v>872</v>
      </c>
      <c r="B140" s="1607" t="s">
        <v>160</v>
      </c>
      <c r="C140" s="1607" t="s">
        <v>49</v>
      </c>
      <c r="D140" s="1607">
        <v>906</v>
      </c>
      <c r="E140" s="1607">
        <v>788</v>
      </c>
      <c r="F140" s="1607">
        <v>110</v>
      </c>
      <c r="G140" s="1607">
        <v>8</v>
      </c>
      <c r="H140" s="1607"/>
      <c r="I140" s="1607"/>
      <c r="J140" s="1607"/>
      <c r="K140" s="1607"/>
    </row>
    <row r="141" spans="1:11" x14ac:dyDescent="0.2">
      <c r="A141" s="1607" t="s">
        <v>872</v>
      </c>
      <c r="B141" s="1607" t="s">
        <v>160</v>
      </c>
      <c r="C141" s="1607" t="s">
        <v>50</v>
      </c>
      <c r="D141" s="1607">
        <v>209</v>
      </c>
      <c r="E141" s="1607">
        <v>183</v>
      </c>
      <c r="F141" s="1607">
        <v>10</v>
      </c>
      <c r="G141" s="1607">
        <v>3</v>
      </c>
      <c r="H141" s="1607"/>
      <c r="I141" s="1607"/>
      <c r="J141" s="1607"/>
      <c r="K141" s="1607">
        <v>13</v>
      </c>
    </row>
    <row r="142" spans="1:11" x14ac:dyDescent="0.2">
      <c r="A142" s="1607" t="s">
        <v>872</v>
      </c>
      <c r="B142" s="1607" t="s">
        <v>160</v>
      </c>
      <c r="C142" s="1607" t="s">
        <v>51</v>
      </c>
      <c r="D142" s="1607">
        <v>312</v>
      </c>
      <c r="E142" s="1607">
        <v>250</v>
      </c>
      <c r="F142" s="1607">
        <v>54</v>
      </c>
      <c r="G142" s="1607">
        <v>8</v>
      </c>
      <c r="H142" s="1607"/>
      <c r="I142" s="1607"/>
      <c r="J142" s="1607"/>
      <c r="K142" s="1607"/>
    </row>
    <row r="143" spans="1:11" x14ac:dyDescent="0.2">
      <c r="A143" s="1607" t="s">
        <v>872</v>
      </c>
      <c r="B143" s="1607" t="s">
        <v>160</v>
      </c>
      <c r="C143" s="1607" t="s">
        <v>52</v>
      </c>
      <c r="D143" s="1607">
        <v>730</v>
      </c>
      <c r="E143" s="1607">
        <v>649</v>
      </c>
      <c r="F143" s="1607">
        <v>43</v>
      </c>
      <c r="G143" s="1607">
        <v>7</v>
      </c>
      <c r="H143" s="1607"/>
      <c r="I143" s="1607"/>
      <c r="J143" s="1607"/>
      <c r="K143" s="1607">
        <v>31</v>
      </c>
    </row>
    <row r="144" spans="1:11" x14ac:dyDescent="0.2">
      <c r="A144" s="1607" t="s">
        <v>872</v>
      </c>
      <c r="B144" s="1607" t="s">
        <v>379</v>
      </c>
      <c r="C144" s="1607" t="s">
        <v>23</v>
      </c>
      <c r="D144" s="1607">
        <v>314</v>
      </c>
      <c r="E144" s="1607">
        <v>295</v>
      </c>
      <c r="F144" s="1607">
        <v>16</v>
      </c>
      <c r="G144" s="1607">
        <v>3</v>
      </c>
      <c r="H144" s="1607"/>
      <c r="I144" s="1607"/>
      <c r="J144" s="1607"/>
      <c r="K144" s="1607"/>
    </row>
    <row r="145" spans="1:11" x14ac:dyDescent="0.2">
      <c r="A145" s="1607" t="s">
        <v>872</v>
      </c>
      <c r="B145" s="1607" t="s">
        <v>379</v>
      </c>
      <c r="C145" s="1607" t="s">
        <v>24</v>
      </c>
      <c r="D145" s="1607">
        <v>264</v>
      </c>
      <c r="E145" s="1607">
        <v>232</v>
      </c>
      <c r="F145" s="1607">
        <v>23</v>
      </c>
      <c r="G145" s="1607">
        <v>9</v>
      </c>
      <c r="H145" s="1607"/>
      <c r="I145" s="1607"/>
      <c r="J145" s="1607"/>
      <c r="K145" s="1607"/>
    </row>
    <row r="146" spans="1:11" x14ac:dyDescent="0.2">
      <c r="A146" s="1607" t="s">
        <v>872</v>
      </c>
      <c r="B146" s="1607" t="s">
        <v>379</v>
      </c>
      <c r="C146" s="1607" t="s">
        <v>25</v>
      </c>
      <c r="D146" s="1607">
        <v>126</v>
      </c>
      <c r="E146" s="1607">
        <v>110</v>
      </c>
      <c r="F146" s="1607">
        <v>12</v>
      </c>
      <c r="G146" s="1607">
        <v>4</v>
      </c>
      <c r="H146" s="1607"/>
      <c r="I146" s="1607"/>
      <c r="J146" s="1607"/>
      <c r="K146" s="1607"/>
    </row>
    <row r="147" spans="1:11" x14ac:dyDescent="0.2">
      <c r="A147" s="1607" t="s">
        <v>872</v>
      </c>
      <c r="B147" s="1607" t="s">
        <v>379</v>
      </c>
      <c r="C147" s="1607" t="s">
        <v>26</v>
      </c>
      <c r="D147" s="1607">
        <v>122</v>
      </c>
      <c r="E147" s="1607">
        <v>95</v>
      </c>
      <c r="F147" s="1607">
        <v>22</v>
      </c>
      <c r="G147" s="1607">
        <v>5</v>
      </c>
      <c r="H147" s="1607"/>
      <c r="I147" s="1607"/>
      <c r="J147" s="1607"/>
      <c r="K147" s="1607"/>
    </row>
    <row r="148" spans="1:11" x14ac:dyDescent="0.2">
      <c r="A148" s="1607" t="s">
        <v>872</v>
      </c>
      <c r="B148" s="1607" t="s">
        <v>379</v>
      </c>
      <c r="C148" s="1607" t="s">
        <v>27</v>
      </c>
      <c r="D148" s="1607">
        <v>84</v>
      </c>
      <c r="E148" s="1607">
        <v>79</v>
      </c>
      <c r="F148" s="1607">
        <v>5</v>
      </c>
      <c r="G148" s="1607"/>
      <c r="H148" s="1607"/>
      <c r="I148" s="1607"/>
      <c r="J148" s="1607"/>
      <c r="K148" s="1607"/>
    </row>
    <row r="149" spans="1:11" x14ac:dyDescent="0.2">
      <c r="A149" s="1607" t="s">
        <v>872</v>
      </c>
      <c r="B149" s="1607" t="s">
        <v>379</v>
      </c>
      <c r="C149" s="1607" t="s">
        <v>28</v>
      </c>
      <c r="D149" s="1607">
        <v>168</v>
      </c>
      <c r="E149" s="1607">
        <v>133</v>
      </c>
      <c r="F149" s="1607">
        <v>32</v>
      </c>
      <c r="G149" s="1607"/>
      <c r="H149" s="1607"/>
      <c r="I149" s="1607"/>
      <c r="J149" s="1607"/>
      <c r="K149" s="1607">
        <v>3</v>
      </c>
    </row>
    <row r="150" spans="1:11" x14ac:dyDescent="0.2">
      <c r="A150" s="1607" t="s">
        <v>872</v>
      </c>
      <c r="B150" s="1607" t="s">
        <v>379</v>
      </c>
      <c r="C150" s="1607" t="s">
        <v>29</v>
      </c>
      <c r="D150" s="1607">
        <v>816</v>
      </c>
      <c r="E150" s="1607">
        <v>776</v>
      </c>
      <c r="F150" s="1607">
        <v>35</v>
      </c>
      <c r="G150" s="1607">
        <v>5</v>
      </c>
      <c r="H150" s="1607"/>
      <c r="I150" s="1607"/>
      <c r="J150" s="1607"/>
      <c r="K150" s="1607"/>
    </row>
    <row r="151" spans="1:11" x14ac:dyDescent="0.2">
      <c r="A151" s="1607" t="s">
        <v>872</v>
      </c>
      <c r="B151" s="1607" t="s">
        <v>379</v>
      </c>
      <c r="C151" s="1607" t="s">
        <v>30</v>
      </c>
      <c r="D151" s="1607">
        <v>640</v>
      </c>
      <c r="E151" s="1607">
        <v>580</v>
      </c>
      <c r="F151" s="1607">
        <v>58</v>
      </c>
      <c r="G151" s="1607">
        <v>2</v>
      </c>
      <c r="H151" s="1607"/>
      <c r="I151" s="1607"/>
      <c r="J151" s="1607"/>
      <c r="K151" s="1607"/>
    </row>
    <row r="152" spans="1:11" x14ac:dyDescent="0.2">
      <c r="A152" s="1607" t="s">
        <v>872</v>
      </c>
      <c r="B152" s="1607" t="s">
        <v>379</v>
      </c>
      <c r="C152" s="1607" t="s">
        <v>31</v>
      </c>
      <c r="D152" s="1607">
        <v>180</v>
      </c>
      <c r="E152" s="1607">
        <v>151</v>
      </c>
      <c r="F152" s="1607">
        <v>27</v>
      </c>
      <c r="G152" s="1607">
        <v>2</v>
      </c>
      <c r="H152" s="1607"/>
      <c r="I152" s="1607"/>
      <c r="J152" s="1607"/>
      <c r="K152" s="1607"/>
    </row>
    <row r="153" spans="1:11" x14ac:dyDescent="0.2">
      <c r="A153" s="1607" t="s">
        <v>872</v>
      </c>
      <c r="B153" s="1607" t="s">
        <v>379</v>
      </c>
      <c r="C153" s="1607" t="s">
        <v>32</v>
      </c>
      <c r="D153" s="1607">
        <v>254</v>
      </c>
      <c r="E153" s="1607">
        <v>233</v>
      </c>
      <c r="F153" s="1607">
        <v>19</v>
      </c>
      <c r="G153" s="1607">
        <v>2</v>
      </c>
      <c r="H153" s="1607"/>
      <c r="I153" s="1607"/>
      <c r="J153" s="1607"/>
      <c r="K153" s="1607"/>
    </row>
    <row r="154" spans="1:11" x14ac:dyDescent="0.2">
      <c r="A154" s="1607" t="s">
        <v>872</v>
      </c>
      <c r="B154" s="1607" t="s">
        <v>379</v>
      </c>
      <c r="C154" s="1607" t="s">
        <v>33</v>
      </c>
      <c r="D154" s="1607">
        <v>152</v>
      </c>
      <c r="E154" s="1607">
        <v>124</v>
      </c>
      <c r="F154" s="1607">
        <v>21</v>
      </c>
      <c r="G154" s="1607">
        <v>5</v>
      </c>
      <c r="H154" s="1607">
        <v>2</v>
      </c>
      <c r="I154" s="1607"/>
      <c r="J154" s="1607"/>
      <c r="K154" s="1607"/>
    </row>
    <row r="155" spans="1:11" x14ac:dyDescent="0.2">
      <c r="A155" s="1607" t="s">
        <v>872</v>
      </c>
      <c r="B155" s="1607" t="s">
        <v>379</v>
      </c>
      <c r="C155" s="1607" t="s">
        <v>665</v>
      </c>
      <c r="D155" s="1607">
        <v>1873</v>
      </c>
      <c r="E155" s="1607">
        <v>1773</v>
      </c>
      <c r="F155" s="1607">
        <v>77</v>
      </c>
      <c r="G155" s="1607">
        <v>19</v>
      </c>
      <c r="H155" s="1607"/>
      <c r="I155" s="1607"/>
      <c r="J155" s="1607"/>
      <c r="K155" s="1607">
        <v>4</v>
      </c>
    </row>
    <row r="156" spans="1:11" x14ac:dyDescent="0.2">
      <c r="A156" s="1607" t="s">
        <v>872</v>
      </c>
      <c r="B156" s="1607" t="s">
        <v>379</v>
      </c>
      <c r="C156" s="1607" t="s">
        <v>34</v>
      </c>
      <c r="D156" s="1607">
        <v>411</v>
      </c>
      <c r="E156" s="1607">
        <v>384</v>
      </c>
      <c r="F156" s="1607">
        <v>25</v>
      </c>
      <c r="G156" s="1607">
        <v>2</v>
      </c>
      <c r="H156" s="1607"/>
      <c r="I156" s="1607"/>
      <c r="J156" s="1607"/>
      <c r="K156" s="1607"/>
    </row>
    <row r="157" spans="1:11" x14ac:dyDescent="0.2">
      <c r="A157" s="1607" t="s">
        <v>872</v>
      </c>
      <c r="B157" s="1607" t="s">
        <v>379</v>
      </c>
      <c r="C157" s="1607" t="s">
        <v>35</v>
      </c>
      <c r="D157" s="1607">
        <v>735</v>
      </c>
      <c r="E157" s="1607">
        <v>649</v>
      </c>
      <c r="F157" s="1607">
        <v>73</v>
      </c>
      <c r="G157" s="1607">
        <v>13</v>
      </c>
      <c r="H157" s="1607"/>
      <c r="I157" s="1607"/>
      <c r="J157" s="1607"/>
      <c r="K157" s="1607"/>
    </row>
    <row r="158" spans="1:11" x14ac:dyDescent="0.2">
      <c r="A158" s="1607" t="s">
        <v>872</v>
      </c>
      <c r="B158" s="1607" t="s">
        <v>379</v>
      </c>
      <c r="C158" s="1607" t="s">
        <v>36</v>
      </c>
      <c r="D158" s="1607">
        <v>2557</v>
      </c>
      <c r="E158" s="1607">
        <v>2212</v>
      </c>
      <c r="F158" s="1607">
        <v>232</v>
      </c>
      <c r="G158" s="1607">
        <v>112</v>
      </c>
      <c r="H158" s="1607"/>
      <c r="I158" s="1607"/>
      <c r="J158" s="1607"/>
      <c r="K158" s="1607">
        <v>1</v>
      </c>
    </row>
    <row r="159" spans="1:11" x14ac:dyDescent="0.2">
      <c r="A159" s="1607" t="s">
        <v>872</v>
      </c>
      <c r="B159" s="1607" t="s">
        <v>379</v>
      </c>
      <c r="C159" s="1607" t="s">
        <v>37</v>
      </c>
      <c r="D159" s="1607">
        <v>358</v>
      </c>
      <c r="E159" s="1607">
        <v>303</v>
      </c>
      <c r="F159" s="1607">
        <v>43</v>
      </c>
      <c r="G159" s="1607">
        <v>12</v>
      </c>
      <c r="H159" s="1607"/>
      <c r="I159" s="1607"/>
      <c r="J159" s="1607"/>
      <c r="K159" s="1607"/>
    </row>
    <row r="160" spans="1:11" x14ac:dyDescent="0.2">
      <c r="A160" s="1607" t="s">
        <v>872</v>
      </c>
      <c r="B160" s="1607" t="s">
        <v>379</v>
      </c>
      <c r="C160" s="1607" t="s">
        <v>38</v>
      </c>
      <c r="D160" s="1607">
        <v>569</v>
      </c>
      <c r="E160" s="1607">
        <v>501</v>
      </c>
      <c r="F160" s="1607">
        <v>51</v>
      </c>
      <c r="G160" s="1607">
        <v>16</v>
      </c>
      <c r="H160" s="1607"/>
      <c r="I160" s="1607"/>
      <c r="J160" s="1607"/>
      <c r="K160" s="1607">
        <v>1</v>
      </c>
    </row>
    <row r="161" spans="1:11" x14ac:dyDescent="0.2">
      <c r="A161" s="1607" t="s">
        <v>872</v>
      </c>
      <c r="B161" s="1607" t="s">
        <v>379</v>
      </c>
      <c r="C161" s="1607" t="s">
        <v>39</v>
      </c>
      <c r="D161" s="1607">
        <v>371</v>
      </c>
      <c r="E161" s="1607">
        <v>355</v>
      </c>
      <c r="F161" s="1607">
        <v>13</v>
      </c>
      <c r="G161" s="1607">
        <v>3</v>
      </c>
      <c r="H161" s="1607"/>
      <c r="I161" s="1607"/>
      <c r="J161" s="1607"/>
      <c r="K161" s="1607"/>
    </row>
    <row r="162" spans="1:11" x14ac:dyDescent="0.2">
      <c r="A162" s="1607" t="s">
        <v>872</v>
      </c>
      <c r="B162" s="1607" t="s">
        <v>379</v>
      </c>
      <c r="C162" s="1607" t="s">
        <v>40</v>
      </c>
      <c r="D162" s="1607">
        <v>127</v>
      </c>
      <c r="E162" s="1607">
        <v>111</v>
      </c>
      <c r="F162" s="1607">
        <v>10</v>
      </c>
      <c r="G162" s="1607">
        <v>6</v>
      </c>
      <c r="H162" s="1607"/>
      <c r="I162" s="1607"/>
      <c r="J162" s="1607"/>
      <c r="K162" s="1607"/>
    </row>
    <row r="163" spans="1:11" x14ac:dyDescent="0.2">
      <c r="A163" s="1607" t="s">
        <v>872</v>
      </c>
      <c r="B163" s="1607" t="s">
        <v>379</v>
      </c>
      <c r="C163" s="1607" t="s">
        <v>393</v>
      </c>
      <c r="D163" s="1607">
        <v>52</v>
      </c>
      <c r="E163" s="1607">
        <v>40</v>
      </c>
      <c r="F163" s="1607">
        <v>10</v>
      </c>
      <c r="G163" s="1607">
        <v>2</v>
      </c>
      <c r="H163" s="1607"/>
      <c r="I163" s="1607"/>
      <c r="J163" s="1607"/>
      <c r="K163" s="1607"/>
    </row>
    <row r="164" spans="1:11" x14ac:dyDescent="0.2">
      <c r="A164" s="1607" t="s">
        <v>872</v>
      </c>
      <c r="B164" s="1607" t="s">
        <v>379</v>
      </c>
      <c r="C164" s="1607" t="s">
        <v>41</v>
      </c>
      <c r="D164" s="1607">
        <v>621</v>
      </c>
      <c r="E164" s="1607">
        <v>551</v>
      </c>
      <c r="F164" s="1607">
        <v>61</v>
      </c>
      <c r="G164" s="1607">
        <v>9</v>
      </c>
      <c r="H164" s="1607"/>
      <c r="I164" s="1607"/>
      <c r="J164" s="1607"/>
      <c r="K164" s="1607"/>
    </row>
    <row r="165" spans="1:11" x14ac:dyDescent="0.2">
      <c r="A165" s="1607" t="s">
        <v>872</v>
      </c>
      <c r="B165" s="1607" t="s">
        <v>379</v>
      </c>
      <c r="C165" s="1607" t="s">
        <v>42</v>
      </c>
      <c r="D165" s="1607">
        <v>1484</v>
      </c>
      <c r="E165" s="1607">
        <v>1315</v>
      </c>
      <c r="F165" s="1607">
        <v>152</v>
      </c>
      <c r="G165" s="1607">
        <v>17</v>
      </c>
      <c r="H165" s="1607"/>
      <c r="I165" s="1607"/>
      <c r="J165" s="1607"/>
      <c r="K165" s="1607"/>
    </row>
    <row r="166" spans="1:11" x14ac:dyDescent="0.2">
      <c r="A166" s="1607" t="s">
        <v>872</v>
      </c>
      <c r="B166" s="1607" t="s">
        <v>379</v>
      </c>
      <c r="C166" s="1607" t="s">
        <v>43</v>
      </c>
      <c r="D166" s="1607">
        <v>10</v>
      </c>
      <c r="E166" s="1607">
        <v>8</v>
      </c>
      <c r="F166" s="1607">
        <v>2</v>
      </c>
      <c r="G166" s="1607"/>
      <c r="H166" s="1607"/>
      <c r="I166" s="1607"/>
      <c r="J166" s="1607"/>
      <c r="K166" s="1607"/>
    </row>
    <row r="167" spans="1:11" x14ac:dyDescent="0.2">
      <c r="A167" s="1607" t="s">
        <v>872</v>
      </c>
      <c r="B167" s="1607" t="s">
        <v>379</v>
      </c>
      <c r="C167" s="1607" t="s">
        <v>44</v>
      </c>
      <c r="D167" s="1607">
        <v>141</v>
      </c>
      <c r="E167" s="1607">
        <v>122</v>
      </c>
      <c r="F167" s="1607">
        <v>16</v>
      </c>
      <c r="G167" s="1607">
        <v>2</v>
      </c>
      <c r="H167" s="1607">
        <v>1</v>
      </c>
      <c r="I167" s="1607"/>
      <c r="J167" s="1607"/>
      <c r="K167" s="1607"/>
    </row>
    <row r="168" spans="1:11" x14ac:dyDescent="0.2">
      <c r="A168" s="1607" t="s">
        <v>872</v>
      </c>
      <c r="B168" s="1607" t="s">
        <v>379</v>
      </c>
      <c r="C168" s="1607" t="s">
        <v>45</v>
      </c>
      <c r="D168" s="1607">
        <v>693</v>
      </c>
      <c r="E168" s="1607">
        <v>579</v>
      </c>
      <c r="F168" s="1607">
        <v>91</v>
      </c>
      <c r="G168" s="1607">
        <v>23</v>
      </c>
      <c r="H168" s="1607"/>
      <c r="I168" s="1607"/>
      <c r="J168" s="1607"/>
      <c r="K168" s="1607"/>
    </row>
    <row r="169" spans="1:11" x14ac:dyDescent="0.2">
      <c r="A169" s="1607" t="s">
        <v>872</v>
      </c>
      <c r="B169" s="1607" t="s">
        <v>379</v>
      </c>
      <c r="C169" s="1607" t="s">
        <v>46</v>
      </c>
      <c r="D169" s="1607">
        <v>102</v>
      </c>
      <c r="E169" s="1607">
        <v>83</v>
      </c>
      <c r="F169" s="1607">
        <v>16</v>
      </c>
      <c r="G169" s="1607">
        <v>2</v>
      </c>
      <c r="H169" s="1607"/>
      <c r="I169" s="1607"/>
      <c r="J169" s="1607"/>
      <c r="K169" s="1607">
        <v>1</v>
      </c>
    </row>
    <row r="170" spans="1:11" x14ac:dyDescent="0.2">
      <c r="A170" s="1607" t="s">
        <v>872</v>
      </c>
      <c r="B170" s="1607" t="s">
        <v>379</v>
      </c>
      <c r="C170" s="1607" t="s">
        <v>47</v>
      </c>
      <c r="D170" s="1607">
        <v>5</v>
      </c>
      <c r="E170" s="1607">
        <v>5</v>
      </c>
      <c r="F170" s="1607"/>
      <c r="G170" s="1607"/>
      <c r="H170" s="1607"/>
      <c r="I170" s="1607"/>
      <c r="J170" s="1607"/>
      <c r="K170" s="1607"/>
    </row>
    <row r="171" spans="1:11" x14ac:dyDescent="0.2">
      <c r="A171" s="1607" t="s">
        <v>872</v>
      </c>
      <c r="B171" s="1607" t="s">
        <v>379</v>
      </c>
      <c r="C171" s="1607" t="s">
        <v>48</v>
      </c>
      <c r="D171" s="1607">
        <v>231</v>
      </c>
      <c r="E171" s="1607">
        <v>205</v>
      </c>
      <c r="F171" s="1607">
        <v>25</v>
      </c>
      <c r="G171" s="1607">
        <v>1</v>
      </c>
      <c r="H171" s="1607"/>
      <c r="I171" s="1607"/>
      <c r="J171" s="1607"/>
      <c r="K171" s="1607"/>
    </row>
    <row r="172" spans="1:11" x14ac:dyDescent="0.2">
      <c r="A172" s="1607" t="s">
        <v>872</v>
      </c>
      <c r="B172" s="1607" t="s">
        <v>379</v>
      </c>
      <c r="C172" s="1607" t="s">
        <v>49</v>
      </c>
      <c r="D172" s="1607">
        <v>891</v>
      </c>
      <c r="E172" s="1607">
        <v>779</v>
      </c>
      <c r="F172" s="1607">
        <v>98</v>
      </c>
      <c r="G172" s="1607">
        <v>13</v>
      </c>
      <c r="H172" s="1607"/>
      <c r="I172" s="1607"/>
      <c r="J172" s="1607"/>
      <c r="K172" s="1607">
        <v>1</v>
      </c>
    </row>
    <row r="173" spans="1:11" x14ac:dyDescent="0.2">
      <c r="A173" s="1607" t="s">
        <v>872</v>
      </c>
      <c r="B173" s="1607" t="s">
        <v>379</v>
      </c>
      <c r="C173" s="1607" t="s">
        <v>50</v>
      </c>
      <c r="D173" s="1607">
        <v>183</v>
      </c>
      <c r="E173" s="1607">
        <v>167</v>
      </c>
      <c r="F173" s="1607">
        <v>14</v>
      </c>
      <c r="G173" s="1607">
        <v>2</v>
      </c>
      <c r="H173" s="1607"/>
      <c r="I173" s="1607"/>
      <c r="J173" s="1607"/>
      <c r="K173" s="1607"/>
    </row>
    <row r="174" spans="1:11" x14ac:dyDescent="0.2">
      <c r="A174" s="1607" t="s">
        <v>872</v>
      </c>
      <c r="B174" s="1607" t="s">
        <v>379</v>
      </c>
      <c r="C174" s="1607" t="s">
        <v>51</v>
      </c>
      <c r="D174" s="1607">
        <v>424</v>
      </c>
      <c r="E174" s="1607">
        <v>361</v>
      </c>
      <c r="F174" s="1607">
        <v>44</v>
      </c>
      <c r="G174" s="1607">
        <v>18</v>
      </c>
      <c r="H174" s="1607"/>
      <c r="I174" s="1607"/>
      <c r="J174" s="1607"/>
      <c r="K174" s="1607">
        <v>1</v>
      </c>
    </row>
    <row r="175" spans="1:11" x14ac:dyDescent="0.2">
      <c r="A175" s="1607" t="s">
        <v>872</v>
      </c>
      <c r="B175" s="1607" t="s">
        <v>379</v>
      </c>
      <c r="C175" s="1607" t="s">
        <v>52</v>
      </c>
      <c r="D175" s="1607">
        <v>680</v>
      </c>
      <c r="E175" s="1607">
        <v>632</v>
      </c>
      <c r="F175" s="1607">
        <v>44</v>
      </c>
      <c r="G175" s="1607">
        <v>4</v>
      </c>
      <c r="H175" s="1607"/>
      <c r="I175" s="1607"/>
      <c r="J175" s="1607"/>
      <c r="K175" s="1607"/>
    </row>
    <row r="176" spans="1:11" x14ac:dyDescent="0.2">
      <c r="A176" s="1607" t="s">
        <v>872</v>
      </c>
      <c r="B176" s="1607" t="s">
        <v>603</v>
      </c>
      <c r="C176" s="1607" t="s">
        <v>23</v>
      </c>
      <c r="D176" s="1607">
        <v>340</v>
      </c>
      <c r="E176" s="1607">
        <v>316</v>
      </c>
      <c r="F176" s="1607">
        <v>18</v>
      </c>
      <c r="G176" s="1607">
        <v>6</v>
      </c>
      <c r="H176" s="1607"/>
      <c r="I176" s="1607"/>
      <c r="J176" s="1607"/>
      <c r="K176" s="1607"/>
    </row>
    <row r="177" spans="1:11" x14ac:dyDescent="0.2">
      <c r="A177" s="1607" t="s">
        <v>872</v>
      </c>
      <c r="B177" s="1607" t="s">
        <v>603</v>
      </c>
      <c r="C177" s="1607" t="s">
        <v>24</v>
      </c>
      <c r="D177" s="1607">
        <v>214</v>
      </c>
      <c r="E177" s="1607">
        <v>183</v>
      </c>
      <c r="F177" s="1607">
        <v>26</v>
      </c>
      <c r="G177" s="1607">
        <v>5</v>
      </c>
      <c r="H177" s="1607"/>
      <c r="I177" s="1607"/>
      <c r="J177" s="1607"/>
      <c r="K177" s="1607"/>
    </row>
    <row r="178" spans="1:11" x14ac:dyDescent="0.2">
      <c r="A178" s="1607" t="s">
        <v>872</v>
      </c>
      <c r="B178" s="1607" t="s">
        <v>603</v>
      </c>
      <c r="C178" s="1607" t="s">
        <v>25</v>
      </c>
      <c r="D178" s="1607">
        <v>179</v>
      </c>
      <c r="E178" s="1607">
        <v>161</v>
      </c>
      <c r="F178" s="1607">
        <v>11</v>
      </c>
      <c r="G178" s="1607">
        <v>7</v>
      </c>
      <c r="H178" s="1607"/>
      <c r="I178" s="1607"/>
      <c r="J178" s="1607"/>
      <c r="K178" s="1607"/>
    </row>
    <row r="179" spans="1:11" x14ac:dyDescent="0.2">
      <c r="A179" s="1607" t="s">
        <v>872</v>
      </c>
      <c r="B179" s="1607" t="s">
        <v>603</v>
      </c>
      <c r="C179" s="1607" t="s">
        <v>26</v>
      </c>
      <c r="D179" s="1607">
        <v>81</v>
      </c>
      <c r="E179" s="1607">
        <v>57</v>
      </c>
      <c r="F179" s="1607">
        <v>22</v>
      </c>
      <c r="G179" s="1607">
        <v>2</v>
      </c>
      <c r="H179" s="1607"/>
      <c r="I179" s="1607"/>
      <c r="J179" s="1607"/>
      <c r="K179" s="1607"/>
    </row>
    <row r="180" spans="1:11" x14ac:dyDescent="0.2">
      <c r="A180" s="1607" t="s">
        <v>872</v>
      </c>
      <c r="B180" s="1607" t="s">
        <v>603</v>
      </c>
      <c r="C180" s="1607" t="s">
        <v>27</v>
      </c>
      <c r="D180" s="1607">
        <v>108</v>
      </c>
      <c r="E180" s="1607">
        <v>94</v>
      </c>
      <c r="F180" s="1607">
        <v>13</v>
      </c>
      <c r="G180" s="1607">
        <v>1</v>
      </c>
      <c r="H180" s="1607"/>
      <c r="I180" s="1607"/>
      <c r="J180" s="1607"/>
      <c r="K180" s="1607"/>
    </row>
    <row r="181" spans="1:11" x14ac:dyDescent="0.2">
      <c r="A181" s="1607" t="s">
        <v>872</v>
      </c>
      <c r="B181" s="1607" t="s">
        <v>603</v>
      </c>
      <c r="C181" s="1607" t="s">
        <v>28</v>
      </c>
      <c r="D181" s="1607">
        <v>177</v>
      </c>
      <c r="E181" s="1607">
        <v>140</v>
      </c>
      <c r="F181" s="1607">
        <v>29</v>
      </c>
      <c r="G181" s="1607">
        <v>3</v>
      </c>
      <c r="H181" s="1607"/>
      <c r="I181" s="1607"/>
      <c r="J181" s="1607"/>
      <c r="K181" s="1607">
        <v>5</v>
      </c>
    </row>
    <row r="182" spans="1:11" x14ac:dyDescent="0.2">
      <c r="A182" s="1607" t="s">
        <v>872</v>
      </c>
      <c r="B182" s="1607" t="s">
        <v>603</v>
      </c>
      <c r="C182" s="1607" t="s">
        <v>29</v>
      </c>
      <c r="D182" s="1607">
        <v>772</v>
      </c>
      <c r="E182" s="1607">
        <v>742</v>
      </c>
      <c r="F182" s="1607">
        <v>24</v>
      </c>
      <c r="G182" s="1607">
        <v>5</v>
      </c>
      <c r="H182" s="1607"/>
      <c r="I182" s="1607"/>
      <c r="J182" s="1607"/>
      <c r="K182" s="1607">
        <v>1</v>
      </c>
    </row>
    <row r="183" spans="1:11" x14ac:dyDescent="0.2">
      <c r="A183" s="1607" t="s">
        <v>872</v>
      </c>
      <c r="B183" s="1607" t="s">
        <v>603</v>
      </c>
      <c r="C183" s="1607" t="s">
        <v>30</v>
      </c>
      <c r="D183" s="1607">
        <v>591</v>
      </c>
      <c r="E183" s="1607">
        <v>512</v>
      </c>
      <c r="F183" s="1607">
        <v>76</v>
      </c>
      <c r="G183" s="1607">
        <v>3</v>
      </c>
      <c r="H183" s="1607"/>
      <c r="I183" s="1607"/>
      <c r="J183" s="1607"/>
      <c r="K183" s="1607"/>
    </row>
    <row r="184" spans="1:11" x14ac:dyDescent="0.2">
      <c r="A184" s="1607" t="s">
        <v>872</v>
      </c>
      <c r="B184" s="1607" t="s">
        <v>603</v>
      </c>
      <c r="C184" s="1607" t="s">
        <v>31</v>
      </c>
      <c r="D184" s="1607">
        <v>175</v>
      </c>
      <c r="E184" s="1607">
        <v>157</v>
      </c>
      <c r="F184" s="1607">
        <v>17</v>
      </c>
      <c r="G184" s="1607">
        <v>1</v>
      </c>
      <c r="H184" s="1607"/>
      <c r="I184" s="1607"/>
      <c r="J184" s="1607"/>
      <c r="K184" s="1607"/>
    </row>
    <row r="185" spans="1:11" x14ac:dyDescent="0.2">
      <c r="A185" s="1607" t="s">
        <v>872</v>
      </c>
      <c r="B185" s="1607" t="s">
        <v>603</v>
      </c>
      <c r="C185" s="1607" t="s">
        <v>32</v>
      </c>
      <c r="D185" s="1607">
        <v>243</v>
      </c>
      <c r="E185" s="1607">
        <v>224</v>
      </c>
      <c r="F185" s="1607">
        <v>19</v>
      </c>
      <c r="G185" s="1607"/>
      <c r="H185" s="1607"/>
      <c r="I185" s="1607"/>
      <c r="J185" s="1607"/>
      <c r="K185" s="1607"/>
    </row>
    <row r="186" spans="1:11" x14ac:dyDescent="0.2">
      <c r="A186" s="1607" t="s">
        <v>872</v>
      </c>
      <c r="B186" s="1607" t="s">
        <v>603</v>
      </c>
      <c r="C186" s="1607" t="s">
        <v>33</v>
      </c>
      <c r="D186" s="1607">
        <v>165</v>
      </c>
      <c r="E186" s="1607">
        <v>129</v>
      </c>
      <c r="F186" s="1607">
        <v>28</v>
      </c>
      <c r="G186" s="1607">
        <v>8</v>
      </c>
      <c r="H186" s="1607"/>
      <c r="I186" s="1607"/>
      <c r="J186" s="1607"/>
      <c r="K186" s="1607"/>
    </row>
    <row r="187" spans="1:11" x14ac:dyDescent="0.2">
      <c r="A187" s="1607" t="s">
        <v>872</v>
      </c>
      <c r="B187" s="1607" t="s">
        <v>603</v>
      </c>
      <c r="C187" s="1607" t="s">
        <v>665</v>
      </c>
      <c r="D187" s="1607">
        <v>1784</v>
      </c>
      <c r="E187" s="1607">
        <v>1670</v>
      </c>
      <c r="F187" s="1607">
        <v>85</v>
      </c>
      <c r="G187" s="1607">
        <v>28</v>
      </c>
      <c r="H187" s="1607"/>
      <c r="I187" s="1607"/>
      <c r="J187" s="1607"/>
      <c r="K187" s="1607">
        <v>1</v>
      </c>
    </row>
    <row r="188" spans="1:11" x14ac:dyDescent="0.2">
      <c r="A188" s="1607" t="s">
        <v>872</v>
      </c>
      <c r="B188" s="1607" t="s">
        <v>603</v>
      </c>
      <c r="C188" s="1607" t="s">
        <v>34</v>
      </c>
      <c r="D188" s="1607">
        <v>427</v>
      </c>
      <c r="E188" s="1607">
        <v>384</v>
      </c>
      <c r="F188" s="1607">
        <v>37</v>
      </c>
      <c r="G188" s="1607">
        <v>5</v>
      </c>
      <c r="H188" s="1607"/>
      <c r="I188" s="1607"/>
      <c r="J188" s="1607"/>
      <c r="K188" s="1607">
        <v>1</v>
      </c>
    </row>
    <row r="189" spans="1:11" x14ac:dyDescent="0.2">
      <c r="A189" s="1607" t="s">
        <v>872</v>
      </c>
      <c r="B189" s="1607" t="s">
        <v>603</v>
      </c>
      <c r="C189" s="1607" t="s">
        <v>35</v>
      </c>
      <c r="D189" s="1607">
        <v>942</v>
      </c>
      <c r="E189" s="1607">
        <v>813</v>
      </c>
      <c r="F189" s="1607">
        <v>118</v>
      </c>
      <c r="G189" s="1607">
        <v>10</v>
      </c>
      <c r="H189" s="1607"/>
      <c r="I189" s="1607"/>
      <c r="J189" s="1607"/>
      <c r="K189" s="1607">
        <v>1</v>
      </c>
    </row>
    <row r="190" spans="1:11" x14ac:dyDescent="0.2">
      <c r="A190" s="1607" t="s">
        <v>872</v>
      </c>
      <c r="B190" s="1607" t="s">
        <v>603</v>
      </c>
      <c r="C190" s="1607" t="s">
        <v>36</v>
      </c>
      <c r="D190" s="1607">
        <v>2350</v>
      </c>
      <c r="E190" s="1607">
        <v>2009</v>
      </c>
      <c r="F190" s="1607">
        <v>220</v>
      </c>
      <c r="G190" s="1607">
        <v>120</v>
      </c>
      <c r="H190" s="1607"/>
      <c r="I190" s="1607"/>
      <c r="J190" s="1607"/>
      <c r="K190" s="1607">
        <v>1</v>
      </c>
    </row>
    <row r="191" spans="1:11" x14ac:dyDescent="0.2">
      <c r="A191" s="1607" t="s">
        <v>872</v>
      </c>
      <c r="B191" s="1607" t="s">
        <v>603</v>
      </c>
      <c r="C191" s="1607" t="s">
        <v>37</v>
      </c>
      <c r="D191" s="1607">
        <v>468</v>
      </c>
      <c r="E191" s="1607">
        <v>369</v>
      </c>
      <c r="F191" s="1607">
        <v>72</v>
      </c>
      <c r="G191" s="1607">
        <v>27</v>
      </c>
      <c r="H191" s="1607"/>
      <c r="I191" s="1607"/>
      <c r="J191" s="1607"/>
      <c r="K191" s="1607"/>
    </row>
    <row r="192" spans="1:11" x14ac:dyDescent="0.2">
      <c r="A192" s="1607" t="s">
        <v>872</v>
      </c>
      <c r="B192" s="1607" t="s">
        <v>603</v>
      </c>
      <c r="C192" s="1607" t="s">
        <v>38</v>
      </c>
      <c r="D192" s="1607">
        <v>348</v>
      </c>
      <c r="E192" s="1607">
        <v>306</v>
      </c>
      <c r="F192" s="1607">
        <v>37</v>
      </c>
      <c r="G192" s="1607">
        <v>5</v>
      </c>
      <c r="H192" s="1607"/>
      <c r="I192" s="1607"/>
      <c r="J192" s="1607"/>
      <c r="K192" s="1607"/>
    </row>
    <row r="193" spans="1:11" x14ac:dyDescent="0.2">
      <c r="A193" s="1607" t="s">
        <v>872</v>
      </c>
      <c r="B193" s="1607" t="s">
        <v>603</v>
      </c>
      <c r="C193" s="1607" t="s">
        <v>39</v>
      </c>
      <c r="D193" s="1607">
        <v>389</v>
      </c>
      <c r="E193" s="1607">
        <v>367</v>
      </c>
      <c r="F193" s="1607">
        <v>21</v>
      </c>
      <c r="G193" s="1607">
        <v>1</v>
      </c>
      <c r="H193" s="1607"/>
      <c r="I193" s="1607"/>
      <c r="J193" s="1607"/>
      <c r="K193" s="1607"/>
    </row>
    <row r="194" spans="1:11" x14ac:dyDescent="0.2">
      <c r="A194" s="1607" t="s">
        <v>872</v>
      </c>
      <c r="B194" s="1607" t="s">
        <v>603</v>
      </c>
      <c r="C194" s="1607" t="s">
        <v>40</v>
      </c>
      <c r="D194" s="1607">
        <v>82</v>
      </c>
      <c r="E194" s="1607">
        <v>66</v>
      </c>
      <c r="F194" s="1607">
        <v>12</v>
      </c>
      <c r="G194" s="1607">
        <v>4</v>
      </c>
      <c r="H194" s="1607"/>
      <c r="I194" s="1607"/>
      <c r="J194" s="1607"/>
      <c r="K194" s="1607"/>
    </row>
    <row r="195" spans="1:11" x14ac:dyDescent="0.2">
      <c r="A195" s="1607" t="s">
        <v>872</v>
      </c>
      <c r="B195" s="1607" t="s">
        <v>603</v>
      </c>
      <c r="C195" s="1607" t="s">
        <v>393</v>
      </c>
      <c r="D195" s="1607">
        <v>65</v>
      </c>
      <c r="E195" s="1607">
        <v>50</v>
      </c>
      <c r="F195" s="1607">
        <v>11</v>
      </c>
      <c r="G195" s="1607">
        <v>4</v>
      </c>
      <c r="H195" s="1607"/>
      <c r="I195" s="1607"/>
      <c r="J195" s="1607"/>
      <c r="K195" s="1607"/>
    </row>
    <row r="196" spans="1:11" x14ac:dyDescent="0.2">
      <c r="A196" s="1607" t="s">
        <v>872</v>
      </c>
      <c r="B196" s="1607" t="s">
        <v>603</v>
      </c>
      <c r="C196" s="1607" t="s">
        <v>41</v>
      </c>
      <c r="D196" s="1607">
        <v>569</v>
      </c>
      <c r="E196" s="1607">
        <v>500</v>
      </c>
      <c r="F196" s="1607">
        <v>56</v>
      </c>
      <c r="G196" s="1607">
        <v>13</v>
      </c>
      <c r="H196" s="1607"/>
      <c r="I196" s="1607"/>
      <c r="J196" s="1607"/>
      <c r="K196" s="1607"/>
    </row>
    <row r="197" spans="1:11" x14ac:dyDescent="0.2">
      <c r="A197" s="1607" t="s">
        <v>872</v>
      </c>
      <c r="B197" s="1607" t="s">
        <v>603</v>
      </c>
      <c r="C197" s="1607" t="s">
        <v>42</v>
      </c>
      <c r="D197" s="1607">
        <v>1206</v>
      </c>
      <c r="E197" s="1607">
        <v>1036</v>
      </c>
      <c r="F197" s="1607">
        <v>145</v>
      </c>
      <c r="G197" s="1607">
        <v>25</v>
      </c>
      <c r="H197" s="1607"/>
      <c r="I197" s="1607"/>
      <c r="J197" s="1607"/>
      <c r="K197" s="1607"/>
    </row>
    <row r="198" spans="1:11" x14ac:dyDescent="0.2">
      <c r="A198" s="1607" t="s">
        <v>872</v>
      </c>
      <c r="B198" s="1607" t="s">
        <v>603</v>
      </c>
      <c r="C198" s="1607" t="s">
        <v>43</v>
      </c>
      <c r="D198" s="1607">
        <v>9</v>
      </c>
      <c r="E198" s="1607">
        <v>9</v>
      </c>
      <c r="F198" s="1607"/>
      <c r="G198" s="1607"/>
      <c r="H198" s="1607"/>
      <c r="I198" s="1607"/>
      <c r="J198" s="1607"/>
      <c r="K198" s="1607"/>
    </row>
    <row r="199" spans="1:11" x14ac:dyDescent="0.2">
      <c r="A199" s="1607" t="s">
        <v>872</v>
      </c>
      <c r="B199" s="1607" t="s">
        <v>603</v>
      </c>
      <c r="C199" s="1607" t="s">
        <v>44</v>
      </c>
      <c r="D199" s="1607">
        <v>177</v>
      </c>
      <c r="E199" s="1607">
        <v>163</v>
      </c>
      <c r="F199" s="1607">
        <v>11</v>
      </c>
      <c r="G199" s="1607">
        <v>3</v>
      </c>
      <c r="H199" s="1607"/>
      <c r="I199" s="1607"/>
      <c r="J199" s="1607"/>
      <c r="K199" s="1607"/>
    </row>
    <row r="200" spans="1:11" x14ac:dyDescent="0.2">
      <c r="A200" s="1607" t="s">
        <v>872</v>
      </c>
      <c r="B200" s="1607" t="s">
        <v>603</v>
      </c>
      <c r="C200" s="1607" t="s">
        <v>45</v>
      </c>
      <c r="D200" s="1607">
        <v>502</v>
      </c>
      <c r="E200" s="1607">
        <v>409</v>
      </c>
      <c r="F200" s="1607">
        <v>73</v>
      </c>
      <c r="G200" s="1607">
        <v>20</v>
      </c>
      <c r="H200" s="1607"/>
      <c r="I200" s="1607"/>
      <c r="J200" s="1607"/>
      <c r="K200" s="1607"/>
    </row>
    <row r="201" spans="1:11" x14ac:dyDescent="0.2">
      <c r="A201" s="1607" t="s">
        <v>872</v>
      </c>
      <c r="B201" s="1607" t="s">
        <v>603</v>
      </c>
      <c r="C201" s="1607" t="s">
        <v>46</v>
      </c>
      <c r="D201" s="1607">
        <v>131</v>
      </c>
      <c r="E201" s="1607">
        <v>111</v>
      </c>
      <c r="F201" s="1607">
        <v>17</v>
      </c>
      <c r="G201" s="1607">
        <v>3</v>
      </c>
      <c r="H201" s="1607"/>
      <c r="I201" s="1607"/>
      <c r="J201" s="1607"/>
      <c r="K201" s="1607"/>
    </row>
    <row r="202" spans="1:11" x14ac:dyDescent="0.2">
      <c r="A202" s="1607" t="s">
        <v>872</v>
      </c>
      <c r="B202" s="1607" t="s">
        <v>603</v>
      </c>
      <c r="C202" s="1607" t="s">
        <v>47</v>
      </c>
      <c r="D202" s="1607">
        <v>11</v>
      </c>
      <c r="E202" s="1607">
        <v>9</v>
      </c>
      <c r="F202" s="1607">
        <v>2</v>
      </c>
      <c r="G202" s="1607"/>
      <c r="H202" s="1607"/>
      <c r="I202" s="1607"/>
      <c r="J202" s="1607"/>
      <c r="K202" s="1607"/>
    </row>
    <row r="203" spans="1:11" x14ac:dyDescent="0.2">
      <c r="A203" s="1607" t="s">
        <v>872</v>
      </c>
      <c r="B203" s="1607" t="s">
        <v>603</v>
      </c>
      <c r="C203" s="1607" t="s">
        <v>48</v>
      </c>
      <c r="D203" s="1607">
        <v>250</v>
      </c>
      <c r="E203" s="1607">
        <v>229</v>
      </c>
      <c r="F203" s="1607">
        <v>18</v>
      </c>
      <c r="G203" s="1607">
        <v>2</v>
      </c>
      <c r="H203" s="1607"/>
      <c r="I203" s="1607"/>
      <c r="J203" s="1607"/>
      <c r="K203" s="1607">
        <v>1</v>
      </c>
    </row>
    <row r="204" spans="1:11" x14ac:dyDescent="0.2">
      <c r="A204" s="1607" t="s">
        <v>872</v>
      </c>
      <c r="B204" s="1607" t="s">
        <v>603</v>
      </c>
      <c r="C204" s="1607" t="s">
        <v>49</v>
      </c>
      <c r="D204" s="1607">
        <v>796</v>
      </c>
      <c r="E204" s="1607">
        <v>667</v>
      </c>
      <c r="F204" s="1607">
        <v>115</v>
      </c>
      <c r="G204" s="1607">
        <v>14</v>
      </c>
      <c r="H204" s="1607"/>
      <c r="I204" s="1607"/>
      <c r="J204" s="1607"/>
      <c r="K204" s="1607"/>
    </row>
    <row r="205" spans="1:11" x14ac:dyDescent="0.2">
      <c r="A205" s="1607" t="s">
        <v>872</v>
      </c>
      <c r="B205" s="1607" t="s">
        <v>603</v>
      </c>
      <c r="C205" s="1607" t="s">
        <v>50</v>
      </c>
      <c r="D205" s="1607">
        <v>165</v>
      </c>
      <c r="E205" s="1607">
        <v>150</v>
      </c>
      <c r="F205" s="1607">
        <v>11</v>
      </c>
      <c r="G205" s="1607">
        <v>4</v>
      </c>
      <c r="H205" s="1607"/>
      <c r="I205" s="1607"/>
      <c r="J205" s="1607"/>
      <c r="K205" s="1607"/>
    </row>
    <row r="206" spans="1:11" x14ac:dyDescent="0.2">
      <c r="A206" s="1607" t="s">
        <v>872</v>
      </c>
      <c r="B206" s="1607" t="s">
        <v>603</v>
      </c>
      <c r="C206" s="1607" t="s">
        <v>51</v>
      </c>
      <c r="D206" s="1607">
        <v>241</v>
      </c>
      <c r="E206" s="1607">
        <v>207</v>
      </c>
      <c r="F206" s="1607">
        <v>31</v>
      </c>
      <c r="G206" s="1607">
        <v>3</v>
      </c>
      <c r="H206" s="1607"/>
      <c r="I206" s="1607"/>
      <c r="J206" s="1607"/>
      <c r="K206" s="1607"/>
    </row>
    <row r="207" spans="1:11" x14ac:dyDescent="0.2">
      <c r="A207" s="1607" t="s">
        <v>872</v>
      </c>
      <c r="B207" s="1607" t="s">
        <v>603</v>
      </c>
      <c r="C207" s="1607" t="s">
        <v>52</v>
      </c>
      <c r="D207" s="1607">
        <v>716</v>
      </c>
      <c r="E207" s="1607">
        <v>665</v>
      </c>
      <c r="F207" s="1607">
        <v>45</v>
      </c>
      <c r="G207" s="1607">
        <v>6</v>
      </c>
      <c r="H207" s="1607"/>
      <c r="I207" s="1607"/>
      <c r="J207" s="1607"/>
      <c r="K207" s="1607"/>
    </row>
  </sheetData>
  <pageMargins left="0.7" right="0.7" top="0.75" bottom="0.75" header="0.3" footer="0.3"/>
  <pageSetup paperSize="9" fitToHeight="50" orientation="landscape" r:id="rId1"/>
  <legacyDrawing r:id="rId2"/>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fitToPage="1"/>
  </sheetPr>
  <dimension ref="A1:AA13"/>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13.85546875" bestFit="1" customWidth="1"/>
    <col min="2" max="2" width="7.85546875" bestFit="1" customWidth="1"/>
    <col min="3" max="3" width="5.140625" bestFit="1" customWidth="1"/>
    <col min="4" max="7" width="4.140625" bestFit="1" customWidth="1"/>
    <col min="8" max="10" width="3.140625" bestFit="1" customWidth="1"/>
    <col min="11" max="27" width="4.140625" bestFit="1" customWidth="1"/>
  </cols>
  <sheetData>
    <row r="1" spans="1:27" x14ac:dyDescent="0.2"/>
    <row r="4" spans="1:27" x14ac:dyDescent="0.2">
      <c r="A4" s="1606" t="s">
        <v>1254</v>
      </c>
      <c r="B4" s="1606" t="s">
        <v>4</v>
      </c>
      <c r="C4" s="1606" t="s">
        <v>11</v>
      </c>
      <c r="D4" s="1606">
        <v>0</v>
      </c>
      <c r="E4" s="1606">
        <v>1</v>
      </c>
      <c r="F4" s="1606">
        <v>2</v>
      </c>
      <c r="G4" s="1606">
        <v>3</v>
      </c>
      <c r="H4" s="1606">
        <v>4</v>
      </c>
      <c r="I4" s="1606">
        <v>5</v>
      </c>
      <c r="J4" s="1606">
        <v>6</v>
      </c>
      <c r="K4" s="1606">
        <v>7</v>
      </c>
      <c r="L4" s="1606">
        <v>8</v>
      </c>
      <c r="M4" s="1606">
        <v>9</v>
      </c>
      <c r="N4" s="1606">
        <v>10</v>
      </c>
      <c r="O4" s="1606">
        <v>11</v>
      </c>
      <c r="P4" s="1606">
        <v>12</v>
      </c>
      <c r="Q4" s="1606">
        <v>13</v>
      </c>
      <c r="R4" s="1606">
        <v>14</v>
      </c>
      <c r="S4" s="1606">
        <v>15</v>
      </c>
      <c r="T4" s="1606">
        <v>16</v>
      </c>
      <c r="U4" s="1606">
        <v>17</v>
      </c>
      <c r="V4" s="1606">
        <v>18</v>
      </c>
      <c r="W4" s="1606">
        <v>19</v>
      </c>
      <c r="X4" s="1606">
        <v>20</v>
      </c>
      <c r="Y4" s="1606">
        <v>21</v>
      </c>
      <c r="Z4" s="1606">
        <v>22</v>
      </c>
      <c r="AA4" s="1606">
        <v>23</v>
      </c>
    </row>
    <row r="5" spans="1:27" x14ac:dyDescent="0.2">
      <c r="A5" s="1607" t="s">
        <v>1189</v>
      </c>
      <c r="B5" s="1607" t="s">
        <v>160</v>
      </c>
      <c r="C5" s="1607">
        <v>5677</v>
      </c>
      <c r="D5" s="1607">
        <v>170</v>
      </c>
      <c r="E5" s="1607">
        <v>175</v>
      </c>
      <c r="F5" s="1607">
        <v>127</v>
      </c>
      <c r="G5" s="1607">
        <v>110</v>
      </c>
      <c r="H5" s="1607">
        <v>94</v>
      </c>
      <c r="I5" s="1607">
        <v>78</v>
      </c>
      <c r="J5" s="1607">
        <v>77</v>
      </c>
      <c r="K5" s="1607">
        <v>91</v>
      </c>
      <c r="L5" s="1607">
        <v>124</v>
      </c>
      <c r="M5" s="1607">
        <v>154</v>
      </c>
      <c r="N5" s="1607">
        <v>194</v>
      </c>
      <c r="O5" s="1607">
        <v>244</v>
      </c>
      <c r="P5" s="1607">
        <v>232</v>
      </c>
      <c r="Q5" s="1607">
        <v>321</v>
      </c>
      <c r="R5" s="1607">
        <v>315</v>
      </c>
      <c r="S5" s="1607">
        <v>322</v>
      </c>
      <c r="T5" s="1607">
        <v>401</v>
      </c>
      <c r="U5" s="1607">
        <v>488</v>
      </c>
      <c r="V5" s="1607">
        <v>429</v>
      </c>
      <c r="W5" s="1607">
        <v>373</v>
      </c>
      <c r="X5" s="1607">
        <v>329</v>
      </c>
      <c r="Y5" s="1607">
        <v>332</v>
      </c>
      <c r="Z5" s="1607">
        <v>262</v>
      </c>
      <c r="AA5" s="1607">
        <v>235</v>
      </c>
    </row>
    <row r="6" spans="1:27" x14ac:dyDescent="0.2">
      <c r="A6" s="1607" t="s">
        <v>1189</v>
      </c>
      <c r="B6" s="1607" t="s">
        <v>379</v>
      </c>
      <c r="C6" s="1607">
        <v>5548</v>
      </c>
      <c r="D6" s="1607">
        <v>201</v>
      </c>
      <c r="E6" s="1607">
        <v>168</v>
      </c>
      <c r="F6" s="1607">
        <v>133</v>
      </c>
      <c r="G6" s="1607">
        <v>104</v>
      </c>
      <c r="H6" s="1607">
        <v>79</v>
      </c>
      <c r="I6" s="1607">
        <v>77</v>
      </c>
      <c r="J6" s="1607">
        <v>82</v>
      </c>
      <c r="K6" s="1607">
        <v>109</v>
      </c>
      <c r="L6" s="1607">
        <v>135</v>
      </c>
      <c r="M6" s="1607">
        <v>157</v>
      </c>
      <c r="N6" s="1607">
        <v>194</v>
      </c>
      <c r="O6" s="1607">
        <v>241</v>
      </c>
      <c r="P6" s="1607">
        <v>243</v>
      </c>
      <c r="Q6" s="1607">
        <v>257</v>
      </c>
      <c r="R6" s="1607">
        <v>286</v>
      </c>
      <c r="S6" s="1607">
        <v>254</v>
      </c>
      <c r="T6" s="1607">
        <v>380</v>
      </c>
      <c r="U6" s="1607">
        <v>471</v>
      </c>
      <c r="V6" s="1607">
        <v>433</v>
      </c>
      <c r="W6" s="1607">
        <v>408</v>
      </c>
      <c r="X6" s="1607">
        <v>333</v>
      </c>
      <c r="Y6" s="1607">
        <v>304</v>
      </c>
      <c r="Z6" s="1607">
        <v>265</v>
      </c>
      <c r="AA6" s="1607">
        <v>234</v>
      </c>
    </row>
    <row r="7" spans="1:27" x14ac:dyDescent="0.2">
      <c r="A7" s="1607" t="s">
        <v>1189</v>
      </c>
      <c r="B7" s="1607" t="s">
        <v>603</v>
      </c>
      <c r="C7" s="1607">
        <v>5310</v>
      </c>
      <c r="D7" s="1607">
        <v>188</v>
      </c>
      <c r="E7" s="1607">
        <v>145</v>
      </c>
      <c r="F7" s="1607">
        <v>132</v>
      </c>
      <c r="G7" s="1607">
        <v>99</v>
      </c>
      <c r="H7" s="1607">
        <v>99</v>
      </c>
      <c r="I7" s="1607">
        <v>69</v>
      </c>
      <c r="J7" s="1607">
        <v>64</v>
      </c>
      <c r="K7" s="1607">
        <v>98</v>
      </c>
      <c r="L7" s="1607">
        <v>135</v>
      </c>
      <c r="M7" s="1607">
        <v>144</v>
      </c>
      <c r="N7" s="1607">
        <v>175</v>
      </c>
      <c r="O7" s="1607">
        <v>209</v>
      </c>
      <c r="P7" s="1607">
        <v>239</v>
      </c>
      <c r="Q7" s="1607">
        <v>258</v>
      </c>
      <c r="R7" s="1607">
        <v>282</v>
      </c>
      <c r="S7" s="1607">
        <v>304</v>
      </c>
      <c r="T7" s="1607">
        <v>347</v>
      </c>
      <c r="U7" s="1607">
        <v>460</v>
      </c>
      <c r="V7" s="1607">
        <v>402</v>
      </c>
      <c r="W7" s="1607">
        <v>349</v>
      </c>
      <c r="X7" s="1607">
        <v>352</v>
      </c>
      <c r="Y7" s="1607">
        <v>308</v>
      </c>
      <c r="Z7" s="1607">
        <v>248</v>
      </c>
      <c r="AA7" s="1607">
        <v>204</v>
      </c>
    </row>
    <row r="8" spans="1:27" x14ac:dyDescent="0.2">
      <c r="A8" s="1607" t="s">
        <v>6</v>
      </c>
      <c r="B8" s="1607" t="s">
        <v>160</v>
      </c>
      <c r="C8" s="1607">
        <v>2497</v>
      </c>
      <c r="D8" s="1607">
        <v>85</v>
      </c>
      <c r="E8" s="1607">
        <v>79</v>
      </c>
      <c r="F8" s="1607">
        <v>62</v>
      </c>
      <c r="G8" s="1607">
        <v>53</v>
      </c>
      <c r="H8" s="1607">
        <v>41</v>
      </c>
      <c r="I8" s="1607">
        <v>43</v>
      </c>
      <c r="J8" s="1607">
        <v>51</v>
      </c>
      <c r="K8" s="1607">
        <v>70</v>
      </c>
      <c r="L8" s="1607">
        <v>106</v>
      </c>
      <c r="M8" s="1607">
        <v>118</v>
      </c>
      <c r="N8" s="1607">
        <v>116</v>
      </c>
      <c r="O8" s="1607">
        <v>138</v>
      </c>
      <c r="P8" s="1607">
        <v>144</v>
      </c>
      <c r="Q8" s="1607">
        <v>132</v>
      </c>
      <c r="R8" s="1607">
        <v>123</v>
      </c>
      <c r="S8" s="1607">
        <v>146</v>
      </c>
      <c r="T8" s="1607">
        <v>150</v>
      </c>
      <c r="U8" s="1607">
        <v>142</v>
      </c>
      <c r="V8" s="1607">
        <v>114</v>
      </c>
      <c r="W8" s="1607">
        <v>134</v>
      </c>
      <c r="X8" s="1607">
        <v>127</v>
      </c>
      <c r="Y8" s="1607">
        <v>134</v>
      </c>
      <c r="Z8" s="1607">
        <v>104</v>
      </c>
      <c r="AA8" s="1607">
        <v>85</v>
      </c>
    </row>
    <row r="9" spans="1:27" x14ac:dyDescent="0.2">
      <c r="A9" s="1607" t="s">
        <v>6</v>
      </c>
      <c r="B9" s="1607" t="s">
        <v>379</v>
      </c>
      <c r="C9" s="1607">
        <v>2279</v>
      </c>
      <c r="D9" s="1607">
        <v>64</v>
      </c>
      <c r="E9" s="1607">
        <v>56</v>
      </c>
      <c r="F9" s="1607">
        <v>60</v>
      </c>
      <c r="G9" s="1607">
        <v>39</v>
      </c>
      <c r="H9" s="1607">
        <v>45</v>
      </c>
      <c r="I9" s="1607">
        <v>51</v>
      </c>
      <c r="J9" s="1607">
        <v>31</v>
      </c>
      <c r="K9" s="1607">
        <v>64</v>
      </c>
      <c r="L9" s="1607">
        <v>94</v>
      </c>
      <c r="M9" s="1607">
        <v>95</v>
      </c>
      <c r="N9" s="1607">
        <v>113</v>
      </c>
      <c r="O9" s="1607">
        <v>114</v>
      </c>
      <c r="P9" s="1607">
        <v>128</v>
      </c>
      <c r="Q9" s="1607">
        <v>129</v>
      </c>
      <c r="R9" s="1607">
        <v>126</v>
      </c>
      <c r="S9" s="1607">
        <v>128</v>
      </c>
      <c r="T9" s="1607">
        <v>144</v>
      </c>
      <c r="U9" s="1607">
        <v>118</v>
      </c>
      <c r="V9" s="1607">
        <v>148</v>
      </c>
      <c r="W9" s="1607">
        <v>131</v>
      </c>
      <c r="X9" s="1607">
        <v>138</v>
      </c>
      <c r="Y9" s="1607">
        <v>86</v>
      </c>
      <c r="Z9" s="1607">
        <v>79</v>
      </c>
      <c r="AA9" s="1607">
        <v>98</v>
      </c>
    </row>
    <row r="10" spans="1:27" x14ac:dyDescent="0.2">
      <c r="A10" s="1607" t="s">
        <v>6</v>
      </c>
      <c r="B10" s="1607" t="s">
        <v>603</v>
      </c>
      <c r="C10" s="1607">
        <v>2281</v>
      </c>
      <c r="D10" s="1607">
        <v>65</v>
      </c>
      <c r="E10" s="1607">
        <v>70</v>
      </c>
      <c r="F10" s="1607">
        <v>52</v>
      </c>
      <c r="G10" s="1607">
        <v>63</v>
      </c>
      <c r="H10" s="1607">
        <v>32</v>
      </c>
      <c r="I10" s="1607">
        <v>44</v>
      </c>
      <c r="J10" s="1607">
        <v>45</v>
      </c>
      <c r="K10" s="1607">
        <v>67</v>
      </c>
      <c r="L10" s="1607">
        <v>78</v>
      </c>
      <c r="M10" s="1607">
        <v>127</v>
      </c>
      <c r="N10" s="1607">
        <v>98</v>
      </c>
      <c r="O10" s="1607">
        <v>113</v>
      </c>
      <c r="P10" s="1607">
        <v>120</v>
      </c>
      <c r="Q10" s="1607">
        <v>123</v>
      </c>
      <c r="R10" s="1607">
        <v>122</v>
      </c>
      <c r="S10" s="1607">
        <v>136</v>
      </c>
      <c r="T10" s="1607">
        <v>113</v>
      </c>
      <c r="U10" s="1607">
        <v>126</v>
      </c>
      <c r="V10" s="1607">
        <v>135</v>
      </c>
      <c r="W10" s="1607">
        <v>136</v>
      </c>
      <c r="X10" s="1607">
        <v>126</v>
      </c>
      <c r="Y10" s="1607">
        <v>113</v>
      </c>
      <c r="Z10" s="1607">
        <v>96</v>
      </c>
      <c r="AA10" s="1607">
        <v>81</v>
      </c>
    </row>
    <row r="11" spans="1:27" x14ac:dyDescent="0.2">
      <c r="A11" s="1607" t="s">
        <v>1321</v>
      </c>
      <c r="B11" s="1607" t="s">
        <v>160</v>
      </c>
      <c r="C11" s="1607">
        <v>2839</v>
      </c>
      <c r="D11" s="1607">
        <v>141</v>
      </c>
      <c r="E11" s="1607">
        <v>119</v>
      </c>
      <c r="F11" s="1607">
        <v>117</v>
      </c>
      <c r="G11" s="1607">
        <v>69</v>
      </c>
      <c r="H11" s="1607">
        <v>77</v>
      </c>
      <c r="I11" s="1607">
        <v>67</v>
      </c>
      <c r="J11" s="1607">
        <v>46</v>
      </c>
      <c r="K11" s="1607">
        <v>54</v>
      </c>
      <c r="L11" s="1607">
        <v>67</v>
      </c>
      <c r="M11" s="1607">
        <v>76</v>
      </c>
      <c r="N11" s="1607">
        <v>77</v>
      </c>
      <c r="O11" s="1607">
        <v>82</v>
      </c>
      <c r="P11" s="1607">
        <v>108</v>
      </c>
      <c r="Q11" s="1607">
        <v>124</v>
      </c>
      <c r="R11" s="1607">
        <v>120</v>
      </c>
      <c r="S11" s="1607">
        <v>145</v>
      </c>
      <c r="T11" s="1607">
        <v>152</v>
      </c>
      <c r="U11" s="1607">
        <v>156</v>
      </c>
      <c r="V11" s="1607">
        <v>172</v>
      </c>
      <c r="W11" s="1607">
        <v>187</v>
      </c>
      <c r="X11" s="1607">
        <v>181</v>
      </c>
      <c r="Y11" s="1607">
        <v>184</v>
      </c>
      <c r="Z11" s="1607">
        <v>177</v>
      </c>
      <c r="AA11" s="1607">
        <v>141</v>
      </c>
    </row>
    <row r="12" spans="1:27" x14ac:dyDescent="0.2">
      <c r="A12" s="1607" t="s">
        <v>1321</v>
      </c>
      <c r="B12" s="1607" t="s">
        <v>379</v>
      </c>
      <c r="C12" s="1607">
        <v>3077</v>
      </c>
      <c r="D12" s="1607">
        <v>135</v>
      </c>
      <c r="E12" s="1607">
        <v>130</v>
      </c>
      <c r="F12" s="1607">
        <v>121</v>
      </c>
      <c r="G12" s="1607">
        <v>113</v>
      </c>
      <c r="H12" s="1607">
        <v>90</v>
      </c>
      <c r="I12" s="1607">
        <v>63</v>
      </c>
      <c r="J12" s="1607">
        <v>58</v>
      </c>
      <c r="K12" s="1607">
        <v>63</v>
      </c>
      <c r="L12" s="1607">
        <v>87</v>
      </c>
      <c r="M12" s="1607">
        <v>56</v>
      </c>
      <c r="N12" s="1607">
        <v>91</v>
      </c>
      <c r="O12" s="1607">
        <v>109</v>
      </c>
      <c r="P12" s="1607">
        <v>109</v>
      </c>
      <c r="Q12" s="1607">
        <v>109</v>
      </c>
      <c r="R12" s="1607">
        <v>136</v>
      </c>
      <c r="S12" s="1607">
        <v>149</v>
      </c>
      <c r="T12" s="1607">
        <v>166</v>
      </c>
      <c r="U12" s="1607">
        <v>156</v>
      </c>
      <c r="V12" s="1607">
        <v>208</v>
      </c>
      <c r="W12" s="1607">
        <v>192</v>
      </c>
      <c r="X12" s="1607">
        <v>207</v>
      </c>
      <c r="Y12" s="1607">
        <v>184</v>
      </c>
      <c r="Z12" s="1607">
        <v>166</v>
      </c>
      <c r="AA12" s="1607">
        <v>179</v>
      </c>
    </row>
    <row r="13" spans="1:27" x14ac:dyDescent="0.2">
      <c r="A13" s="1607" t="s">
        <v>1321</v>
      </c>
      <c r="B13" s="1607" t="s">
        <v>603</v>
      </c>
      <c r="C13" s="1607">
        <v>3063</v>
      </c>
      <c r="D13" s="1607">
        <v>143</v>
      </c>
      <c r="E13" s="1607">
        <v>159</v>
      </c>
      <c r="F13" s="1607">
        <v>116</v>
      </c>
      <c r="G13" s="1607">
        <v>80</v>
      </c>
      <c r="H13" s="1607">
        <v>70</v>
      </c>
      <c r="I13" s="1607">
        <v>66</v>
      </c>
      <c r="J13" s="1607">
        <v>55</v>
      </c>
      <c r="K13" s="1607">
        <v>69</v>
      </c>
      <c r="L13" s="1607">
        <v>77</v>
      </c>
      <c r="M13" s="1607">
        <v>73</v>
      </c>
      <c r="N13" s="1607">
        <v>82</v>
      </c>
      <c r="O13" s="1607">
        <v>111</v>
      </c>
      <c r="P13" s="1607">
        <v>98</v>
      </c>
      <c r="Q13" s="1607">
        <v>106</v>
      </c>
      <c r="R13" s="1607">
        <v>152</v>
      </c>
      <c r="S13" s="1607">
        <v>128</v>
      </c>
      <c r="T13" s="1607">
        <v>158</v>
      </c>
      <c r="U13" s="1607">
        <v>175</v>
      </c>
      <c r="V13" s="1607">
        <v>194</v>
      </c>
      <c r="W13" s="1607">
        <v>222</v>
      </c>
      <c r="X13" s="1607">
        <v>209</v>
      </c>
      <c r="Y13" s="1607">
        <v>175</v>
      </c>
      <c r="Z13" s="1607">
        <v>173</v>
      </c>
      <c r="AA13" s="1607">
        <v>172</v>
      </c>
    </row>
  </sheetData>
  <pageMargins left="0.7" right="0.7" top="0.75" bottom="0.75" header="0.3" footer="0.3"/>
  <pageSetup paperSize="9" fitToHeight="50" orientation="landscape" r:id="rId1"/>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fitToPage="1"/>
  </sheetPr>
  <dimension ref="A1:AA1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8.5703125" bestFit="1" customWidth="1"/>
    <col min="2" max="2" width="7.85546875" bestFit="1" customWidth="1"/>
    <col min="3" max="3" width="5.140625" bestFit="1" customWidth="1"/>
    <col min="4" max="27" width="3.140625" bestFit="1" customWidth="1"/>
  </cols>
  <sheetData>
    <row r="1" spans="1:27" x14ac:dyDescent="0.2"/>
    <row r="4" spans="1:27" x14ac:dyDescent="0.2">
      <c r="A4" s="1606" t="s">
        <v>1322</v>
      </c>
      <c r="B4" s="1606" t="s">
        <v>4</v>
      </c>
      <c r="C4" s="1606" t="s">
        <v>11</v>
      </c>
      <c r="D4" s="1606">
        <v>0</v>
      </c>
      <c r="E4" s="1606">
        <v>1</v>
      </c>
      <c r="F4" s="1606">
        <v>2</v>
      </c>
      <c r="G4" s="1606">
        <v>3</v>
      </c>
      <c r="H4" s="1606">
        <v>4</v>
      </c>
      <c r="I4" s="1606">
        <v>5</v>
      </c>
      <c r="J4" s="1606">
        <v>6</v>
      </c>
      <c r="K4" s="1606">
        <v>7</v>
      </c>
      <c r="L4" s="1606">
        <v>8</v>
      </c>
      <c r="M4" s="1606">
        <v>9</v>
      </c>
      <c r="N4" s="1606">
        <v>10</v>
      </c>
      <c r="O4" s="1606">
        <v>11</v>
      </c>
      <c r="P4" s="1606">
        <v>12</v>
      </c>
      <c r="Q4" s="1606">
        <v>13</v>
      </c>
      <c r="R4" s="1606">
        <v>14</v>
      </c>
      <c r="S4" s="1606">
        <v>15</v>
      </c>
      <c r="T4" s="1606">
        <v>16</v>
      </c>
      <c r="U4" s="1606">
        <v>17</v>
      </c>
      <c r="V4" s="1606">
        <v>18</v>
      </c>
      <c r="W4" s="1606">
        <v>19</v>
      </c>
      <c r="X4" s="1606">
        <v>20</v>
      </c>
      <c r="Y4" s="1606">
        <v>21</v>
      </c>
      <c r="Z4" s="1606">
        <v>22</v>
      </c>
      <c r="AA4" s="1606">
        <v>23</v>
      </c>
    </row>
    <row r="5" spans="1:27" x14ac:dyDescent="0.2">
      <c r="A5" s="1607" t="s">
        <v>99</v>
      </c>
      <c r="B5" s="1607" t="s">
        <v>160</v>
      </c>
      <c r="C5" s="1607">
        <v>39</v>
      </c>
      <c r="D5" s="1607">
        <v>1</v>
      </c>
      <c r="E5" s="1607">
        <v>2</v>
      </c>
      <c r="F5" s="1607">
        <v>1</v>
      </c>
      <c r="G5" s="1607">
        <v>1</v>
      </c>
      <c r="H5" s="1607">
        <v>1</v>
      </c>
      <c r="I5" s="1607">
        <v>1</v>
      </c>
      <c r="J5" s="1607">
        <v>3</v>
      </c>
      <c r="K5" s="1607">
        <v>1</v>
      </c>
      <c r="L5" s="1607">
        <v>1</v>
      </c>
      <c r="M5" s="1607"/>
      <c r="N5" s="1607">
        <v>1</v>
      </c>
      <c r="O5" s="1607">
        <v>4</v>
      </c>
      <c r="P5" s="1607"/>
      <c r="Q5" s="1607">
        <v>1</v>
      </c>
      <c r="R5" s="1607">
        <v>4</v>
      </c>
      <c r="S5" s="1607">
        <v>3</v>
      </c>
      <c r="T5" s="1607">
        <v>3</v>
      </c>
      <c r="U5" s="1607">
        <v>1</v>
      </c>
      <c r="V5" s="1607">
        <v>5</v>
      </c>
      <c r="W5" s="1607">
        <v>2</v>
      </c>
      <c r="X5" s="1607">
        <v>1</v>
      </c>
      <c r="Y5" s="1607">
        <v>1</v>
      </c>
      <c r="Z5" s="1607"/>
      <c r="AA5" s="1607">
        <v>1</v>
      </c>
    </row>
    <row r="6" spans="1:27" x14ac:dyDescent="0.2">
      <c r="A6" s="1607" t="s">
        <v>99</v>
      </c>
      <c r="B6" s="1607" t="s">
        <v>379</v>
      </c>
      <c r="C6" s="1607">
        <v>36</v>
      </c>
      <c r="D6" s="1607"/>
      <c r="E6" s="1607">
        <v>3</v>
      </c>
      <c r="F6" s="1607">
        <v>2</v>
      </c>
      <c r="G6" s="1607">
        <v>1</v>
      </c>
      <c r="H6" s="1607"/>
      <c r="I6" s="1607">
        <v>3</v>
      </c>
      <c r="J6" s="1607">
        <v>2</v>
      </c>
      <c r="K6" s="1607">
        <v>5</v>
      </c>
      <c r="L6" s="1607"/>
      <c r="M6" s="1607">
        <v>3</v>
      </c>
      <c r="N6" s="1607">
        <v>2</v>
      </c>
      <c r="O6" s="1607">
        <v>1</v>
      </c>
      <c r="P6" s="1607">
        <v>1</v>
      </c>
      <c r="Q6" s="1607">
        <v>1</v>
      </c>
      <c r="R6" s="1607"/>
      <c r="S6" s="1607"/>
      <c r="T6" s="1607">
        <v>3</v>
      </c>
      <c r="U6" s="1607">
        <v>2</v>
      </c>
      <c r="V6" s="1607">
        <v>1</v>
      </c>
      <c r="W6" s="1607">
        <v>3</v>
      </c>
      <c r="X6" s="1607">
        <v>1</v>
      </c>
      <c r="Y6" s="1607"/>
      <c r="Z6" s="1607"/>
      <c r="AA6" s="1607">
        <v>2</v>
      </c>
    </row>
    <row r="7" spans="1:27" x14ac:dyDescent="0.2">
      <c r="A7" s="1607" t="s">
        <v>99</v>
      </c>
      <c r="B7" s="1607" t="s">
        <v>603</v>
      </c>
      <c r="C7" s="1607">
        <v>37</v>
      </c>
      <c r="D7" s="1607">
        <v>4</v>
      </c>
      <c r="E7" s="1607">
        <v>1</v>
      </c>
      <c r="F7" s="1607">
        <v>3</v>
      </c>
      <c r="G7" s="1607">
        <v>1</v>
      </c>
      <c r="H7" s="1607"/>
      <c r="I7" s="1607"/>
      <c r="J7" s="1607"/>
      <c r="K7" s="1607">
        <v>1</v>
      </c>
      <c r="L7" s="1607">
        <v>4</v>
      </c>
      <c r="M7" s="1607">
        <v>1</v>
      </c>
      <c r="N7" s="1607"/>
      <c r="O7" s="1607"/>
      <c r="P7" s="1607">
        <v>3</v>
      </c>
      <c r="Q7" s="1607">
        <v>2</v>
      </c>
      <c r="R7" s="1607">
        <v>2</v>
      </c>
      <c r="S7" s="1607"/>
      <c r="T7" s="1607">
        <v>3</v>
      </c>
      <c r="U7" s="1607">
        <v>3</v>
      </c>
      <c r="V7" s="1607"/>
      <c r="W7" s="1607">
        <v>4</v>
      </c>
      <c r="X7" s="1607">
        <v>1</v>
      </c>
      <c r="Y7" s="1607">
        <v>2</v>
      </c>
      <c r="Z7" s="1607">
        <v>1</v>
      </c>
      <c r="AA7" s="1607">
        <v>1</v>
      </c>
    </row>
    <row r="8" spans="1:27" x14ac:dyDescent="0.2">
      <c r="A8" s="1607" t="s">
        <v>1306</v>
      </c>
      <c r="B8" s="1607" t="s">
        <v>160</v>
      </c>
      <c r="C8" s="1607">
        <v>1063</v>
      </c>
      <c r="D8" s="1607">
        <v>34</v>
      </c>
      <c r="E8" s="1607">
        <v>38</v>
      </c>
      <c r="F8" s="1607">
        <v>42</v>
      </c>
      <c r="G8" s="1607">
        <v>43</v>
      </c>
      <c r="H8" s="1607">
        <v>27</v>
      </c>
      <c r="I8" s="1607">
        <v>18</v>
      </c>
      <c r="J8" s="1607">
        <v>25</v>
      </c>
      <c r="K8" s="1607">
        <v>15</v>
      </c>
      <c r="L8" s="1607">
        <v>32</v>
      </c>
      <c r="M8" s="1607">
        <v>19</v>
      </c>
      <c r="N8" s="1607">
        <v>22</v>
      </c>
      <c r="O8" s="1607">
        <v>28</v>
      </c>
      <c r="P8" s="1607">
        <v>28</v>
      </c>
      <c r="Q8" s="1607">
        <v>39</v>
      </c>
      <c r="R8" s="1607">
        <v>54</v>
      </c>
      <c r="S8" s="1607">
        <v>55</v>
      </c>
      <c r="T8" s="1607">
        <v>63</v>
      </c>
      <c r="U8" s="1607">
        <v>75</v>
      </c>
      <c r="V8" s="1607">
        <v>79</v>
      </c>
      <c r="W8" s="1607">
        <v>71</v>
      </c>
      <c r="X8" s="1607">
        <v>70</v>
      </c>
      <c r="Y8" s="1607">
        <v>68</v>
      </c>
      <c r="Z8" s="1607">
        <v>51</v>
      </c>
      <c r="AA8" s="1607">
        <v>67</v>
      </c>
    </row>
    <row r="9" spans="1:27" x14ac:dyDescent="0.2">
      <c r="A9" s="1607" t="s">
        <v>1306</v>
      </c>
      <c r="B9" s="1607" t="s">
        <v>379</v>
      </c>
      <c r="C9" s="1607">
        <v>1115</v>
      </c>
      <c r="D9" s="1607">
        <v>52</v>
      </c>
      <c r="E9" s="1607">
        <v>61</v>
      </c>
      <c r="F9" s="1607">
        <v>45</v>
      </c>
      <c r="G9" s="1607">
        <v>37</v>
      </c>
      <c r="H9" s="1607">
        <v>42</v>
      </c>
      <c r="I9" s="1607">
        <v>24</v>
      </c>
      <c r="J9" s="1607">
        <v>32</v>
      </c>
      <c r="K9" s="1607">
        <v>26</v>
      </c>
      <c r="L9" s="1607">
        <v>30</v>
      </c>
      <c r="M9" s="1607">
        <v>30</v>
      </c>
      <c r="N9" s="1607">
        <v>27</v>
      </c>
      <c r="O9" s="1607">
        <v>50</v>
      </c>
      <c r="P9" s="1607">
        <v>22</v>
      </c>
      <c r="Q9" s="1607">
        <v>35</v>
      </c>
      <c r="R9" s="1607">
        <v>43</v>
      </c>
      <c r="S9" s="1607">
        <v>37</v>
      </c>
      <c r="T9" s="1607">
        <v>73</v>
      </c>
      <c r="U9" s="1607">
        <v>72</v>
      </c>
      <c r="V9" s="1607">
        <v>53</v>
      </c>
      <c r="W9" s="1607">
        <v>78</v>
      </c>
      <c r="X9" s="1607">
        <v>61</v>
      </c>
      <c r="Y9" s="1607">
        <v>60</v>
      </c>
      <c r="Z9" s="1607">
        <v>65</v>
      </c>
      <c r="AA9" s="1607">
        <v>60</v>
      </c>
    </row>
    <row r="10" spans="1:27" x14ac:dyDescent="0.2">
      <c r="A10" s="1607" t="s">
        <v>1306</v>
      </c>
      <c r="B10" s="1607" t="s">
        <v>603</v>
      </c>
      <c r="C10" s="1607">
        <v>921</v>
      </c>
      <c r="D10" s="1607">
        <v>51</v>
      </c>
      <c r="E10" s="1607">
        <v>31</v>
      </c>
      <c r="F10" s="1607">
        <v>30</v>
      </c>
      <c r="G10" s="1607">
        <v>30</v>
      </c>
      <c r="H10" s="1607">
        <v>26</v>
      </c>
      <c r="I10" s="1607">
        <v>25</v>
      </c>
      <c r="J10" s="1607">
        <v>14</v>
      </c>
      <c r="K10" s="1607">
        <v>16</v>
      </c>
      <c r="L10" s="1607">
        <v>28</v>
      </c>
      <c r="M10" s="1607">
        <v>16</v>
      </c>
      <c r="N10" s="1607">
        <v>26</v>
      </c>
      <c r="O10" s="1607">
        <v>33</v>
      </c>
      <c r="P10" s="1607">
        <v>27</v>
      </c>
      <c r="Q10" s="1607">
        <v>36</v>
      </c>
      <c r="R10" s="1607">
        <v>37</v>
      </c>
      <c r="S10" s="1607">
        <v>43</v>
      </c>
      <c r="T10" s="1607">
        <v>55</v>
      </c>
      <c r="U10" s="1607">
        <v>79</v>
      </c>
      <c r="V10" s="1607">
        <v>64</v>
      </c>
      <c r="W10" s="1607">
        <v>48</v>
      </c>
      <c r="X10" s="1607">
        <v>57</v>
      </c>
      <c r="Y10" s="1607">
        <v>52</v>
      </c>
      <c r="Z10" s="1607">
        <v>52</v>
      </c>
      <c r="AA10" s="1607">
        <v>45</v>
      </c>
    </row>
  </sheetData>
  <pageMargins left="0.7" right="0.7" top="0.75" bottom="0.75" header="0.3" footer="0.3"/>
  <pageSetup paperSize="9" fitToHeight="50" orientation="landscape" r:id="rId1"/>
  <legacyDrawing r:id="rId2"/>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fitToPage="1"/>
  </sheetPr>
  <dimension ref="A1:F100"/>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85546875" bestFit="1" customWidth="1"/>
    <col min="2" max="2" width="20.42578125" bestFit="1" customWidth="1"/>
    <col min="3" max="3" width="9.5703125" bestFit="1" customWidth="1"/>
    <col min="4" max="4" width="9.7109375" bestFit="1" customWidth="1"/>
    <col min="5" max="5" width="4.7109375" bestFit="1" customWidth="1"/>
    <col min="6" max="6" width="9" bestFit="1" customWidth="1"/>
  </cols>
  <sheetData>
    <row r="1" spans="1:6" x14ac:dyDescent="0.2"/>
    <row r="4" spans="1:6" x14ac:dyDescent="0.2">
      <c r="A4" s="1606" t="s">
        <v>4</v>
      </c>
      <c r="B4" s="1606" t="s">
        <v>1081</v>
      </c>
      <c r="C4" s="1606" t="s">
        <v>1082</v>
      </c>
      <c r="D4" s="1606" t="s">
        <v>1089</v>
      </c>
      <c r="E4" s="1606" t="s">
        <v>1323</v>
      </c>
      <c r="F4" s="1606" t="s">
        <v>5</v>
      </c>
    </row>
    <row r="5" spans="1:6" x14ac:dyDescent="0.2">
      <c r="A5" s="1607" t="s">
        <v>160</v>
      </c>
      <c r="B5" s="1607" t="s">
        <v>23</v>
      </c>
      <c r="C5" s="1607">
        <v>334</v>
      </c>
      <c r="D5" s="1607">
        <v>299</v>
      </c>
      <c r="E5" s="1607">
        <v>35</v>
      </c>
      <c r="F5" s="1607">
        <v>114234</v>
      </c>
    </row>
    <row r="6" spans="1:6" x14ac:dyDescent="0.2">
      <c r="A6" s="1607" t="s">
        <v>160</v>
      </c>
      <c r="B6" s="1607" t="s">
        <v>24</v>
      </c>
      <c r="C6" s="1607">
        <v>192</v>
      </c>
      <c r="D6" s="1607">
        <v>180</v>
      </c>
      <c r="E6" s="1607">
        <v>12</v>
      </c>
      <c r="F6" s="1607">
        <v>115223</v>
      </c>
    </row>
    <row r="7" spans="1:6" x14ac:dyDescent="0.2">
      <c r="A7" s="1607" t="s">
        <v>160</v>
      </c>
      <c r="B7" s="1607" t="s">
        <v>25</v>
      </c>
      <c r="C7" s="1607">
        <v>95</v>
      </c>
      <c r="D7" s="1607">
        <v>88</v>
      </c>
      <c r="E7" s="1607">
        <v>7</v>
      </c>
      <c r="F7" s="1607">
        <v>55619</v>
      </c>
    </row>
    <row r="8" spans="1:6" x14ac:dyDescent="0.2">
      <c r="A8" s="1607" t="s">
        <v>160</v>
      </c>
      <c r="B8" s="1607" t="s">
        <v>26</v>
      </c>
      <c r="C8" s="1607">
        <v>64</v>
      </c>
      <c r="D8" s="1607">
        <v>60</v>
      </c>
      <c r="E8" s="1607">
        <v>4</v>
      </c>
      <c r="F8" s="1607">
        <v>47712</v>
      </c>
    </row>
    <row r="9" spans="1:6" x14ac:dyDescent="0.2">
      <c r="A9" s="1607" t="s">
        <v>160</v>
      </c>
      <c r="B9" s="1607" t="s">
        <v>27</v>
      </c>
      <c r="C9" s="1607">
        <v>75</v>
      </c>
      <c r="D9" s="1607">
        <v>71</v>
      </c>
      <c r="E9" s="1607">
        <v>4</v>
      </c>
      <c r="F9" s="1607">
        <v>24114</v>
      </c>
    </row>
    <row r="10" spans="1:6" x14ac:dyDescent="0.2">
      <c r="A10" s="1607" t="s">
        <v>160</v>
      </c>
      <c r="B10" s="1607" t="s">
        <v>28</v>
      </c>
      <c r="C10" s="1607">
        <v>94</v>
      </c>
      <c r="D10" s="1607">
        <v>82</v>
      </c>
      <c r="E10" s="1607">
        <v>12</v>
      </c>
      <c r="F10" s="1607">
        <v>74190</v>
      </c>
    </row>
    <row r="11" spans="1:6" x14ac:dyDescent="0.2">
      <c r="A11" s="1607" t="s">
        <v>160</v>
      </c>
      <c r="B11" s="1607" t="s">
        <v>29</v>
      </c>
      <c r="C11" s="1607">
        <v>256</v>
      </c>
      <c r="D11" s="1607">
        <v>227</v>
      </c>
      <c r="E11" s="1607">
        <v>29</v>
      </c>
      <c r="F11" s="1607">
        <v>73689</v>
      </c>
    </row>
    <row r="12" spans="1:6" x14ac:dyDescent="0.2">
      <c r="A12" s="1607" t="s">
        <v>160</v>
      </c>
      <c r="B12" s="1607" t="s">
        <v>30</v>
      </c>
      <c r="C12" s="1607">
        <v>104</v>
      </c>
      <c r="D12" s="1607">
        <v>92</v>
      </c>
      <c r="E12" s="1607">
        <v>12</v>
      </c>
      <c r="F12" s="1607">
        <v>57654</v>
      </c>
    </row>
    <row r="13" spans="1:6" x14ac:dyDescent="0.2">
      <c r="A13" s="1607" t="s">
        <v>160</v>
      </c>
      <c r="B13" s="1607" t="s">
        <v>31</v>
      </c>
      <c r="C13" s="1607">
        <v>77</v>
      </c>
      <c r="D13" s="1607">
        <v>71</v>
      </c>
      <c r="E13" s="1607">
        <v>6</v>
      </c>
      <c r="F13" s="1607">
        <v>45678</v>
      </c>
    </row>
    <row r="14" spans="1:6" x14ac:dyDescent="0.2">
      <c r="A14" s="1607" t="s">
        <v>160</v>
      </c>
      <c r="B14" s="1607" t="s">
        <v>32</v>
      </c>
      <c r="C14" s="1607">
        <v>85</v>
      </c>
      <c r="D14" s="1607">
        <v>80</v>
      </c>
      <c r="E14" s="1607">
        <v>5</v>
      </c>
      <c r="F14" s="1607">
        <v>46332</v>
      </c>
    </row>
    <row r="15" spans="1:6" x14ac:dyDescent="0.2">
      <c r="A15" s="1607" t="s">
        <v>160</v>
      </c>
      <c r="B15" s="1607" t="s">
        <v>33</v>
      </c>
      <c r="C15" s="1607">
        <v>71</v>
      </c>
      <c r="D15" s="1607">
        <v>63</v>
      </c>
      <c r="E15" s="1607">
        <v>8</v>
      </c>
      <c r="F15" s="1607">
        <v>38061</v>
      </c>
    </row>
    <row r="16" spans="1:6" x14ac:dyDescent="0.2">
      <c r="A16" s="1607" t="s">
        <v>160</v>
      </c>
      <c r="B16" s="1607" t="s">
        <v>665</v>
      </c>
      <c r="C16" s="1607">
        <v>633</v>
      </c>
      <c r="D16" s="1607">
        <v>545</v>
      </c>
      <c r="E16" s="1607">
        <v>88</v>
      </c>
      <c r="F16" s="1607">
        <v>241433</v>
      </c>
    </row>
    <row r="17" spans="1:6" x14ac:dyDescent="0.2">
      <c r="A17" s="1607" t="s">
        <v>160</v>
      </c>
      <c r="B17" s="1607" t="s">
        <v>34</v>
      </c>
      <c r="C17" s="1607">
        <v>134</v>
      </c>
      <c r="D17" s="1607">
        <v>123</v>
      </c>
      <c r="E17" s="1607">
        <v>11</v>
      </c>
      <c r="F17" s="1607">
        <v>73290</v>
      </c>
    </row>
    <row r="18" spans="1:6" x14ac:dyDescent="0.2">
      <c r="A18" s="1607" t="s">
        <v>160</v>
      </c>
      <c r="B18" s="1607" t="s">
        <v>35</v>
      </c>
      <c r="C18" s="1607">
        <v>279</v>
      </c>
      <c r="D18" s="1607">
        <v>255</v>
      </c>
      <c r="E18" s="1607">
        <v>24</v>
      </c>
      <c r="F18" s="1607">
        <v>173366</v>
      </c>
    </row>
    <row r="19" spans="1:6" x14ac:dyDescent="0.2">
      <c r="A19" s="1607" t="s">
        <v>160</v>
      </c>
      <c r="B19" s="1607" t="s">
        <v>36</v>
      </c>
      <c r="C19" s="1607">
        <v>960</v>
      </c>
      <c r="D19" s="1607">
        <v>833</v>
      </c>
      <c r="E19" s="1607">
        <v>127</v>
      </c>
      <c r="F19" s="1607">
        <v>304013</v>
      </c>
    </row>
    <row r="20" spans="1:6" x14ac:dyDescent="0.2">
      <c r="A20" s="1607" t="s">
        <v>160</v>
      </c>
      <c r="B20" s="1607" t="s">
        <v>37</v>
      </c>
      <c r="C20" s="1607">
        <v>131</v>
      </c>
      <c r="D20" s="1607">
        <v>122</v>
      </c>
      <c r="E20" s="1607">
        <v>9</v>
      </c>
      <c r="F20" s="1607">
        <v>115538</v>
      </c>
    </row>
    <row r="21" spans="1:6" x14ac:dyDescent="0.2">
      <c r="A21" s="1607" t="s">
        <v>160</v>
      </c>
      <c r="B21" s="1607" t="s">
        <v>38</v>
      </c>
      <c r="C21" s="1607">
        <v>129</v>
      </c>
      <c r="D21" s="1607">
        <v>111</v>
      </c>
      <c r="E21" s="1607">
        <v>18</v>
      </c>
      <c r="F21" s="1607">
        <v>38787</v>
      </c>
    </row>
    <row r="22" spans="1:6" x14ac:dyDescent="0.2">
      <c r="A22" s="1607" t="s">
        <v>160</v>
      </c>
      <c r="B22" s="1607" t="s">
        <v>39</v>
      </c>
      <c r="C22" s="1607">
        <v>69</v>
      </c>
      <c r="D22" s="1607">
        <v>60</v>
      </c>
      <c r="E22" s="1607">
        <v>9</v>
      </c>
      <c r="F22" s="1607">
        <v>38675</v>
      </c>
    </row>
    <row r="23" spans="1:6" x14ac:dyDescent="0.2">
      <c r="A23" s="1607" t="s">
        <v>160</v>
      </c>
      <c r="B23" s="1607" t="s">
        <v>40</v>
      </c>
      <c r="C23" s="1607">
        <v>50</v>
      </c>
      <c r="D23" s="1607">
        <v>47</v>
      </c>
      <c r="E23" s="1607">
        <v>3</v>
      </c>
      <c r="F23" s="1607">
        <v>44096</v>
      </c>
    </row>
    <row r="24" spans="1:6" x14ac:dyDescent="0.2">
      <c r="A24" s="1607" t="s">
        <v>160</v>
      </c>
      <c r="B24" s="1607" t="s">
        <v>393</v>
      </c>
      <c r="C24" s="1607">
        <v>20</v>
      </c>
      <c r="D24" s="1607">
        <v>20</v>
      </c>
      <c r="E24" s="1607">
        <v>0</v>
      </c>
      <c r="F24" s="1607">
        <v>14577</v>
      </c>
    </row>
    <row r="25" spans="1:6" x14ac:dyDescent="0.2">
      <c r="A25" s="1607" t="s">
        <v>160</v>
      </c>
      <c r="B25" s="1607" t="s">
        <v>41</v>
      </c>
      <c r="C25" s="1607">
        <v>176</v>
      </c>
      <c r="D25" s="1607">
        <v>160</v>
      </c>
      <c r="E25" s="1607">
        <v>16</v>
      </c>
      <c r="F25" s="1607">
        <v>67590</v>
      </c>
    </row>
    <row r="26" spans="1:6" x14ac:dyDescent="0.2">
      <c r="A26" s="1607" t="s">
        <v>160</v>
      </c>
      <c r="B26" s="1607" t="s">
        <v>42</v>
      </c>
      <c r="C26" s="1607">
        <v>336</v>
      </c>
      <c r="D26" s="1607">
        <v>294</v>
      </c>
      <c r="E26" s="1607">
        <v>42</v>
      </c>
      <c r="F26" s="1607">
        <v>152293</v>
      </c>
    </row>
    <row r="27" spans="1:6" x14ac:dyDescent="0.2">
      <c r="A27" s="1607" t="s">
        <v>160</v>
      </c>
      <c r="B27" s="1607" t="s">
        <v>43</v>
      </c>
      <c r="C27" s="1607">
        <v>11</v>
      </c>
      <c r="D27" s="1607">
        <v>11</v>
      </c>
      <c r="E27" s="1607">
        <v>0</v>
      </c>
      <c r="F27" s="1607">
        <v>10924</v>
      </c>
    </row>
    <row r="28" spans="1:6" x14ac:dyDescent="0.2">
      <c r="A28" s="1607" t="s">
        <v>160</v>
      </c>
      <c r="B28" s="1607" t="s">
        <v>44</v>
      </c>
      <c r="C28" s="1607">
        <v>123</v>
      </c>
      <c r="D28" s="1607">
        <v>120</v>
      </c>
      <c r="E28" s="1607">
        <v>3</v>
      </c>
      <c r="F28" s="1607">
        <v>70828</v>
      </c>
    </row>
    <row r="29" spans="1:6" x14ac:dyDescent="0.2">
      <c r="A29" s="1607" t="s">
        <v>160</v>
      </c>
      <c r="B29" s="1607" t="s">
        <v>45</v>
      </c>
      <c r="C29" s="1607">
        <v>242</v>
      </c>
      <c r="D29" s="1607">
        <v>207</v>
      </c>
      <c r="E29" s="1607">
        <v>35</v>
      </c>
      <c r="F29" s="1607">
        <v>84997</v>
      </c>
    </row>
    <row r="30" spans="1:6" x14ac:dyDescent="0.2">
      <c r="A30" s="1607" t="s">
        <v>160</v>
      </c>
      <c r="B30" s="1607" t="s">
        <v>46</v>
      </c>
      <c r="C30" s="1607">
        <v>109</v>
      </c>
      <c r="D30" s="1607">
        <v>104</v>
      </c>
      <c r="E30" s="1607">
        <v>5</v>
      </c>
      <c r="F30" s="1607">
        <v>57628</v>
      </c>
    </row>
    <row r="31" spans="1:6" x14ac:dyDescent="0.2">
      <c r="A31" s="1607" t="s">
        <v>160</v>
      </c>
      <c r="B31" s="1607" t="s">
        <v>47</v>
      </c>
      <c r="C31" s="1607">
        <v>19</v>
      </c>
      <c r="D31" s="1607">
        <v>17</v>
      </c>
      <c r="E31" s="1607">
        <v>2</v>
      </c>
      <c r="F31" s="1607">
        <v>11021</v>
      </c>
    </row>
    <row r="32" spans="1:6" x14ac:dyDescent="0.2">
      <c r="A32" s="1607" t="s">
        <v>160</v>
      </c>
      <c r="B32" s="1607" t="s">
        <v>48</v>
      </c>
      <c r="C32" s="1607">
        <v>101</v>
      </c>
      <c r="D32" s="1607">
        <v>89</v>
      </c>
      <c r="E32" s="1607">
        <v>12</v>
      </c>
      <c r="F32" s="1607">
        <v>54635</v>
      </c>
    </row>
    <row r="33" spans="1:6" x14ac:dyDescent="0.2">
      <c r="A33" s="1607" t="s">
        <v>160</v>
      </c>
      <c r="B33" s="1607" t="s">
        <v>49</v>
      </c>
      <c r="C33" s="1607">
        <v>294</v>
      </c>
      <c r="D33" s="1607">
        <v>259</v>
      </c>
      <c r="E33" s="1607">
        <v>35</v>
      </c>
      <c r="F33" s="1607">
        <v>147849</v>
      </c>
    </row>
    <row r="34" spans="1:6" x14ac:dyDescent="0.2">
      <c r="A34" s="1607" t="s">
        <v>160</v>
      </c>
      <c r="B34" s="1607" t="s">
        <v>50</v>
      </c>
      <c r="C34" s="1607">
        <v>108</v>
      </c>
      <c r="D34" s="1607">
        <v>107</v>
      </c>
      <c r="E34" s="1607">
        <v>1</v>
      </c>
      <c r="F34" s="1607">
        <v>40646</v>
      </c>
    </row>
    <row r="35" spans="1:6" x14ac:dyDescent="0.2">
      <c r="A35" s="1607" t="s">
        <v>160</v>
      </c>
      <c r="B35" s="1607" t="s">
        <v>51</v>
      </c>
      <c r="C35" s="1607">
        <v>156</v>
      </c>
      <c r="D35" s="1607">
        <v>144</v>
      </c>
      <c r="E35" s="1607">
        <v>12</v>
      </c>
      <c r="F35" s="1607">
        <v>45056</v>
      </c>
    </row>
    <row r="36" spans="1:6" x14ac:dyDescent="0.2">
      <c r="A36" s="1607" t="s">
        <v>160</v>
      </c>
      <c r="B36" s="1607" t="s">
        <v>52</v>
      </c>
      <c r="C36" s="1607">
        <v>150</v>
      </c>
      <c r="D36" s="1607">
        <v>131</v>
      </c>
      <c r="E36" s="1607">
        <v>19</v>
      </c>
      <c r="F36" s="1607">
        <v>77834</v>
      </c>
    </row>
    <row r="37" spans="1:6" x14ac:dyDescent="0.2">
      <c r="A37" s="1607" t="s">
        <v>379</v>
      </c>
      <c r="B37" s="1607" t="s">
        <v>23</v>
      </c>
      <c r="C37" s="1607">
        <v>350</v>
      </c>
      <c r="D37" s="1607">
        <v>300</v>
      </c>
      <c r="E37" s="1607">
        <v>50</v>
      </c>
      <c r="F37" s="1607">
        <v>115080</v>
      </c>
    </row>
    <row r="38" spans="1:6" x14ac:dyDescent="0.2">
      <c r="A38" s="1607" t="s">
        <v>379</v>
      </c>
      <c r="B38" s="1607" t="s">
        <v>24</v>
      </c>
      <c r="C38" s="1607">
        <v>184</v>
      </c>
      <c r="D38" s="1607">
        <v>170</v>
      </c>
      <c r="E38" s="1607">
        <v>14</v>
      </c>
      <c r="F38" s="1607">
        <v>116421</v>
      </c>
    </row>
    <row r="39" spans="1:6" x14ac:dyDescent="0.2">
      <c r="A39" s="1607" t="s">
        <v>379</v>
      </c>
      <c r="B39" s="1607" t="s">
        <v>25</v>
      </c>
      <c r="C39" s="1607">
        <v>98</v>
      </c>
      <c r="D39" s="1607">
        <v>93</v>
      </c>
      <c r="E39" s="1607">
        <v>5</v>
      </c>
      <c r="F39" s="1607">
        <v>55872</v>
      </c>
    </row>
    <row r="40" spans="1:6" x14ac:dyDescent="0.2">
      <c r="A40" s="1607" t="s">
        <v>379</v>
      </c>
      <c r="B40" s="1607" t="s">
        <v>26</v>
      </c>
      <c r="C40" s="1607">
        <v>80</v>
      </c>
      <c r="D40" s="1607">
        <v>77</v>
      </c>
      <c r="E40" s="1607">
        <v>3</v>
      </c>
      <c r="F40" s="1607">
        <v>47780</v>
      </c>
    </row>
    <row r="41" spans="1:6" x14ac:dyDescent="0.2">
      <c r="A41" s="1607" t="s">
        <v>379</v>
      </c>
      <c r="B41" s="1607" t="s">
        <v>27</v>
      </c>
      <c r="C41" s="1607">
        <v>72</v>
      </c>
      <c r="D41" s="1607">
        <v>67</v>
      </c>
      <c r="E41" s="1607">
        <v>5</v>
      </c>
      <c r="F41" s="1607">
        <v>24221</v>
      </c>
    </row>
    <row r="42" spans="1:6" x14ac:dyDescent="0.2">
      <c r="A42" s="1607" t="s">
        <v>379</v>
      </c>
      <c r="B42" s="1607" t="s">
        <v>28</v>
      </c>
      <c r="C42" s="1607">
        <v>118</v>
      </c>
      <c r="D42" s="1607">
        <v>105</v>
      </c>
      <c r="E42" s="1607">
        <v>13</v>
      </c>
      <c r="F42" s="1607">
        <v>74453</v>
      </c>
    </row>
    <row r="43" spans="1:6" x14ac:dyDescent="0.2">
      <c r="A43" s="1607" t="s">
        <v>379</v>
      </c>
      <c r="B43" s="1607" t="s">
        <v>29</v>
      </c>
      <c r="C43" s="1607">
        <v>257</v>
      </c>
      <c r="D43" s="1607">
        <v>225</v>
      </c>
      <c r="E43" s="1607">
        <v>32</v>
      </c>
      <c r="F43" s="1607">
        <v>74026</v>
      </c>
    </row>
    <row r="44" spans="1:6" x14ac:dyDescent="0.2">
      <c r="A44" s="1607" t="s">
        <v>379</v>
      </c>
      <c r="B44" s="1607" t="s">
        <v>30</v>
      </c>
      <c r="C44" s="1607">
        <v>146</v>
      </c>
      <c r="D44" s="1607">
        <v>138</v>
      </c>
      <c r="E44" s="1607">
        <v>8</v>
      </c>
      <c r="F44" s="1607">
        <v>57873</v>
      </c>
    </row>
    <row r="45" spans="1:6" x14ac:dyDescent="0.2">
      <c r="A45" s="1607" t="s">
        <v>379</v>
      </c>
      <c r="B45" s="1607" t="s">
        <v>31</v>
      </c>
      <c r="C45" s="1607">
        <v>82</v>
      </c>
      <c r="D45" s="1607">
        <v>75</v>
      </c>
      <c r="E45" s="1607">
        <v>7</v>
      </c>
      <c r="F45" s="1607">
        <v>46026</v>
      </c>
    </row>
    <row r="46" spans="1:6" x14ac:dyDescent="0.2">
      <c r="A46" s="1607" t="s">
        <v>379</v>
      </c>
      <c r="B46" s="1607" t="s">
        <v>32</v>
      </c>
      <c r="C46" s="1607">
        <v>59</v>
      </c>
      <c r="D46" s="1607">
        <v>52</v>
      </c>
      <c r="E46" s="1607">
        <v>7</v>
      </c>
      <c r="F46" s="1607">
        <v>46672</v>
      </c>
    </row>
    <row r="47" spans="1:6" x14ac:dyDescent="0.2">
      <c r="A47" s="1607" t="s">
        <v>379</v>
      </c>
      <c r="B47" s="1607" t="s">
        <v>33</v>
      </c>
      <c r="C47" s="1607">
        <v>64</v>
      </c>
      <c r="D47" s="1607">
        <v>57</v>
      </c>
      <c r="E47" s="1607">
        <v>7</v>
      </c>
      <c r="F47" s="1607">
        <v>38389</v>
      </c>
    </row>
    <row r="48" spans="1:6" x14ac:dyDescent="0.2">
      <c r="A48" s="1607" t="s">
        <v>379</v>
      </c>
      <c r="B48" s="1607" t="s">
        <v>665</v>
      </c>
      <c r="C48" s="1607">
        <v>581</v>
      </c>
      <c r="D48" s="1607">
        <v>492</v>
      </c>
      <c r="E48" s="1607">
        <v>89</v>
      </c>
      <c r="F48" s="1607">
        <v>244131</v>
      </c>
    </row>
    <row r="49" spans="1:6" x14ac:dyDescent="0.2">
      <c r="A49" s="1607" t="s">
        <v>379</v>
      </c>
      <c r="B49" s="1607" t="s">
        <v>34</v>
      </c>
      <c r="C49" s="1607">
        <v>117</v>
      </c>
      <c r="D49" s="1607">
        <v>107</v>
      </c>
      <c r="E49" s="1607">
        <v>10</v>
      </c>
      <c r="F49" s="1607">
        <v>73767</v>
      </c>
    </row>
    <row r="50" spans="1:6" x14ac:dyDescent="0.2">
      <c r="A50" s="1607" t="s">
        <v>379</v>
      </c>
      <c r="B50" s="1607" t="s">
        <v>35</v>
      </c>
      <c r="C50" s="1607">
        <v>272</v>
      </c>
      <c r="D50" s="1607">
        <v>246</v>
      </c>
      <c r="E50" s="1607">
        <v>26</v>
      </c>
      <c r="F50" s="1607">
        <v>174528</v>
      </c>
    </row>
    <row r="51" spans="1:6" x14ac:dyDescent="0.2">
      <c r="A51" s="1607" t="s">
        <v>379</v>
      </c>
      <c r="B51" s="1607" t="s">
        <v>36</v>
      </c>
      <c r="C51" s="1607">
        <v>929</v>
      </c>
      <c r="D51" s="1607">
        <v>811</v>
      </c>
      <c r="E51" s="1607">
        <v>118</v>
      </c>
      <c r="F51" s="1607">
        <v>306000</v>
      </c>
    </row>
    <row r="52" spans="1:6" x14ac:dyDescent="0.2">
      <c r="A52" s="1607" t="s">
        <v>379</v>
      </c>
      <c r="B52" s="1607" t="s">
        <v>37</v>
      </c>
      <c r="C52" s="1607">
        <v>161</v>
      </c>
      <c r="D52" s="1607">
        <v>152</v>
      </c>
      <c r="E52" s="1607">
        <v>9</v>
      </c>
      <c r="F52" s="1607">
        <v>116453</v>
      </c>
    </row>
    <row r="53" spans="1:6" x14ac:dyDescent="0.2">
      <c r="A53" s="1607" t="s">
        <v>379</v>
      </c>
      <c r="B53" s="1607" t="s">
        <v>38</v>
      </c>
      <c r="C53" s="1607">
        <v>131</v>
      </c>
      <c r="D53" s="1607">
        <v>119</v>
      </c>
      <c r="E53" s="1607">
        <v>12</v>
      </c>
      <c r="F53" s="1607">
        <v>38835</v>
      </c>
    </row>
    <row r="54" spans="1:6" x14ac:dyDescent="0.2">
      <c r="A54" s="1607" t="s">
        <v>379</v>
      </c>
      <c r="B54" s="1607" t="s">
        <v>39</v>
      </c>
      <c r="C54" s="1607">
        <v>78</v>
      </c>
      <c r="D54" s="1607">
        <v>75</v>
      </c>
      <c r="E54" s="1607">
        <v>3</v>
      </c>
      <c r="F54" s="1607">
        <v>39297</v>
      </c>
    </row>
    <row r="55" spans="1:6" x14ac:dyDescent="0.2">
      <c r="A55" s="1607" t="s">
        <v>379</v>
      </c>
      <c r="B55" s="1607" t="s">
        <v>40</v>
      </c>
      <c r="C55" s="1607">
        <v>55</v>
      </c>
      <c r="D55" s="1607">
        <v>51</v>
      </c>
      <c r="E55" s="1607">
        <v>4</v>
      </c>
      <c r="F55" s="1607">
        <v>44454</v>
      </c>
    </row>
    <row r="56" spans="1:6" x14ac:dyDescent="0.2">
      <c r="A56" s="1607" t="s">
        <v>379</v>
      </c>
      <c r="B56" s="1607" t="s">
        <v>393</v>
      </c>
      <c r="C56" s="1607">
        <v>23</v>
      </c>
      <c r="D56" s="1607">
        <v>23</v>
      </c>
      <c r="E56" s="1607">
        <v>0</v>
      </c>
      <c r="F56" s="1607">
        <v>14599</v>
      </c>
    </row>
    <row r="57" spans="1:6" x14ac:dyDescent="0.2">
      <c r="A57" s="1607" t="s">
        <v>379</v>
      </c>
      <c r="B57" s="1607" t="s">
        <v>41</v>
      </c>
      <c r="C57" s="1607">
        <v>167</v>
      </c>
      <c r="D57" s="1607">
        <v>156</v>
      </c>
      <c r="E57" s="1607">
        <v>11</v>
      </c>
      <c r="F57" s="1607">
        <v>67800</v>
      </c>
    </row>
    <row r="58" spans="1:6" x14ac:dyDescent="0.2">
      <c r="A58" s="1607" t="s">
        <v>379</v>
      </c>
      <c r="B58" s="1607" t="s">
        <v>42</v>
      </c>
      <c r="C58" s="1607">
        <v>353</v>
      </c>
      <c r="D58" s="1607">
        <v>290</v>
      </c>
      <c r="E58" s="1607">
        <v>63</v>
      </c>
      <c r="F58" s="1607">
        <v>153388</v>
      </c>
    </row>
    <row r="59" spans="1:6" x14ac:dyDescent="0.2">
      <c r="A59" s="1607" t="s">
        <v>379</v>
      </c>
      <c r="B59" s="1607" t="s">
        <v>43</v>
      </c>
      <c r="C59" s="1607">
        <v>7</v>
      </c>
      <c r="D59" s="1607">
        <v>7</v>
      </c>
      <c r="E59" s="1607">
        <v>0</v>
      </c>
      <c r="F59" s="1607">
        <v>11063</v>
      </c>
    </row>
    <row r="60" spans="1:6" x14ac:dyDescent="0.2">
      <c r="A60" s="1607" t="s">
        <v>379</v>
      </c>
      <c r="B60" s="1607" t="s">
        <v>44</v>
      </c>
      <c r="C60" s="1607">
        <v>146</v>
      </c>
      <c r="D60" s="1607">
        <v>137</v>
      </c>
      <c r="E60" s="1607">
        <v>9</v>
      </c>
      <c r="F60" s="1607">
        <v>71347</v>
      </c>
    </row>
    <row r="61" spans="1:6" x14ac:dyDescent="0.2">
      <c r="A61" s="1607" t="s">
        <v>379</v>
      </c>
      <c r="B61" s="1607" t="s">
        <v>45</v>
      </c>
      <c r="C61" s="1607">
        <v>205</v>
      </c>
      <c r="D61" s="1607">
        <v>178</v>
      </c>
      <c r="E61" s="1607">
        <v>27</v>
      </c>
      <c r="F61" s="1607">
        <v>85724</v>
      </c>
    </row>
    <row r="62" spans="1:6" x14ac:dyDescent="0.2">
      <c r="A62" s="1607" t="s">
        <v>379</v>
      </c>
      <c r="B62" s="1607" t="s">
        <v>46</v>
      </c>
      <c r="C62" s="1607">
        <v>91</v>
      </c>
      <c r="D62" s="1607">
        <v>87</v>
      </c>
      <c r="E62" s="1607">
        <v>4</v>
      </c>
      <c r="F62" s="1607">
        <v>57940</v>
      </c>
    </row>
    <row r="63" spans="1:6" x14ac:dyDescent="0.2">
      <c r="A63" s="1607" t="s">
        <v>379</v>
      </c>
      <c r="B63" s="1607" t="s">
        <v>47</v>
      </c>
      <c r="C63" s="1607">
        <v>9</v>
      </c>
      <c r="D63" s="1607">
        <v>7</v>
      </c>
      <c r="E63" s="1607">
        <v>2</v>
      </c>
      <c r="F63" s="1607">
        <v>11109</v>
      </c>
    </row>
    <row r="64" spans="1:6" x14ac:dyDescent="0.2">
      <c r="A64" s="1607" t="s">
        <v>379</v>
      </c>
      <c r="B64" s="1607" t="s">
        <v>48</v>
      </c>
      <c r="C64" s="1607">
        <v>97</v>
      </c>
      <c r="D64" s="1607">
        <v>82</v>
      </c>
      <c r="E64" s="1607">
        <v>15</v>
      </c>
      <c r="F64" s="1607">
        <v>54942</v>
      </c>
    </row>
    <row r="65" spans="1:6" x14ac:dyDescent="0.2">
      <c r="A65" s="1607" t="s">
        <v>379</v>
      </c>
      <c r="B65" s="1607" t="s">
        <v>49</v>
      </c>
      <c r="C65" s="1607">
        <v>250</v>
      </c>
      <c r="D65" s="1607">
        <v>222</v>
      </c>
      <c r="E65" s="1607">
        <v>28</v>
      </c>
      <c r="F65" s="1607">
        <v>148771</v>
      </c>
    </row>
    <row r="66" spans="1:6" x14ac:dyDescent="0.2">
      <c r="A66" s="1607" t="s">
        <v>379</v>
      </c>
      <c r="B66" s="1607" t="s">
        <v>50</v>
      </c>
      <c r="C66" s="1607">
        <v>85</v>
      </c>
      <c r="D66" s="1607">
        <v>75</v>
      </c>
      <c r="E66" s="1607">
        <v>10</v>
      </c>
      <c r="F66" s="1607">
        <v>40998</v>
      </c>
    </row>
    <row r="67" spans="1:6" x14ac:dyDescent="0.2">
      <c r="A67" s="1607" t="s">
        <v>379</v>
      </c>
      <c r="B67" s="1607" t="s">
        <v>51</v>
      </c>
      <c r="C67" s="1607">
        <v>143</v>
      </c>
      <c r="D67" s="1607">
        <v>130</v>
      </c>
      <c r="E67" s="1607">
        <v>13</v>
      </c>
      <c r="F67" s="1607">
        <v>45104</v>
      </c>
    </row>
    <row r="68" spans="1:6" x14ac:dyDescent="0.2">
      <c r="A68" s="1607" t="s">
        <v>379</v>
      </c>
      <c r="B68" s="1607" t="s">
        <v>52</v>
      </c>
      <c r="C68" s="1607">
        <v>138</v>
      </c>
      <c r="D68" s="1607">
        <v>124</v>
      </c>
      <c r="E68" s="1607">
        <v>14</v>
      </c>
      <c r="F68" s="1607">
        <v>78604</v>
      </c>
    </row>
    <row r="69" spans="1:6" x14ac:dyDescent="0.2">
      <c r="A69" s="1607" t="s">
        <v>603</v>
      </c>
      <c r="B69" s="1607" t="s">
        <v>23</v>
      </c>
      <c r="C69" s="1607">
        <v>277</v>
      </c>
      <c r="D69" s="1607">
        <v>240</v>
      </c>
      <c r="E69" s="1607">
        <v>37</v>
      </c>
      <c r="F69" s="1607">
        <v>116821</v>
      </c>
    </row>
    <row r="70" spans="1:6" x14ac:dyDescent="0.2">
      <c r="A70" s="1607" t="s">
        <v>603</v>
      </c>
      <c r="B70" s="1607" t="s">
        <v>24</v>
      </c>
      <c r="C70" s="1607">
        <v>168</v>
      </c>
      <c r="D70" s="1607">
        <v>163</v>
      </c>
      <c r="E70" s="1607">
        <v>5</v>
      </c>
      <c r="F70" s="1607">
        <v>117363</v>
      </c>
    </row>
    <row r="71" spans="1:6" x14ac:dyDescent="0.2">
      <c r="A71" s="1607" t="s">
        <v>603</v>
      </c>
      <c r="B71" s="1607" t="s">
        <v>25</v>
      </c>
      <c r="C71" s="1607">
        <v>81</v>
      </c>
      <c r="D71" s="1607">
        <v>78</v>
      </c>
      <c r="E71" s="1607">
        <v>3</v>
      </c>
      <c r="F71" s="1607">
        <v>56135</v>
      </c>
    </row>
    <row r="72" spans="1:6" x14ac:dyDescent="0.2">
      <c r="A72" s="1607" t="s">
        <v>603</v>
      </c>
      <c r="B72" s="1607" t="s">
        <v>26</v>
      </c>
      <c r="C72" s="1607">
        <v>86</v>
      </c>
      <c r="D72" s="1607">
        <v>76</v>
      </c>
      <c r="E72" s="1607">
        <v>10</v>
      </c>
      <c r="F72" s="1607">
        <v>47884</v>
      </c>
    </row>
    <row r="73" spans="1:6" x14ac:dyDescent="0.2">
      <c r="A73" s="1607" t="s">
        <v>603</v>
      </c>
      <c r="B73" s="1607" t="s">
        <v>27</v>
      </c>
      <c r="C73" s="1607">
        <v>51</v>
      </c>
      <c r="D73" s="1607">
        <v>47</v>
      </c>
      <c r="E73" s="1607">
        <v>4</v>
      </c>
      <c r="F73" s="1607">
        <v>24377</v>
      </c>
    </row>
    <row r="74" spans="1:6" x14ac:dyDescent="0.2">
      <c r="A74" s="1607" t="s">
        <v>603</v>
      </c>
      <c r="B74" s="1607" t="s">
        <v>28</v>
      </c>
      <c r="C74" s="1607">
        <v>104</v>
      </c>
      <c r="D74" s="1607">
        <v>91</v>
      </c>
      <c r="E74" s="1607">
        <v>13</v>
      </c>
      <c r="F74" s="1607">
        <v>74687</v>
      </c>
    </row>
    <row r="75" spans="1:6" x14ac:dyDescent="0.2">
      <c r="A75" s="1607" t="s">
        <v>603</v>
      </c>
      <c r="B75" s="1607" t="s">
        <v>29</v>
      </c>
      <c r="C75" s="1607">
        <v>214</v>
      </c>
      <c r="D75" s="1607">
        <v>196</v>
      </c>
      <c r="E75" s="1607">
        <v>18</v>
      </c>
      <c r="F75" s="1607">
        <v>74354</v>
      </c>
    </row>
    <row r="76" spans="1:6" x14ac:dyDescent="0.2">
      <c r="A76" s="1607" t="s">
        <v>603</v>
      </c>
      <c r="B76" s="1607" t="s">
        <v>30</v>
      </c>
      <c r="C76" s="1607">
        <v>87</v>
      </c>
      <c r="D76" s="1607">
        <v>76</v>
      </c>
      <c r="E76" s="1607">
        <v>11</v>
      </c>
      <c r="F76" s="1607">
        <v>58158</v>
      </c>
    </row>
    <row r="77" spans="1:6" x14ac:dyDescent="0.2">
      <c r="A77" s="1607" t="s">
        <v>603</v>
      </c>
      <c r="B77" s="1607" t="s">
        <v>31</v>
      </c>
      <c r="C77" s="1607">
        <v>67</v>
      </c>
      <c r="D77" s="1607">
        <v>65</v>
      </c>
      <c r="E77" s="1607">
        <v>2</v>
      </c>
      <c r="F77" s="1607">
        <v>46430</v>
      </c>
    </row>
    <row r="78" spans="1:6" x14ac:dyDescent="0.2">
      <c r="A78" s="1607" t="s">
        <v>603</v>
      </c>
      <c r="B78" s="1607" t="s">
        <v>32</v>
      </c>
      <c r="C78" s="1607">
        <v>76</v>
      </c>
      <c r="D78" s="1607">
        <v>69</v>
      </c>
      <c r="E78" s="1607">
        <v>7</v>
      </c>
      <c r="F78" s="1607">
        <v>47407</v>
      </c>
    </row>
    <row r="79" spans="1:6" x14ac:dyDescent="0.2">
      <c r="A79" s="1607" t="s">
        <v>603</v>
      </c>
      <c r="B79" s="1607" t="s">
        <v>33</v>
      </c>
      <c r="C79" s="1607">
        <v>84</v>
      </c>
      <c r="D79" s="1607">
        <v>79</v>
      </c>
      <c r="E79" s="1607">
        <v>5</v>
      </c>
      <c r="F79" s="1607">
        <v>38677</v>
      </c>
    </row>
    <row r="80" spans="1:6" x14ac:dyDescent="0.2">
      <c r="A80" s="1607" t="s">
        <v>603</v>
      </c>
      <c r="B80" s="1607" t="s">
        <v>665</v>
      </c>
      <c r="C80" s="1607">
        <v>523</v>
      </c>
      <c r="D80" s="1607">
        <v>460</v>
      </c>
      <c r="E80" s="1607">
        <v>63</v>
      </c>
      <c r="F80" s="1607">
        <v>246818</v>
      </c>
    </row>
    <row r="81" spans="1:6" x14ac:dyDescent="0.2">
      <c r="A81" s="1607" t="s">
        <v>603</v>
      </c>
      <c r="B81" s="1607" t="s">
        <v>34</v>
      </c>
      <c r="C81" s="1607">
        <v>122</v>
      </c>
      <c r="D81" s="1607">
        <v>106</v>
      </c>
      <c r="E81" s="1607">
        <v>16</v>
      </c>
      <c r="F81" s="1607">
        <v>74361</v>
      </c>
    </row>
    <row r="82" spans="1:6" x14ac:dyDescent="0.2">
      <c r="A82" s="1607" t="s">
        <v>603</v>
      </c>
      <c r="B82" s="1607" t="s">
        <v>35</v>
      </c>
      <c r="C82" s="1607">
        <v>302</v>
      </c>
      <c r="D82" s="1607">
        <v>286</v>
      </c>
      <c r="E82" s="1607">
        <v>16</v>
      </c>
      <c r="F82" s="1607">
        <v>175915</v>
      </c>
    </row>
    <row r="83" spans="1:6" x14ac:dyDescent="0.2">
      <c r="A83" s="1607" t="s">
        <v>603</v>
      </c>
      <c r="B83" s="1607" t="s">
        <v>36</v>
      </c>
      <c r="C83" s="1607">
        <v>962</v>
      </c>
      <c r="D83" s="1607">
        <v>847</v>
      </c>
      <c r="E83" s="1607">
        <v>115</v>
      </c>
      <c r="F83" s="1607">
        <v>308293</v>
      </c>
    </row>
    <row r="84" spans="1:6" x14ac:dyDescent="0.2">
      <c r="A84" s="1607" t="s">
        <v>603</v>
      </c>
      <c r="B84" s="1607" t="s">
        <v>37</v>
      </c>
      <c r="C84" s="1607">
        <v>153</v>
      </c>
      <c r="D84" s="1607">
        <v>146</v>
      </c>
      <c r="E84" s="1607">
        <v>7</v>
      </c>
      <c r="F84" s="1607">
        <v>117291</v>
      </c>
    </row>
    <row r="85" spans="1:6" x14ac:dyDescent="0.2">
      <c r="A85" s="1607" t="s">
        <v>603</v>
      </c>
      <c r="B85" s="1607" t="s">
        <v>38</v>
      </c>
      <c r="C85" s="1607">
        <v>103</v>
      </c>
      <c r="D85" s="1607">
        <v>84</v>
      </c>
      <c r="E85" s="1607">
        <v>19</v>
      </c>
      <c r="F85" s="1607">
        <v>38848</v>
      </c>
    </row>
    <row r="86" spans="1:6" x14ac:dyDescent="0.2">
      <c r="A86" s="1607" t="s">
        <v>603</v>
      </c>
      <c r="B86" s="1607" t="s">
        <v>39</v>
      </c>
      <c r="C86" s="1607">
        <v>70</v>
      </c>
      <c r="D86" s="1607">
        <v>60</v>
      </c>
      <c r="E86" s="1607">
        <v>10</v>
      </c>
      <c r="F86" s="1607">
        <v>39937</v>
      </c>
    </row>
    <row r="87" spans="1:6" x14ac:dyDescent="0.2">
      <c r="A87" s="1607" t="s">
        <v>603</v>
      </c>
      <c r="B87" s="1607" t="s">
        <v>40</v>
      </c>
      <c r="C87" s="1607">
        <v>39</v>
      </c>
      <c r="D87" s="1607">
        <v>35</v>
      </c>
      <c r="E87" s="1607">
        <v>4</v>
      </c>
      <c r="F87" s="1607">
        <v>44838</v>
      </c>
    </row>
    <row r="88" spans="1:6" x14ac:dyDescent="0.2">
      <c r="A88" s="1607" t="s">
        <v>603</v>
      </c>
      <c r="B88" s="1607" t="s">
        <v>393</v>
      </c>
      <c r="C88" s="1607">
        <v>17</v>
      </c>
      <c r="D88" s="1607">
        <v>16</v>
      </c>
      <c r="E88" s="1607">
        <v>1</v>
      </c>
      <c r="F88" s="1607">
        <v>14714</v>
      </c>
    </row>
    <row r="89" spans="1:6" x14ac:dyDescent="0.2">
      <c r="A89" s="1607" t="s">
        <v>603</v>
      </c>
      <c r="B89" s="1607" t="s">
        <v>41</v>
      </c>
      <c r="C89" s="1607">
        <v>162</v>
      </c>
      <c r="D89" s="1607">
        <v>147</v>
      </c>
      <c r="E89" s="1607">
        <v>15</v>
      </c>
      <c r="F89" s="1607">
        <v>67960</v>
      </c>
    </row>
    <row r="90" spans="1:6" x14ac:dyDescent="0.2">
      <c r="A90" s="1607" t="s">
        <v>603</v>
      </c>
      <c r="B90" s="1607" t="s">
        <v>42</v>
      </c>
      <c r="C90" s="1607">
        <v>307</v>
      </c>
      <c r="D90" s="1607">
        <v>262</v>
      </c>
      <c r="E90" s="1607">
        <v>45</v>
      </c>
      <c r="F90" s="1607">
        <v>154286</v>
      </c>
    </row>
    <row r="91" spans="1:6" x14ac:dyDescent="0.2">
      <c r="A91" s="1607" t="s">
        <v>603</v>
      </c>
      <c r="B91" s="1607" t="s">
        <v>43</v>
      </c>
      <c r="C91" s="1607">
        <v>7</v>
      </c>
      <c r="D91" s="1607">
        <v>7</v>
      </c>
      <c r="E91" s="1607">
        <v>0</v>
      </c>
      <c r="F91" s="1607">
        <v>11192</v>
      </c>
    </row>
    <row r="92" spans="1:6" x14ac:dyDescent="0.2">
      <c r="A92" s="1607" t="s">
        <v>603</v>
      </c>
      <c r="B92" s="1607" t="s">
        <v>44</v>
      </c>
      <c r="C92" s="1607">
        <v>116</v>
      </c>
      <c r="D92" s="1607">
        <v>113</v>
      </c>
      <c r="E92" s="1607">
        <v>3</v>
      </c>
      <c r="F92" s="1607">
        <v>71810</v>
      </c>
    </row>
    <row r="93" spans="1:6" x14ac:dyDescent="0.2">
      <c r="A93" s="1607" t="s">
        <v>603</v>
      </c>
      <c r="B93" s="1607" t="s">
        <v>45</v>
      </c>
      <c r="C93" s="1607">
        <v>223</v>
      </c>
      <c r="D93" s="1607">
        <v>191</v>
      </c>
      <c r="E93" s="1607">
        <v>32</v>
      </c>
      <c r="F93" s="1607">
        <v>86449</v>
      </c>
    </row>
    <row r="94" spans="1:6" x14ac:dyDescent="0.2">
      <c r="A94" s="1607" t="s">
        <v>603</v>
      </c>
      <c r="B94" s="1607" t="s">
        <v>46</v>
      </c>
      <c r="C94" s="1607">
        <v>100</v>
      </c>
      <c r="D94" s="1607">
        <v>92</v>
      </c>
      <c r="E94" s="1607">
        <v>8</v>
      </c>
      <c r="F94" s="1607">
        <v>58167</v>
      </c>
    </row>
    <row r="95" spans="1:6" x14ac:dyDescent="0.2">
      <c r="A95" s="1607" t="s">
        <v>603</v>
      </c>
      <c r="B95" s="1607" t="s">
        <v>47</v>
      </c>
      <c r="C95" s="1607">
        <v>13</v>
      </c>
      <c r="D95" s="1607">
        <v>12</v>
      </c>
      <c r="E95" s="1607">
        <v>1</v>
      </c>
      <c r="F95" s="1607">
        <v>11180</v>
      </c>
    </row>
    <row r="96" spans="1:6" x14ac:dyDescent="0.2">
      <c r="A96" s="1607" t="s">
        <v>603</v>
      </c>
      <c r="B96" s="1607" t="s">
        <v>48</v>
      </c>
      <c r="C96" s="1607">
        <v>105</v>
      </c>
      <c r="D96" s="1607">
        <v>95</v>
      </c>
      <c r="E96" s="1607">
        <v>10</v>
      </c>
      <c r="F96" s="1607">
        <v>55252</v>
      </c>
    </row>
    <row r="97" spans="1:6" x14ac:dyDescent="0.2">
      <c r="A97" s="1607" t="s">
        <v>603</v>
      </c>
      <c r="B97" s="1607" t="s">
        <v>49</v>
      </c>
      <c r="C97" s="1607">
        <v>278</v>
      </c>
      <c r="D97" s="1607">
        <v>244</v>
      </c>
      <c r="E97" s="1607">
        <v>34</v>
      </c>
      <c r="F97" s="1607">
        <v>149972</v>
      </c>
    </row>
    <row r="98" spans="1:6" x14ac:dyDescent="0.2">
      <c r="A98" s="1607" t="s">
        <v>603</v>
      </c>
      <c r="B98" s="1607" t="s">
        <v>50</v>
      </c>
      <c r="C98" s="1607">
        <v>86</v>
      </c>
      <c r="D98" s="1607">
        <v>79</v>
      </c>
      <c r="E98" s="1607">
        <v>7</v>
      </c>
      <c r="F98" s="1607">
        <v>41250</v>
      </c>
    </row>
    <row r="99" spans="1:6" x14ac:dyDescent="0.2">
      <c r="A99" s="1607" t="s">
        <v>603</v>
      </c>
      <c r="B99" s="1607" t="s">
        <v>51</v>
      </c>
      <c r="C99" s="1607">
        <v>158</v>
      </c>
      <c r="D99" s="1607">
        <v>141</v>
      </c>
      <c r="E99" s="1607">
        <v>17</v>
      </c>
      <c r="F99" s="1607">
        <v>45093</v>
      </c>
    </row>
    <row r="100" spans="1:6" x14ac:dyDescent="0.2">
      <c r="A100" s="1607" t="s">
        <v>603</v>
      </c>
      <c r="B100" s="1607" t="s">
        <v>52</v>
      </c>
      <c r="C100" s="1607">
        <v>169</v>
      </c>
      <c r="D100" s="1607">
        <v>149</v>
      </c>
      <c r="E100" s="1607">
        <v>20</v>
      </c>
      <c r="F100" s="1607">
        <v>79112</v>
      </c>
    </row>
  </sheetData>
  <pageMargins left="0.7" right="0.7" top="0.75" bottom="0.75" header="0.3" footer="0.3"/>
  <pageSetup paperSize="9" fitToHeight="50" orientation="landscape" r:id="rId1"/>
  <legacy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fitToPage="1"/>
  </sheetPr>
  <dimension ref="A1:M26"/>
  <sheetViews>
    <sheetView zoomScale="85" zoomScaleNormal="85" workbookViewId="0">
      <pane ySplit="4" topLeftCell="A5" activePane="bottomLeft" state="frozen"/>
      <selection sqref="A1:B1"/>
      <selection pane="bottomLeft" sqref="A1:B1"/>
    </sheetView>
  </sheetViews>
  <sheetFormatPr defaultRowHeight="12.75" x14ac:dyDescent="0.2"/>
  <cols>
    <col min="1" max="1" width="7.7109375" bestFit="1" customWidth="1"/>
    <col min="2" max="2" width="7.85546875" bestFit="1" customWidth="1"/>
    <col min="3" max="3" width="5.140625" bestFit="1" customWidth="1"/>
    <col min="4" max="4" width="12.28515625" bestFit="1" customWidth="1"/>
    <col min="5" max="5" width="7.85546875" bestFit="1" customWidth="1"/>
    <col min="6" max="6" width="10.28515625" bestFit="1" customWidth="1"/>
    <col min="7" max="7" width="8.7109375" bestFit="1" customWidth="1"/>
    <col min="8" max="8" width="12.28515625" bestFit="1" customWidth="1"/>
    <col min="9" max="9" width="11.5703125" bestFit="1" customWidth="1"/>
    <col min="10" max="10" width="14.28515625" bestFit="1" customWidth="1"/>
    <col min="11" max="11" width="9.7109375" bestFit="1" customWidth="1"/>
    <col min="12" max="12" width="14.28515625" bestFit="1" customWidth="1"/>
    <col min="13" max="13" width="16.7109375" bestFit="1" customWidth="1"/>
  </cols>
  <sheetData>
    <row r="1" spans="1:13" x14ac:dyDescent="0.2"/>
    <row r="4" spans="1:13" x14ac:dyDescent="0.2">
      <c r="A4" s="1606" t="s">
        <v>1324</v>
      </c>
      <c r="B4" s="1606" t="s">
        <v>4</v>
      </c>
      <c r="C4" s="1606" t="s">
        <v>99</v>
      </c>
      <c r="D4" s="1606" t="s">
        <v>1325</v>
      </c>
      <c r="E4" s="1606" t="s">
        <v>1326</v>
      </c>
      <c r="F4" s="1606" t="s">
        <v>1327</v>
      </c>
      <c r="G4" s="1606" t="s">
        <v>1328</v>
      </c>
      <c r="H4" s="1606" t="s">
        <v>1329</v>
      </c>
      <c r="I4" s="1606" t="s">
        <v>1330</v>
      </c>
      <c r="J4" s="1606" t="s">
        <v>1331</v>
      </c>
      <c r="K4" s="1606" t="s">
        <v>155</v>
      </c>
      <c r="L4" s="1606" t="s">
        <v>1332</v>
      </c>
      <c r="M4" s="1606" t="s">
        <v>1333</v>
      </c>
    </row>
    <row r="5" spans="1:13" x14ac:dyDescent="0.2">
      <c r="A5" s="1607" t="s">
        <v>126</v>
      </c>
      <c r="B5" s="1607" t="s">
        <v>16</v>
      </c>
      <c r="C5" s="1607">
        <v>358</v>
      </c>
      <c r="D5" s="1607">
        <v>7</v>
      </c>
      <c r="E5" s="1607">
        <v>10319</v>
      </c>
      <c r="F5" s="1607">
        <v>201</v>
      </c>
      <c r="G5" s="1607">
        <v>293920</v>
      </c>
      <c r="H5" s="1607">
        <v>5720</v>
      </c>
      <c r="I5" s="1607">
        <v>115271</v>
      </c>
      <c r="J5" s="1607">
        <v>2243</v>
      </c>
      <c r="K5" s="1607">
        <v>51381100</v>
      </c>
      <c r="L5" s="1607">
        <v>172306</v>
      </c>
      <c r="M5" s="1607">
        <v>3353</v>
      </c>
    </row>
    <row r="6" spans="1:13" x14ac:dyDescent="0.2">
      <c r="A6" s="1607" t="s">
        <v>126</v>
      </c>
      <c r="B6" s="1607" t="s">
        <v>18</v>
      </c>
      <c r="C6" s="1607">
        <v>323</v>
      </c>
      <c r="D6" s="1607">
        <v>6</v>
      </c>
      <c r="E6" s="1607">
        <v>9227</v>
      </c>
      <c r="F6" s="1607">
        <v>178</v>
      </c>
      <c r="G6" s="1607">
        <v>249237</v>
      </c>
      <c r="H6" s="1607">
        <v>4810</v>
      </c>
      <c r="I6" s="1607">
        <v>104348</v>
      </c>
      <c r="J6" s="1607">
        <v>2014</v>
      </c>
      <c r="K6" s="1607">
        <v>51815900</v>
      </c>
      <c r="L6" s="1607">
        <v>136744</v>
      </c>
      <c r="M6" s="1607">
        <v>2639</v>
      </c>
    </row>
    <row r="7" spans="1:13" x14ac:dyDescent="0.2">
      <c r="A7" s="1607" t="s">
        <v>126</v>
      </c>
      <c r="B7" s="1607" t="s">
        <v>19</v>
      </c>
      <c r="C7" s="1607">
        <v>340</v>
      </c>
      <c r="D7" s="1607">
        <v>7</v>
      </c>
      <c r="E7" s="1607">
        <v>8864</v>
      </c>
      <c r="F7" s="1607">
        <v>170</v>
      </c>
      <c r="G7" s="1607">
        <v>241462</v>
      </c>
      <c r="H7" s="1607">
        <v>4626</v>
      </c>
      <c r="I7" s="1607">
        <v>101159</v>
      </c>
      <c r="J7" s="1607">
        <v>1938</v>
      </c>
      <c r="K7" s="1607">
        <v>52196400</v>
      </c>
      <c r="L7" s="1607">
        <v>132941</v>
      </c>
      <c r="M7" s="1607">
        <v>2547</v>
      </c>
    </row>
    <row r="8" spans="1:13" x14ac:dyDescent="0.2">
      <c r="A8" s="1607" t="s">
        <v>126</v>
      </c>
      <c r="B8" s="1607" t="s">
        <v>20</v>
      </c>
      <c r="C8" s="1607">
        <v>335</v>
      </c>
      <c r="D8" s="1607">
        <v>6</v>
      </c>
      <c r="E8" s="1607">
        <v>9397</v>
      </c>
      <c r="F8" s="1607">
        <v>179</v>
      </c>
      <c r="G8" s="1607">
        <v>228407</v>
      </c>
      <c r="H8" s="1607">
        <v>4339</v>
      </c>
      <c r="I8" s="1607">
        <v>92245</v>
      </c>
      <c r="J8" s="1607">
        <v>1752</v>
      </c>
      <c r="K8" s="1607">
        <v>52642500</v>
      </c>
      <c r="L8" s="1607">
        <v>128477</v>
      </c>
      <c r="M8" s="1607">
        <v>2441</v>
      </c>
    </row>
    <row r="9" spans="1:13" x14ac:dyDescent="0.2">
      <c r="A9" s="1607" t="s">
        <v>126</v>
      </c>
      <c r="B9" s="1607" t="s">
        <v>13</v>
      </c>
      <c r="C9" s="1607">
        <v>315</v>
      </c>
      <c r="D9" s="1607">
        <v>6</v>
      </c>
      <c r="E9" s="1607">
        <v>9375</v>
      </c>
      <c r="F9" s="1607">
        <v>177</v>
      </c>
      <c r="G9" s="1607">
        <v>223937</v>
      </c>
      <c r="H9" s="1607">
        <v>4217</v>
      </c>
      <c r="I9" s="1607">
        <v>86982</v>
      </c>
      <c r="J9" s="1607">
        <v>1638</v>
      </c>
      <c r="K9" s="1607">
        <v>53107200</v>
      </c>
      <c r="L9" s="1607">
        <v>131124</v>
      </c>
      <c r="M9" s="1607">
        <v>2469</v>
      </c>
    </row>
    <row r="10" spans="1:13" x14ac:dyDescent="0.2">
      <c r="A10" s="1607" t="s">
        <v>126</v>
      </c>
      <c r="B10" s="1607" t="s">
        <v>15</v>
      </c>
      <c r="C10" s="1607">
        <v>286</v>
      </c>
      <c r="D10" s="1607">
        <v>5</v>
      </c>
      <c r="E10" s="1607">
        <v>8429</v>
      </c>
      <c r="F10" s="1607">
        <v>158</v>
      </c>
      <c r="G10" s="1607">
        <v>154456</v>
      </c>
      <c r="H10" s="1607">
        <v>2887</v>
      </c>
      <c r="I10" s="1607">
        <v>74709</v>
      </c>
      <c r="J10" s="1607">
        <v>1397</v>
      </c>
      <c r="K10" s="1607">
        <v>53493700</v>
      </c>
      <c r="L10" s="1607">
        <v>72497</v>
      </c>
      <c r="M10" s="1607">
        <v>1355</v>
      </c>
    </row>
    <row r="11" spans="1:13" x14ac:dyDescent="0.2">
      <c r="A11" s="1607" t="s">
        <v>126</v>
      </c>
      <c r="B11" s="1607" t="s">
        <v>17</v>
      </c>
      <c r="C11" s="1607">
        <v>276</v>
      </c>
      <c r="D11" s="1607">
        <v>5</v>
      </c>
      <c r="E11" s="1607">
        <v>7816</v>
      </c>
      <c r="F11" s="1607">
        <v>145</v>
      </c>
      <c r="G11" s="1607">
        <v>171343</v>
      </c>
      <c r="H11" s="1607">
        <v>3181</v>
      </c>
      <c r="I11" s="1607">
        <v>73225</v>
      </c>
      <c r="J11" s="1607">
        <v>1359</v>
      </c>
      <c r="K11" s="1607">
        <v>53865800</v>
      </c>
      <c r="L11" s="1607">
        <v>92131</v>
      </c>
      <c r="M11" s="1607">
        <v>1710</v>
      </c>
    </row>
    <row r="12" spans="1:13" x14ac:dyDescent="0.2">
      <c r="A12" s="1607" t="s">
        <v>126</v>
      </c>
      <c r="B12" s="1607" t="s">
        <v>147</v>
      </c>
      <c r="C12" s="1607">
        <v>263</v>
      </c>
      <c r="D12" s="1607">
        <v>5</v>
      </c>
      <c r="E12" s="1607">
        <v>7588</v>
      </c>
      <c r="F12" s="1607">
        <v>140</v>
      </c>
      <c r="G12" s="1607">
        <v>155037</v>
      </c>
      <c r="H12" s="1607">
        <v>2854</v>
      </c>
      <c r="I12" s="1607">
        <v>71112</v>
      </c>
      <c r="J12" s="1607">
        <v>1309</v>
      </c>
      <c r="K12" s="1607">
        <v>54316600</v>
      </c>
      <c r="L12" s="1607">
        <v>78740</v>
      </c>
      <c r="M12" s="1607">
        <v>1450</v>
      </c>
    </row>
    <row r="13" spans="1:13" x14ac:dyDescent="0.2">
      <c r="A13" s="1607" t="s">
        <v>126</v>
      </c>
      <c r="B13" s="1607" t="s">
        <v>160</v>
      </c>
      <c r="C13" s="1607">
        <v>303</v>
      </c>
      <c r="D13" s="1607">
        <v>6</v>
      </c>
      <c r="E13" s="1607">
        <v>7664</v>
      </c>
      <c r="F13" s="1607">
        <v>140</v>
      </c>
      <c r="G13" s="1607">
        <v>162247</v>
      </c>
      <c r="H13" s="1607">
        <v>2961</v>
      </c>
      <c r="I13" s="1607">
        <v>73464</v>
      </c>
      <c r="J13" s="1607">
        <v>1341</v>
      </c>
      <c r="K13" s="1607">
        <v>54786300</v>
      </c>
      <c r="L13" s="1607">
        <v>84582</v>
      </c>
      <c r="M13" s="1607">
        <v>1544</v>
      </c>
    </row>
    <row r="14" spans="1:13" x14ac:dyDescent="0.2">
      <c r="A14" s="1607" t="s">
        <v>126</v>
      </c>
      <c r="B14" s="1607" t="s">
        <v>379</v>
      </c>
      <c r="C14" s="1607">
        <v>263</v>
      </c>
      <c r="D14" s="1607">
        <v>5</v>
      </c>
      <c r="E14" s="1607">
        <v>7092</v>
      </c>
      <c r="F14" s="1607">
        <v>128</v>
      </c>
      <c r="G14" s="1607">
        <v>161997</v>
      </c>
      <c r="H14" s="1607">
        <v>2931</v>
      </c>
      <c r="I14" s="1607">
        <v>74914</v>
      </c>
      <c r="J14" s="1607">
        <v>1355</v>
      </c>
      <c r="K14" s="1607">
        <v>55268100</v>
      </c>
      <c r="L14" s="1607">
        <v>82842</v>
      </c>
      <c r="M14" s="1607">
        <v>1499</v>
      </c>
    </row>
    <row r="15" spans="1:13" x14ac:dyDescent="0.2">
      <c r="A15" s="1607" t="s">
        <v>126</v>
      </c>
      <c r="B15" s="1607" t="s">
        <v>603</v>
      </c>
      <c r="C15" s="1607">
        <v>334</v>
      </c>
      <c r="D15" s="1607">
        <v>6</v>
      </c>
      <c r="E15" s="1607">
        <v>7290</v>
      </c>
      <c r="F15" s="1607">
        <v>131</v>
      </c>
      <c r="G15" s="1607">
        <v>167150</v>
      </c>
      <c r="H15" s="1607">
        <v>3005</v>
      </c>
      <c r="I15" s="1607">
        <v>74118</v>
      </c>
      <c r="J15" s="1607">
        <v>1333</v>
      </c>
      <c r="K15" s="1607">
        <v>55619400</v>
      </c>
      <c r="L15" s="1607">
        <v>89017</v>
      </c>
      <c r="M15" s="1607">
        <v>1600</v>
      </c>
    </row>
    <row r="16" spans="1:13" x14ac:dyDescent="0.2">
      <c r="A16" s="1607" t="s">
        <v>127</v>
      </c>
      <c r="B16" s="1607" t="s">
        <v>16</v>
      </c>
      <c r="C16" s="1607">
        <v>28</v>
      </c>
      <c r="D16" s="1607">
        <v>9.3137775051649889</v>
      </c>
      <c r="E16" s="1607">
        <v>632</v>
      </c>
      <c r="F16" s="1607">
        <v>210.23</v>
      </c>
      <c r="G16" s="1607">
        <v>24661</v>
      </c>
      <c r="H16" s="1607">
        <v>8203.1068090343615</v>
      </c>
      <c r="I16" s="1607">
        <v>7689</v>
      </c>
      <c r="J16" s="1607">
        <v>2557.628979143798</v>
      </c>
      <c r="K16" s="1607">
        <v>3006300</v>
      </c>
      <c r="L16" s="1607">
        <v>16352</v>
      </c>
      <c r="M16" s="1607">
        <v>5439</v>
      </c>
    </row>
    <row r="17" spans="1:13" x14ac:dyDescent="0.2">
      <c r="A17" s="1607" t="s">
        <v>127</v>
      </c>
      <c r="B17" s="1607" t="s">
        <v>18</v>
      </c>
      <c r="C17" s="1607">
        <v>17</v>
      </c>
      <c r="D17" s="1607">
        <v>5.6182244626085689</v>
      </c>
      <c r="E17" s="1607">
        <v>657</v>
      </c>
      <c r="F17" s="1607">
        <v>217.13</v>
      </c>
      <c r="G17" s="1607">
        <v>19521</v>
      </c>
      <c r="H17" s="1607">
        <v>6451.3037443405274</v>
      </c>
      <c r="I17" s="1607">
        <v>6985</v>
      </c>
      <c r="J17" s="1607">
        <v>2308.4041111735351</v>
      </c>
      <c r="K17" s="1607">
        <v>3025900</v>
      </c>
      <c r="L17" s="1607">
        <v>11724</v>
      </c>
      <c r="M17" s="1607">
        <v>3875</v>
      </c>
    </row>
    <row r="18" spans="1:13" x14ac:dyDescent="0.2">
      <c r="A18" s="1607" t="s">
        <v>127</v>
      </c>
      <c r="B18" s="1607" t="s">
        <v>19</v>
      </c>
      <c r="C18" s="1607">
        <v>23</v>
      </c>
      <c r="D18" s="1607">
        <v>7.5685978218233601</v>
      </c>
      <c r="E18" s="1607">
        <v>575</v>
      </c>
      <c r="F18" s="1607">
        <v>189.21</v>
      </c>
      <c r="G18" s="1607">
        <v>19152</v>
      </c>
      <c r="H18" s="1607">
        <v>6302.2804304189012</v>
      </c>
      <c r="I18" s="1607">
        <v>6800</v>
      </c>
      <c r="J18" s="1607">
        <v>2237.6517818947646</v>
      </c>
      <c r="K18" s="1607">
        <v>3038900</v>
      </c>
      <c r="L18" s="1607">
        <v>11562</v>
      </c>
      <c r="M18" s="1607">
        <v>3805</v>
      </c>
    </row>
    <row r="19" spans="1:13" x14ac:dyDescent="0.2">
      <c r="A19" s="1607" t="s">
        <v>127</v>
      </c>
      <c r="B19" s="1607" t="s">
        <v>20</v>
      </c>
      <c r="C19" s="1607">
        <v>21</v>
      </c>
      <c r="D19" s="1607">
        <v>6.8853113685343246</v>
      </c>
      <c r="E19" s="1607">
        <v>607</v>
      </c>
      <c r="F19" s="1607">
        <v>199.02</v>
      </c>
      <c r="G19" s="1607">
        <v>20688</v>
      </c>
      <c r="H19" s="1607">
        <v>6782.9508196721308</v>
      </c>
      <c r="I19" s="1607">
        <v>6414</v>
      </c>
      <c r="J19" s="1607">
        <v>2102.9508196721313</v>
      </c>
      <c r="K19" s="1607">
        <v>3050000</v>
      </c>
      <c r="L19" s="1607">
        <v>13503</v>
      </c>
      <c r="M19" s="1607">
        <v>4427</v>
      </c>
    </row>
    <row r="20" spans="1:13" x14ac:dyDescent="0.2">
      <c r="A20" s="1607" t="s">
        <v>127</v>
      </c>
      <c r="B20" s="1607" t="s">
        <v>13</v>
      </c>
      <c r="C20" s="1607">
        <v>23</v>
      </c>
      <c r="D20" s="1607">
        <v>7.5071203404446436</v>
      </c>
      <c r="E20" s="1607">
        <v>592</v>
      </c>
      <c r="F20" s="1607">
        <v>193.23</v>
      </c>
      <c r="G20" s="1607">
        <v>16464</v>
      </c>
      <c r="H20" s="1607">
        <v>5373.718911156081</v>
      </c>
      <c r="I20" s="1607">
        <v>5687</v>
      </c>
      <c r="J20" s="1607">
        <v>1856.1916574188915</v>
      </c>
      <c r="K20" s="1607">
        <v>3063800</v>
      </c>
      <c r="L20" s="1607">
        <v>10162</v>
      </c>
      <c r="M20" s="1607">
        <v>3317</v>
      </c>
    </row>
    <row r="21" spans="1:13" x14ac:dyDescent="0.2">
      <c r="A21" s="1607" t="s">
        <v>127</v>
      </c>
      <c r="B21" s="1607" t="s">
        <v>15</v>
      </c>
      <c r="C21" s="1607">
        <v>17</v>
      </c>
      <c r="D21" s="1607">
        <v>5.5301332078968999</v>
      </c>
      <c r="E21" s="1607">
        <v>541</v>
      </c>
      <c r="F21" s="1607">
        <v>175.99</v>
      </c>
      <c r="G21" s="1607">
        <v>11438</v>
      </c>
      <c r="H21" s="1607">
        <v>3720.7638007872224</v>
      </c>
      <c r="I21" s="1607">
        <v>4745</v>
      </c>
      <c r="J21" s="1607">
        <v>1543.5411990501284</v>
      </c>
      <c r="K21" s="1607">
        <v>3074100</v>
      </c>
      <c r="L21" s="1607">
        <v>5922</v>
      </c>
      <c r="M21" s="1607">
        <v>1926</v>
      </c>
    </row>
    <row r="22" spans="1:13" x14ac:dyDescent="0.2">
      <c r="A22" s="1607" t="s">
        <v>127</v>
      </c>
      <c r="B22" s="1607" t="s">
        <v>17</v>
      </c>
      <c r="C22" s="1607">
        <v>17</v>
      </c>
      <c r="D22" s="1607">
        <v>5.5151615033940953</v>
      </c>
      <c r="E22" s="1607">
        <v>626</v>
      </c>
      <c r="F22" s="1607">
        <v>203.09</v>
      </c>
      <c r="G22" s="1607">
        <v>13169</v>
      </c>
      <c r="H22" s="1607">
        <v>4272.3202699195426</v>
      </c>
      <c r="I22" s="1607">
        <v>4790</v>
      </c>
      <c r="J22" s="1607">
        <v>1553.9839086426161</v>
      </c>
      <c r="K22" s="1607">
        <v>3082400</v>
      </c>
      <c r="L22" s="1607">
        <v>7801</v>
      </c>
      <c r="M22" s="1607">
        <v>2531</v>
      </c>
    </row>
    <row r="23" spans="1:13" x14ac:dyDescent="0.2">
      <c r="A23" s="1607" t="s">
        <v>127</v>
      </c>
      <c r="B23" s="1607" t="s">
        <v>147</v>
      </c>
      <c r="C23" s="1607">
        <v>20</v>
      </c>
      <c r="D23" s="1607">
        <v>6.4682299947348607</v>
      </c>
      <c r="E23" s="1607">
        <v>543</v>
      </c>
      <c r="F23" s="1607">
        <v>175.61</v>
      </c>
      <c r="G23" s="1607">
        <v>11651</v>
      </c>
      <c r="H23" s="1607">
        <v>3768.1112548512288</v>
      </c>
      <c r="I23" s="1607">
        <v>4561</v>
      </c>
      <c r="J23" s="1607">
        <v>1475.0970245795602</v>
      </c>
      <c r="K23" s="1607">
        <v>3092000</v>
      </c>
      <c r="L23" s="1607">
        <v>6541</v>
      </c>
      <c r="M23" s="1607">
        <v>2115</v>
      </c>
    </row>
    <row r="24" spans="1:13" x14ac:dyDescent="0.2">
      <c r="A24" s="1607" t="s">
        <v>127</v>
      </c>
      <c r="B24" s="1607" t="s">
        <v>160</v>
      </c>
      <c r="C24" s="1607">
        <v>19</v>
      </c>
      <c r="D24" s="1607">
        <v>6.1308398669801347</v>
      </c>
      <c r="E24" s="1607">
        <v>592</v>
      </c>
      <c r="F24" s="1607">
        <v>191.02</v>
      </c>
      <c r="G24" s="1607">
        <v>12108</v>
      </c>
      <c r="H24" s="1607">
        <v>3906.9407247265335</v>
      </c>
      <c r="I24" s="1607">
        <v>4678</v>
      </c>
      <c r="J24" s="1607">
        <v>1509.4704914329966</v>
      </c>
      <c r="K24" s="1607">
        <v>3099100</v>
      </c>
      <c r="L24" s="1607">
        <v>6998</v>
      </c>
      <c r="M24" s="1607">
        <v>2258</v>
      </c>
    </row>
    <row r="25" spans="1:13" x14ac:dyDescent="0.2">
      <c r="A25" s="1607" t="s">
        <v>127</v>
      </c>
      <c r="B25" s="1607" t="s">
        <v>379</v>
      </c>
      <c r="C25" s="1607">
        <v>19</v>
      </c>
      <c r="D25" s="1607">
        <v>6.1031431187061331</v>
      </c>
      <c r="E25" s="1607">
        <v>621</v>
      </c>
      <c r="F25" s="1607">
        <v>199.48</v>
      </c>
      <c r="G25" s="1607">
        <v>10750</v>
      </c>
      <c r="H25" s="1607">
        <v>3453.0386740331492</v>
      </c>
      <c r="I25" s="1607">
        <v>4757</v>
      </c>
      <c r="J25" s="1607">
        <v>1528.0097648721573</v>
      </c>
      <c r="K25" s="1607">
        <v>3113200</v>
      </c>
      <c r="L25" s="1607">
        <v>5576</v>
      </c>
      <c r="M25" s="1607">
        <v>1791</v>
      </c>
    </row>
    <row r="26" spans="1:13" x14ac:dyDescent="0.2">
      <c r="A26" s="1607" t="s">
        <v>127</v>
      </c>
      <c r="B26" s="1607" t="s">
        <v>603</v>
      </c>
      <c r="C26" s="1607">
        <v>15</v>
      </c>
      <c r="D26" s="1607">
        <v>4.7997465733809257</v>
      </c>
      <c r="E26" s="1607">
        <v>526</v>
      </c>
      <c r="F26" s="1607">
        <v>168.96</v>
      </c>
      <c r="G26" s="1607">
        <v>11020</v>
      </c>
      <c r="H26" s="1607">
        <v>3526.1743248432099</v>
      </c>
      <c r="I26" s="1607">
        <v>4315</v>
      </c>
      <c r="J26" s="1607">
        <v>1380.7116344553949</v>
      </c>
      <c r="K26" s="1607">
        <v>3125200</v>
      </c>
      <c r="L26" s="1607">
        <v>6299</v>
      </c>
      <c r="M26" s="1607">
        <v>2016</v>
      </c>
    </row>
  </sheetData>
  <pageMargins left="0.7" right="0.7" top="0.75" bottom="0.75" header="0.3" footer="0.3"/>
  <pageSetup paperSize="9" fitToHeight="5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7">
    <tabColor rgb="FF960000"/>
    <pageSetUpPr fitToPage="1"/>
  </sheetPr>
  <dimension ref="A1:C13"/>
  <sheetViews>
    <sheetView showGridLines="0" zoomScaleNormal="100" workbookViewId="0"/>
  </sheetViews>
  <sheetFormatPr defaultRowHeight="12.75" x14ac:dyDescent="0.2"/>
  <cols>
    <col min="2" max="2" width="16.140625" bestFit="1" customWidth="1"/>
  </cols>
  <sheetData>
    <row r="1" spans="1:3" ht="33.75" customHeight="1" x14ac:dyDescent="0.35">
      <c r="A1" s="1259" t="str">
        <f>"Choropleth Map and Cartogram of All Fire Rates per 100,000 Population by Local Authority, " &amp; ThisYear</f>
        <v>Choropleth Map and Cartogram of All Fire Rates per 100,000 Population by Local Authority, 2017-18</v>
      </c>
    </row>
    <row r="3" spans="1:3" ht="15" x14ac:dyDescent="0.2">
      <c r="A3" s="1352"/>
    </row>
    <row r="9" spans="1:3" x14ac:dyDescent="0.2">
      <c r="C9" s="768"/>
    </row>
    <row r="10" spans="1:3" x14ac:dyDescent="0.2">
      <c r="C10" s="768"/>
    </row>
    <row r="11" spans="1:3" x14ac:dyDescent="0.2">
      <c r="C11" s="768"/>
    </row>
    <row r="12" spans="1:3" x14ac:dyDescent="0.2">
      <c r="C12" s="768"/>
    </row>
    <row r="13" spans="1:3" x14ac:dyDescent="0.2">
      <c r="C13" s="768"/>
    </row>
  </sheetData>
  <sheetProtection algorithmName="SHA-512" hashValue="i/drol3LmBsEI4DyQboNFaqKAnKJ4+KhrsGlD+UTAn0x+Veh34P2bqfpDZoh4YxR/RcdsiBm1kfjP01u+Q/xXA==" saltValue="en3xT6Ixk8PHUEn6Pc9qOg==" spinCount="100000" sheet="1" objects="1" scenarios="1"/>
  <pageMargins left="0.25" right="0.25" top="0.75" bottom="0.75" header="0.3" footer="0.3"/>
  <pageSetup paperSize="9" scale="89" orientation="landscape"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fitToPage="1"/>
  </sheetPr>
  <dimension ref="A1:F176"/>
  <sheetViews>
    <sheetView zoomScale="85" zoomScaleNormal="85" workbookViewId="0">
      <pane ySplit="4" topLeftCell="A53" activePane="bottomLeft" state="frozen"/>
      <selection sqref="A1:B1"/>
      <selection pane="bottomLeft" sqref="A1:B1"/>
    </sheetView>
  </sheetViews>
  <sheetFormatPr defaultRowHeight="12.75" x14ac:dyDescent="0.2"/>
  <cols>
    <col min="1" max="1" width="5.140625" customWidth="1"/>
    <col min="2" max="6" width="8.140625" bestFit="1" customWidth="1"/>
  </cols>
  <sheetData>
    <row r="1" spans="1:6" x14ac:dyDescent="0.2"/>
    <row r="4" spans="1:6" x14ac:dyDescent="0.2">
      <c r="A4" s="1606" t="s">
        <v>4</v>
      </c>
      <c r="B4" s="1606" t="s">
        <v>11</v>
      </c>
      <c r="C4" s="1606" t="s">
        <v>200</v>
      </c>
      <c r="D4" s="1606" t="s">
        <v>201</v>
      </c>
      <c r="E4" s="1606" t="s">
        <v>202</v>
      </c>
      <c r="F4" s="1606" t="s">
        <v>203</v>
      </c>
    </row>
    <row r="5" spans="1:6" x14ac:dyDescent="0.2">
      <c r="A5" s="1607" t="s">
        <v>160</v>
      </c>
      <c r="B5" s="1607">
        <v>5373000</v>
      </c>
      <c r="C5" s="1607">
        <v>971022</v>
      </c>
      <c r="D5" s="1607">
        <v>920189</v>
      </c>
      <c r="E5" s="1607">
        <v>2181793</v>
      </c>
      <c r="F5" s="1607">
        <v>1299996</v>
      </c>
    </row>
    <row r="6" spans="1:6" x14ac:dyDescent="0.2">
      <c r="A6" s="1607" t="s">
        <v>379</v>
      </c>
      <c r="B6" s="1607">
        <v>5404700</v>
      </c>
      <c r="C6" s="1607">
        <v>972780</v>
      </c>
      <c r="D6" s="1607">
        <v>924449</v>
      </c>
      <c r="E6" s="1607">
        <v>2187067</v>
      </c>
      <c r="F6" s="1607">
        <v>1320404</v>
      </c>
    </row>
    <row r="7" spans="1:6" x14ac:dyDescent="0.2">
      <c r="A7" s="1607" t="s">
        <v>603</v>
      </c>
      <c r="B7" s="1607">
        <v>5424800</v>
      </c>
      <c r="C7" s="1607">
        <v>973036</v>
      </c>
      <c r="D7" s="1607">
        <v>920015</v>
      </c>
      <c r="E7" s="1607">
        <v>2190171</v>
      </c>
      <c r="F7" s="1607">
        <v>1341578</v>
      </c>
    </row>
    <row r="15" spans="1:6" x14ac:dyDescent="0.2">
      <c r="A15" s="1608" t="s">
        <v>4</v>
      </c>
      <c r="B15" s="1608" t="s">
        <v>1334</v>
      </c>
      <c r="C15" s="1608" t="s">
        <v>1225</v>
      </c>
      <c r="D15" s="1608" t="s">
        <v>1226</v>
      </c>
    </row>
    <row r="16" spans="1:6" x14ac:dyDescent="0.2">
      <c r="A16" s="1607">
        <v>2007</v>
      </c>
      <c r="B16" s="1607">
        <v>5170000</v>
      </c>
      <c r="C16" s="1607">
        <v>2673441</v>
      </c>
      <c r="D16" s="1607">
        <v>2496559</v>
      </c>
    </row>
    <row r="17" spans="1:6" x14ac:dyDescent="0.2">
      <c r="A17" s="1607">
        <v>2008</v>
      </c>
      <c r="B17" s="1607">
        <v>5202900</v>
      </c>
      <c r="C17" s="1607">
        <v>2687602</v>
      </c>
      <c r="D17" s="1607">
        <v>2515298</v>
      </c>
    </row>
    <row r="18" spans="1:6" x14ac:dyDescent="0.2">
      <c r="A18" s="1607">
        <v>2009</v>
      </c>
      <c r="B18" s="1607">
        <v>5231900</v>
      </c>
      <c r="C18" s="1607">
        <v>2699931</v>
      </c>
      <c r="D18" s="1607">
        <v>2531969</v>
      </c>
    </row>
    <row r="19" spans="1:6" x14ac:dyDescent="0.2">
      <c r="A19" s="1607">
        <v>2010</v>
      </c>
      <c r="B19" s="1607">
        <v>5262200</v>
      </c>
      <c r="C19" s="1607">
        <v>2713982</v>
      </c>
      <c r="D19" s="1607">
        <v>2548218</v>
      </c>
    </row>
    <row r="20" spans="1:6" x14ac:dyDescent="0.2">
      <c r="A20" s="1607">
        <v>2011</v>
      </c>
      <c r="B20" s="1607">
        <v>5299900</v>
      </c>
      <c r="C20" s="1607">
        <v>2729600</v>
      </c>
      <c r="D20" s="1607">
        <v>2570300</v>
      </c>
    </row>
    <row r="21" spans="1:6" x14ac:dyDescent="0.2">
      <c r="A21" s="1607">
        <v>2012</v>
      </c>
      <c r="B21" s="1607">
        <v>5313600</v>
      </c>
      <c r="C21" s="1607">
        <v>2736310</v>
      </c>
      <c r="D21" s="1607">
        <v>2577290</v>
      </c>
    </row>
    <row r="22" spans="1:6" x14ac:dyDescent="0.2">
      <c r="A22" s="1607">
        <v>2013</v>
      </c>
      <c r="B22" s="1607">
        <v>5327700</v>
      </c>
      <c r="C22" s="1607">
        <v>2741020</v>
      </c>
      <c r="D22" s="1607">
        <v>2586680</v>
      </c>
    </row>
    <row r="23" spans="1:6" x14ac:dyDescent="0.2">
      <c r="A23" s="1607">
        <v>2014</v>
      </c>
      <c r="B23" s="1607">
        <v>5347600</v>
      </c>
      <c r="C23" s="1607">
        <v>2751070</v>
      </c>
      <c r="D23" s="1607">
        <v>2596530</v>
      </c>
    </row>
    <row r="24" spans="1:6" x14ac:dyDescent="0.2">
      <c r="A24" s="1607">
        <v>2015</v>
      </c>
      <c r="B24" s="1607">
        <v>5373000</v>
      </c>
      <c r="C24" s="1607">
        <v>2762531</v>
      </c>
      <c r="D24" s="1607">
        <v>2610469</v>
      </c>
    </row>
    <row r="25" spans="1:6" x14ac:dyDescent="0.2">
      <c r="A25" s="1607">
        <v>2016</v>
      </c>
      <c r="B25" s="1607">
        <v>5404700</v>
      </c>
      <c r="C25" s="1607">
        <v>2777197</v>
      </c>
      <c r="D25" s="1607">
        <v>2627503</v>
      </c>
    </row>
    <row r="26" spans="1:6" x14ac:dyDescent="0.2">
      <c r="A26" s="1607">
        <v>2017</v>
      </c>
      <c r="B26" s="1607">
        <v>5424800</v>
      </c>
      <c r="C26" s="1607">
        <v>2784500</v>
      </c>
      <c r="D26" s="1607">
        <v>2640300</v>
      </c>
    </row>
    <row r="30" spans="1:6" x14ac:dyDescent="0.2">
      <c r="A30" s="1608" t="s">
        <v>4</v>
      </c>
      <c r="B30" s="1608" t="s">
        <v>11</v>
      </c>
      <c r="C30" s="1608" t="s">
        <v>200</v>
      </c>
      <c r="D30" s="1608" t="s">
        <v>201</v>
      </c>
      <c r="E30" s="1608" t="s">
        <v>202</v>
      </c>
      <c r="F30" s="1608" t="s">
        <v>203</v>
      </c>
    </row>
    <row r="31" spans="1:6" x14ac:dyDescent="0.2">
      <c r="A31" s="1607" t="s">
        <v>16</v>
      </c>
      <c r="B31" s="1607">
        <v>5170000</v>
      </c>
      <c r="C31" s="1607">
        <v>988575</v>
      </c>
      <c r="D31" s="1607">
        <v>867055</v>
      </c>
      <c r="E31" s="1607">
        <v>2165600</v>
      </c>
      <c r="F31" s="1607">
        <v>1148770</v>
      </c>
    </row>
    <row r="32" spans="1:6" x14ac:dyDescent="0.2">
      <c r="A32" s="1607" t="s">
        <v>18</v>
      </c>
      <c r="B32" s="1607">
        <v>5202900</v>
      </c>
      <c r="C32" s="1607">
        <v>987067</v>
      </c>
      <c r="D32" s="1607">
        <v>883307</v>
      </c>
      <c r="E32" s="1607">
        <v>2159794</v>
      </c>
      <c r="F32" s="1607">
        <v>1172732</v>
      </c>
    </row>
    <row r="33" spans="1:6" x14ac:dyDescent="0.2">
      <c r="A33" s="1607" t="s">
        <v>19</v>
      </c>
      <c r="B33" s="1607">
        <v>5231900</v>
      </c>
      <c r="C33" s="1607">
        <v>984309</v>
      </c>
      <c r="D33" s="1607">
        <v>893916</v>
      </c>
      <c r="E33" s="1607">
        <v>2159788</v>
      </c>
      <c r="F33" s="1607">
        <v>1193887</v>
      </c>
    </row>
    <row r="34" spans="1:6" x14ac:dyDescent="0.2">
      <c r="A34" s="1607" t="s">
        <v>20</v>
      </c>
      <c r="B34" s="1607">
        <v>5262200</v>
      </c>
      <c r="C34" s="1607">
        <v>981096</v>
      </c>
      <c r="D34" s="1607">
        <v>903573</v>
      </c>
      <c r="E34" s="1607">
        <v>2163995</v>
      </c>
      <c r="F34" s="1607">
        <v>1213536</v>
      </c>
    </row>
    <row r="35" spans="1:6" x14ac:dyDescent="0.2">
      <c r="A35" s="1607" t="s">
        <v>13</v>
      </c>
      <c r="B35" s="1607">
        <v>5299900</v>
      </c>
      <c r="C35" s="1607">
        <v>978075</v>
      </c>
      <c r="D35" s="1607">
        <v>915437</v>
      </c>
      <c r="E35" s="1607">
        <v>2173561</v>
      </c>
      <c r="F35" s="1607">
        <v>1232827</v>
      </c>
    </row>
    <row r="36" spans="1:6" x14ac:dyDescent="0.2">
      <c r="A36" s="1607" t="s">
        <v>15</v>
      </c>
      <c r="B36" s="1607">
        <v>5313600</v>
      </c>
      <c r="C36" s="1607">
        <v>976055</v>
      </c>
      <c r="D36" s="1607">
        <v>914515</v>
      </c>
      <c r="E36" s="1607">
        <v>2174666</v>
      </c>
      <c r="F36" s="1607">
        <v>1248364</v>
      </c>
    </row>
    <row r="37" spans="1:6" x14ac:dyDescent="0.2">
      <c r="A37" s="1607" t="s">
        <v>17</v>
      </c>
      <c r="B37" s="1607">
        <v>5327700</v>
      </c>
      <c r="C37" s="1607">
        <v>973340</v>
      </c>
      <c r="D37" s="1607">
        <v>914383</v>
      </c>
      <c r="E37" s="1607">
        <v>2175770</v>
      </c>
      <c r="F37" s="1607">
        <v>1264207</v>
      </c>
    </row>
    <row r="38" spans="1:6" x14ac:dyDescent="0.2">
      <c r="A38" s="1607" t="s">
        <v>147</v>
      </c>
      <c r="B38" s="1607">
        <v>5347600</v>
      </c>
      <c r="C38" s="1607">
        <v>970875</v>
      </c>
      <c r="D38" s="1607">
        <v>915972</v>
      </c>
      <c r="E38" s="1607">
        <v>2176493</v>
      </c>
      <c r="F38" s="1607">
        <v>1284260</v>
      </c>
    </row>
    <row r="39" spans="1:6" x14ac:dyDescent="0.2">
      <c r="A39" s="1607" t="s">
        <v>160</v>
      </c>
      <c r="B39" s="1607">
        <v>5373000</v>
      </c>
      <c r="C39" s="1607">
        <v>971022</v>
      </c>
      <c r="D39" s="1607">
        <v>920189</v>
      </c>
      <c r="E39" s="1607">
        <v>2181793</v>
      </c>
      <c r="F39" s="1607">
        <v>1299996</v>
      </c>
    </row>
    <row r="40" spans="1:6" x14ac:dyDescent="0.2">
      <c r="A40" s="1607" t="s">
        <v>379</v>
      </c>
      <c r="B40" s="1607">
        <v>5404700</v>
      </c>
      <c r="C40" s="1607">
        <v>972780</v>
      </c>
      <c r="D40" s="1607">
        <v>924449</v>
      </c>
      <c r="E40" s="1607">
        <v>2187067</v>
      </c>
      <c r="F40" s="1607">
        <v>1320404</v>
      </c>
    </row>
    <row r="41" spans="1:6" x14ac:dyDescent="0.2">
      <c r="A41" s="1607" t="s">
        <v>603</v>
      </c>
      <c r="B41" s="1607">
        <v>5424800</v>
      </c>
      <c r="C41" s="1607">
        <v>973036</v>
      </c>
      <c r="D41" s="1607">
        <v>920015</v>
      </c>
      <c r="E41" s="1607">
        <v>2190171</v>
      </c>
      <c r="F41" s="1607">
        <v>1341578</v>
      </c>
    </row>
    <row r="80" spans="1:3" x14ac:dyDescent="0.2">
      <c r="A80" s="1608" t="s">
        <v>4</v>
      </c>
      <c r="B80" s="1608" t="s">
        <v>1335</v>
      </c>
      <c r="C80" s="1608" t="s">
        <v>5</v>
      </c>
    </row>
    <row r="81" spans="1:3" x14ac:dyDescent="0.2">
      <c r="A81" s="1607" t="s">
        <v>160</v>
      </c>
      <c r="B81" s="1607" t="s">
        <v>23</v>
      </c>
      <c r="C81" s="1607">
        <v>114234</v>
      </c>
    </row>
    <row r="82" spans="1:3" x14ac:dyDescent="0.2">
      <c r="A82" s="1607" t="s">
        <v>160</v>
      </c>
      <c r="B82" s="1607" t="s">
        <v>24</v>
      </c>
      <c r="C82" s="1607">
        <v>115223</v>
      </c>
    </row>
    <row r="83" spans="1:3" x14ac:dyDescent="0.2">
      <c r="A83" s="1607" t="s">
        <v>160</v>
      </c>
      <c r="B83" s="1607" t="s">
        <v>25</v>
      </c>
      <c r="C83" s="1607">
        <v>55619</v>
      </c>
    </row>
    <row r="84" spans="1:3" x14ac:dyDescent="0.2">
      <c r="A84" s="1607" t="s">
        <v>160</v>
      </c>
      <c r="B84" s="1607" t="s">
        <v>26</v>
      </c>
      <c r="C84" s="1607">
        <v>47712</v>
      </c>
    </row>
    <row r="85" spans="1:3" x14ac:dyDescent="0.2">
      <c r="A85" s="1607" t="s">
        <v>160</v>
      </c>
      <c r="B85" s="1607" t="s">
        <v>27</v>
      </c>
      <c r="C85" s="1607">
        <v>24114</v>
      </c>
    </row>
    <row r="86" spans="1:3" x14ac:dyDescent="0.2">
      <c r="A86" s="1607" t="s">
        <v>160</v>
      </c>
      <c r="B86" s="1607" t="s">
        <v>28</v>
      </c>
      <c r="C86" s="1607">
        <v>74190</v>
      </c>
    </row>
    <row r="87" spans="1:3" x14ac:dyDescent="0.2">
      <c r="A87" s="1607" t="s">
        <v>160</v>
      </c>
      <c r="B87" s="1607" t="s">
        <v>29</v>
      </c>
      <c r="C87" s="1607">
        <v>73689</v>
      </c>
    </row>
    <row r="88" spans="1:3" x14ac:dyDescent="0.2">
      <c r="A88" s="1607" t="s">
        <v>160</v>
      </c>
      <c r="B88" s="1607" t="s">
        <v>30</v>
      </c>
      <c r="C88" s="1607">
        <v>57654</v>
      </c>
    </row>
    <row r="89" spans="1:3" x14ac:dyDescent="0.2">
      <c r="A89" s="1607" t="s">
        <v>160</v>
      </c>
      <c r="B89" s="1607" t="s">
        <v>31</v>
      </c>
      <c r="C89" s="1607">
        <v>45678</v>
      </c>
    </row>
    <row r="90" spans="1:3" x14ac:dyDescent="0.2">
      <c r="A90" s="1607" t="s">
        <v>160</v>
      </c>
      <c r="B90" s="1607" t="s">
        <v>32</v>
      </c>
      <c r="C90" s="1607">
        <v>46332</v>
      </c>
    </row>
    <row r="91" spans="1:3" x14ac:dyDescent="0.2">
      <c r="A91" s="1607" t="s">
        <v>160</v>
      </c>
      <c r="B91" s="1607" t="s">
        <v>33</v>
      </c>
      <c r="C91" s="1607">
        <v>38061</v>
      </c>
    </row>
    <row r="92" spans="1:3" x14ac:dyDescent="0.2">
      <c r="A92" s="1607" t="s">
        <v>160</v>
      </c>
      <c r="B92" s="1607" t="s">
        <v>665</v>
      </c>
      <c r="C92" s="1607">
        <v>241433</v>
      </c>
    </row>
    <row r="93" spans="1:3" x14ac:dyDescent="0.2">
      <c r="A93" s="1607" t="s">
        <v>160</v>
      </c>
      <c r="B93" s="1607" t="s">
        <v>34</v>
      </c>
      <c r="C93" s="1607">
        <v>73290</v>
      </c>
    </row>
    <row r="94" spans="1:3" x14ac:dyDescent="0.2">
      <c r="A94" s="1607" t="s">
        <v>160</v>
      </c>
      <c r="B94" s="1607" t="s">
        <v>35</v>
      </c>
      <c r="C94" s="1607">
        <v>173366</v>
      </c>
    </row>
    <row r="95" spans="1:3" x14ac:dyDescent="0.2">
      <c r="A95" s="1607" t="s">
        <v>160</v>
      </c>
      <c r="B95" s="1607" t="s">
        <v>36</v>
      </c>
      <c r="C95" s="1607">
        <v>304013</v>
      </c>
    </row>
    <row r="96" spans="1:3" x14ac:dyDescent="0.2">
      <c r="A96" s="1607" t="s">
        <v>160</v>
      </c>
      <c r="B96" s="1607" t="s">
        <v>37</v>
      </c>
      <c r="C96" s="1607">
        <v>115538</v>
      </c>
    </row>
    <row r="97" spans="1:3" x14ac:dyDescent="0.2">
      <c r="A97" s="1607" t="s">
        <v>160</v>
      </c>
      <c r="B97" s="1607" t="s">
        <v>38</v>
      </c>
      <c r="C97" s="1607">
        <v>38787</v>
      </c>
    </row>
    <row r="98" spans="1:3" x14ac:dyDescent="0.2">
      <c r="A98" s="1607" t="s">
        <v>160</v>
      </c>
      <c r="B98" s="1607" t="s">
        <v>39</v>
      </c>
      <c r="C98" s="1607">
        <v>38675</v>
      </c>
    </row>
    <row r="99" spans="1:3" x14ac:dyDescent="0.2">
      <c r="A99" s="1607" t="s">
        <v>160</v>
      </c>
      <c r="B99" s="1607" t="s">
        <v>40</v>
      </c>
      <c r="C99" s="1607">
        <v>44096</v>
      </c>
    </row>
    <row r="100" spans="1:3" x14ac:dyDescent="0.2">
      <c r="A100" s="1607" t="s">
        <v>160</v>
      </c>
      <c r="B100" s="1607" t="s">
        <v>393</v>
      </c>
      <c r="C100" s="1607">
        <v>14577</v>
      </c>
    </row>
    <row r="101" spans="1:3" x14ac:dyDescent="0.2">
      <c r="A101" s="1607" t="s">
        <v>160</v>
      </c>
      <c r="B101" s="1607" t="s">
        <v>41</v>
      </c>
      <c r="C101" s="1607">
        <v>67590</v>
      </c>
    </row>
    <row r="102" spans="1:3" x14ac:dyDescent="0.2">
      <c r="A102" s="1607" t="s">
        <v>160</v>
      </c>
      <c r="B102" s="1607" t="s">
        <v>42</v>
      </c>
      <c r="C102" s="1607">
        <v>152293</v>
      </c>
    </row>
    <row r="103" spans="1:3" x14ac:dyDescent="0.2">
      <c r="A103" s="1607" t="s">
        <v>160</v>
      </c>
      <c r="B103" s="1607" t="s">
        <v>43</v>
      </c>
      <c r="C103" s="1607">
        <v>10924</v>
      </c>
    </row>
    <row r="104" spans="1:3" x14ac:dyDescent="0.2">
      <c r="A104" s="1607" t="s">
        <v>160</v>
      </c>
      <c r="B104" s="1607" t="s">
        <v>44</v>
      </c>
      <c r="C104" s="1607">
        <v>70828</v>
      </c>
    </row>
    <row r="105" spans="1:3" x14ac:dyDescent="0.2">
      <c r="A105" s="1607" t="s">
        <v>160</v>
      </c>
      <c r="B105" s="1607" t="s">
        <v>45</v>
      </c>
      <c r="C105" s="1607">
        <v>84997</v>
      </c>
    </row>
    <row r="106" spans="1:3" x14ac:dyDescent="0.2">
      <c r="A106" s="1607" t="s">
        <v>160</v>
      </c>
      <c r="B106" s="1607" t="s">
        <v>46</v>
      </c>
      <c r="C106" s="1607">
        <v>57628</v>
      </c>
    </row>
    <row r="107" spans="1:3" x14ac:dyDescent="0.2">
      <c r="A107" s="1607" t="s">
        <v>160</v>
      </c>
      <c r="B107" s="1607" t="s">
        <v>47</v>
      </c>
      <c r="C107" s="1607">
        <v>11021</v>
      </c>
    </row>
    <row r="108" spans="1:3" x14ac:dyDescent="0.2">
      <c r="A108" s="1607" t="s">
        <v>160</v>
      </c>
      <c r="B108" s="1607" t="s">
        <v>48</v>
      </c>
      <c r="C108" s="1607">
        <v>54635</v>
      </c>
    </row>
    <row r="109" spans="1:3" x14ac:dyDescent="0.2">
      <c r="A109" s="1607" t="s">
        <v>160</v>
      </c>
      <c r="B109" s="1607" t="s">
        <v>49</v>
      </c>
      <c r="C109" s="1607">
        <v>147849</v>
      </c>
    </row>
    <row r="110" spans="1:3" x14ac:dyDescent="0.2">
      <c r="A110" s="1607" t="s">
        <v>160</v>
      </c>
      <c r="B110" s="1607" t="s">
        <v>50</v>
      </c>
      <c r="C110" s="1607">
        <v>40646</v>
      </c>
    </row>
    <row r="111" spans="1:3" x14ac:dyDescent="0.2">
      <c r="A111" s="1607" t="s">
        <v>160</v>
      </c>
      <c r="B111" s="1607" t="s">
        <v>51</v>
      </c>
      <c r="C111" s="1607">
        <v>45056</v>
      </c>
    </row>
    <row r="112" spans="1:3" x14ac:dyDescent="0.2">
      <c r="A112" s="1607" t="s">
        <v>160</v>
      </c>
      <c r="B112" s="1607" t="s">
        <v>52</v>
      </c>
      <c r="C112" s="1607">
        <v>77834</v>
      </c>
    </row>
    <row r="113" spans="1:3" x14ac:dyDescent="0.2">
      <c r="A113" s="1607" t="s">
        <v>379</v>
      </c>
      <c r="B113" s="1607" t="s">
        <v>23</v>
      </c>
      <c r="C113" s="1607">
        <v>115080</v>
      </c>
    </row>
    <row r="114" spans="1:3" x14ac:dyDescent="0.2">
      <c r="A114" s="1607" t="s">
        <v>379</v>
      </c>
      <c r="B114" s="1607" t="s">
        <v>24</v>
      </c>
      <c r="C114" s="1607">
        <v>116421</v>
      </c>
    </row>
    <row r="115" spans="1:3" x14ac:dyDescent="0.2">
      <c r="A115" s="1607" t="s">
        <v>379</v>
      </c>
      <c r="B115" s="1607" t="s">
        <v>25</v>
      </c>
      <c r="C115" s="1607">
        <v>55872</v>
      </c>
    </row>
    <row r="116" spans="1:3" x14ac:dyDescent="0.2">
      <c r="A116" s="1607" t="s">
        <v>379</v>
      </c>
      <c r="B116" s="1607" t="s">
        <v>26</v>
      </c>
      <c r="C116" s="1607">
        <v>47780</v>
      </c>
    </row>
    <row r="117" spans="1:3" x14ac:dyDescent="0.2">
      <c r="A117" s="1607" t="s">
        <v>379</v>
      </c>
      <c r="B117" s="1607" t="s">
        <v>27</v>
      </c>
      <c r="C117" s="1607">
        <v>24221</v>
      </c>
    </row>
    <row r="118" spans="1:3" x14ac:dyDescent="0.2">
      <c r="A118" s="1607" t="s">
        <v>379</v>
      </c>
      <c r="B118" s="1607" t="s">
        <v>28</v>
      </c>
      <c r="C118" s="1607">
        <v>74453</v>
      </c>
    </row>
    <row r="119" spans="1:3" x14ac:dyDescent="0.2">
      <c r="A119" s="1607" t="s">
        <v>379</v>
      </c>
      <c r="B119" s="1607" t="s">
        <v>29</v>
      </c>
      <c r="C119" s="1607">
        <v>74026</v>
      </c>
    </row>
    <row r="120" spans="1:3" x14ac:dyDescent="0.2">
      <c r="A120" s="1607" t="s">
        <v>379</v>
      </c>
      <c r="B120" s="1607" t="s">
        <v>30</v>
      </c>
      <c r="C120" s="1607">
        <v>57873</v>
      </c>
    </row>
    <row r="121" spans="1:3" x14ac:dyDescent="0.2">
      <c r="A121" s="1607" t="s">
        <v>379</v>
      </c>
      <c r="B121" s="1607" t="s">
        <v>31</v>
      </c>
      <c r="C121" s="1607">
        <v>46026</v>
      </c>
    </row>
    <row r="122" spans="1:3" x14ac:dyDescent="0.2">
      <c r="A122" s="1607" t="s">
        <v>379</v>
      </c>
      <c r="B122" s="1607" t="s">
        <v>32</v>
      </c>
      <c r="C122" s="1607">
        <v>46672</v>
      </c>
    </row>
    <row r="123" spans="1:3" x14ac:dyDescent="0.2">
      <c r="A123" s="1607" t="s">
        <v>379</v>
      </c>
      <c r="B123" s="1607" t="s">
        <v>33</v>
      </c>
      <c r="C123" s="1607">
        <v>38389</v>
      </c>
    </row>
    <row r="124" spans="1:3" x14ac:dyDescent="0.2">
      <c r="A124" s="1607" t="s">
        <v>379</v>
      </c>
      <c r="B124" s="1607" t="s">
        <v>665</v>
      </c>
      <c r="C124" s="1607">
        <v>244131</v>
      </c>
    </row>
    <row r="125" spans="1:3" x14ac:dyDescent="0.2">
      <c r="A125" s="1607" t="s">
        <v>379</v>
      </c>
      <c r="B125" s="1607" t="s">
        <v>34</v>
      </c>
      <c r="C125" s="1607">
        <v>73767</v>
      </c>
    </row>
    <row r="126" spans="1:3" x14ac:dyDescent="0.2">
      <c r="A126" s="1607" t="s">
        <v>379</v>
      </c>
      <c r="B126" s="1607" t="s">
        <v>35</v>
      </c>
      <c r="C126" s="1607">
        <v>174528</v>
      </c>
    </row>
    <row r="127" spans="1:3" x14ac:dyDescent="0.2">
      <c r="A127" s="1607" t="s">
        <v>379</v>
      </c>
      <c r="B127" s="1607" t="s">
        <v>36</v>
      </c>
      <c r="C127" s="1607">
        <v>306000</v>
      </c>
    </row>
    <row r="128" spans="1:3" x14ac:dyDescent="0.2">
      <c r="A128" s="1607" t="s">
        <v>379</v>
      </c>
      <c r="B128" s="1607" t="s">
        <v>37</v>
      </c>
      <c r="C128" s="1607">
        <v>116453</v>
      </c>
    </row>
    <row r="129" spans="1:3" x14ac:dyDescent="0.2">
      <c r="A129" s="1607" t="s">
        <v>379</v>
      </c>
      <c r="B129" s="1607" t="s">
        <v>38</v>
      </c>
      <c r="C129" s="1607">
        <v>38835</v>
      </c>
    </row>
    <row r="130" spans="1:3" x14ac:dyDescent="0.2">
      <c r="A130" s="1607" t="s">
        <v>379</v>
      </c>
      <c r="B130" s="1607" t="s">
        <v>39</v>
      </c>
      <c r="C130" s="1607">
        <v>39297</v>
      </c>
    </row>
    <row r="131" spans="1:3" x14ac:dyDescent="0.2">
      <c r="A131" s="1607" t="s">
        <v>379</v>
      </c>
      <c r="B131" s="1607" t="s">
        <v>40</v>
      </c>
      <c r="C131" s="1607">
        <v>44454</v>
      </c>
    </row>
    <row r="132" spans="1:3" x14ac:dyDescent="0.2">
      <c r="A132" s="1607" t="s">
        <v>379</v>
      </c>
      <c r="B132" s="1607" t="s">
        <v>393</v>
      </c>
      <c r="C132" s="1607">
        <v>14599</v>
      </c>
    </row>
    <row r="133" spans="1:3" x14ac:dyDescent="0.2">
      <c r="A133" s="1607" t="s">
        <v>379</v>
      </c>
      <c r="B133" s="1607" t="s">
        <v>41</v>
      </c>
      <c r="C133" s="1607">
        <v>67800</v>
      </c>
    </row>
    <row r="134" spans="1:3" x14ac:dyDescent="0.2">
      <c r="A134" s="1607" t="s">
        <v>379</v>
      </c>
      <c r="B134" s="1607" t="s">
        <v>42</v>
      </c>
      <c r="C134" s="1607">
        <v>153388</v>
      </c>
    </row>
    <row r="135" spans="1:3" x14ac:dyDescent="0.2">
      <c r="A135" s="1607" t="s">
        <v>379</v>
      </c>
      <c r="B135" s="1607" t="s">
        <v>43</v>
      </c>
      <c r="C135" s="1607">
        <v>11063</v>
      </c>
    </row>
    <row r="136" spans="1:3" x14ac:dyDescent="0.2">
      <c r="A136" s="1607" t="s">
        <v>379</v>
      </c>
      <c r="B136" s="1607" t="s">
        <v>44</v>
      </c>
      <c r="C136" s="1607">
        <v>71347</v>
      </c>
    </row>
    <row r="137" spans="1:3" x14ac:dyDescent="0.2">
      <c r="A137" s="1607" t="s">
        <v>379</v>
      </c>
      <c r="B137" s="1607" t="s">
        <v>45</v>
      </c>
      <c r="C137" s="1607">
        <v>85724</v>
      </c>
    </row>
    <row r="138" spans="1:3" x14ac:dyDescent="0.2">
      <c r="A138" s="1607" t="s">
        <v>379</v>
      </c>
      <c r="B138" s="1607" t="s">
        <v>46</v>
      </c>
      <c r="C138" s="1607">
        <v>57940</v>
      </c>
    </row>
    <row r="139" spans="1:3" x14ac:dyDescent="0.2">
      <c r="A139" s="1607" t="s">
        <v>379</v>
      </c>
      <c r="B139" s="1607" t="s">
        <v>47</v>
      </c>
      <c r="C139" s="1607">
        <v>11109</v>
      </c>
    </row>
    <row r="140" spans="1:3" x14ac:dyDescent="0.2">
      <c r="A140" s="1607" t="s">
        <v>379</v>
      </c>
      <c r="B140" s="1607" t="s">
        <v>48</v>
      </c>
      <c r="C140" s="1607">
        <v>54942</v>
      </c>
    </row>
    <row r="141" spans="1:3" x14ac:dyDescent="0.2">
      <c r="A141" s="1607" t="s">
        <v>379</v>
      </c>
      <c r="B141" s="1607" t="s">
        <v>49</v>
      </c>
      <c r="C141" s="1607">
        <v>148771</v>
      </c>
    </row>
    <row r="142" spans="1:3" x14ac:dyDescent="0.2">
      <c r="A142" s="1607" t="s">
        <v>379</v>
      </c>
      <c r="B142" s="1607" t="s">
        <v>50</v>
      </c>
      <c r="C142" s="1607">
        <v>40998</v>
      </c>
    </row>
    <row r="143" spans="1:3" x14ac:dyDescent="0.2">
      <c r="A143" s="1607" t="s">
        <v>379</v>
      </c>
      <c r="B143" s="1607" t="s">
        <v>51</v>
      </c>
      <c r="C143" s="1607">
        <v>45104</v>
      </c>
    </row>
    <row r="144" spans="1:3" x14ac:dyDescent="0.2">
      <c r="A144" s="1607" t="s">
        <v>379</v>
      </c>
      <c r="B144" s="1607" t="s">
        <v>52</v>
      </c>
      <c r="C144" s="1607">
        <v>78604</v>
      </c>
    </row>
    <row r="145" spans="1:3" x14ac:dyDescent="0.2">
      <c r="A145" s="1607" t="s">
        <v>603</v>
      </c>
      <c r="B145" s="1607" t="s">
        <v>23</v>
      </c>
      <c r="C145" s="1607">
        <v>116821</v>
      </c>
    </row>
    <row r="146" spans="1:3" x14ac:dyDescent="0.2">
      <c r="A146" s="1607" t="s">
        <v>603</v>
      </c>
      <c r="B146" s="1607" t="s">
        <v>24</v>
      </c>
      <c r="C146" s="1607">
        <v>117363</v>
      </c>
    </row>
    <row r="147" spans="1:3" x14ac:dyDescent="0.2">
      <c r="A147" s="1607" t="s">
        <v>603</v>
      </c>
      <c r="B147" s="1607" t="s">
        <v>25</v>
      </c>
      <c r="C147" s="1607">
        <v>56135</v>
      </c>
    </row>
    <row r="148" spans="1:3" x14ac:dyDescent="0.2">
      <c r="A148" s="1607" t="s">
        <v>603</v>
      </c>
      <c r="B148" s="1607" t="s">
        <v>26</v>
      </c>
      <c r="C148" s="1607">
        <v>47884</v>
      </c>
    </row>
    <row r="149" spans="1:3" x14ac:dyDescent="0.2">
      <c r="A149" s="1607" t="s">
        <v>603</v>
      </c>
      <c r="B149" s="1607" t="s">
        <v>27</v>
      </c>
      <c r="C149" s="1607">
        <v>24377</v>
      </c>
    </row>
    <row r="150" spans="1:3" x14ac:dyDescent="0.2">
      <c r="A150" s="1607" t="s">
        <v>603</v>
      </c>
      <c r="B150" s="1607" t="s">
        <v>28</v>
      </c>
      <c r="C150" s="1607">
        <v>74687</v>
      </c>
    </row>
    <row r="151" spans="1:3" x14ac:dyDescent="0.2">
      <c r="A151" s="1607" t="s">
        <v>603</v>
      </c>
      <c r="B151" s="1607" t="s">
        <v>29</v>
      </c>
      <c r="C151" s="1607">
        <v>74354</v>
      </c>
    </row>
    <row r="152" spans="1:3" x14ac:dyDescent="0.2">
      <c r="A152" s="1607" t="s">
        <v>603</v>
      </c>
      <c r="B152" s="1607" t="s">
        <v>30</v>
      </c>
      <c r="C152" s="1607">
        <v>58158</v>
      </c>
    </row>
    <row r="153" spans="1:3" x14ac:dyDescent="0.2">
      <c r="A153" s="1607" t="s">
        <v>603</v>
      </c>
      <c r="B153" s="1607" t="s">
        <v>31</v>
      </c>
      <c r="C153" s="1607">
        <v>46430</v>
      </c>
    </row>
    <row r="154" spans="1:3" x14ac:dyDescent="0.2">
      <c r="A154" s="1607" t="s">
        <v>603</v>
      </c>
      <c r="B154" s="1607" t="s">
        <v>32</v>
      </c>
      <c r="C154" s="1607">
        <v>47407</v>
      </c>
    </row>
    <row r="155" spans="1:3" x14ac:dyDescent="0.2">
      <c r="A155" s="1607" t="s">
        <v>603</v>
      </c>
      <c r="B155" s="1607" t="s">
        <v>33</v>
      </c>
      <c r="C155" s="1607">
        <v>38677</v>
      </c>
    </row>
    <row r="156" spans="1:3" x14ac:dyDescent="0.2">
      <c r="A156" s="1607" t="s">
        <v>603</v>
      </c>
      <c r="B156" s="1607" t="s">
        <v>665</v>
      </c>
      <c r="C156" s="1607">
        <v>246818</v>
      </c>
    </row>
    <row r="157" spans="1:3" x14ac:dyDescent="0.2">
      <c r="A157" s="1607" t="s">
        <v>603</v>
      </c>
      <c r="B157" s="1607" t="s">
        <v>34</v>
      </c>
      <c r="C157" s="1607">
        <v>74361</v>
      </c>
    </row>
    <row r="158" spans="1:3" x14ac:dyDescent="0.2">
      <c r="A158" s="1607" t="s">
        <v>603</v>
      </c>
      <c r="B158" s="1607" t="s">
        <v>35</v>
      </c>
      <c r="C158" s="1607">
        <v>175915</v>
      </c>
    </row>
    <row r="159" spans="1:3" x14ac:dyDescent="0.2">
      <c r="A159" s="1607" t="s">
        <v>603</v>
      </c>
      <c r="B159" s="1607" t="s">
        <v>36</v>
      </c>
      <c r="C159" s="1607">
        <v>308293</v>
      </c>
    </row>
    <row r="160" spans="1:3" x14ac:dyDescent="0.2">
      <c r="A160" s="1607" t="s">
        <v>603</v>
      </c>
      <c r="B160" s="1607" t="s">
        <v>37</v>
      </c>
      <c r="C160" s="1607">
        <v>117291</v>
      </c>
    </row>
    <row r="161" spans="1:3" x14ac:dyDescent="0.2">
      <c r="A161" s="1607" t="s">
        <v>603</v>
      </c>
      <c r="B161" s="1607" t="s">
        <v>38</v>
      </c>
      <c r="C161" s="1607">
        <v>38848</v>
      </c>
    </row>
    <row r="162" spans="1:3" x14ac:dyDescent="0.2">
      <c r="A162" s="1607" t="s">
        <v>603</v>
      </c>
      <c r="B162" s="1607" t="s">
        <v>39</v>
      </c>
      <c r="C162" s="1607">
        <v>39937</v>
      </c>
    </row>
    <row r="163" spans="1:3" x14ac:dyDescent="0.2">
      <c r="A163" s="1607" t="s">
        <v>603</v>
      </c>
      <c r="B163" s="1607" t="s">
        <v>40</v>
      </c>
      <c r="C163" s="1607">
        <v>44838</v>
      </c>
    </row>
    <row r="164" spans="1:3" x14ac:dyDescent="0.2">
      <c r="A164" s="1607" t="s">
        <v>603</v>
      </c>
      <c r="B164" s="1607" t="s">
        <v>393</v>
      </c>
      <c r="C164" s="1607">
        <v>14714</v>
      </c>
    </row>
    <row r="165" spans="1:3" x14ac:dyDescent="0.2">
      <c r="A165" s="1607" t="s">
        <v>603</v>
      </c>
      <c r="B165" s="1607" t="s">
        <v>41</v>
      </c>
      <c r="C165" s="1607">
        <v>67960</v>
      </c>
    </row>
    <row r="166" spans="1:3" x14ac:dyDescent="0.2">
      <c r="A166" s="1607" t="s">
        <v>603</v>
      </c>
      <c r="B166" s="1607" t="s">
        <v>42</v>
      </c>
      <c r="C166" s="1607">
        <v>154286</v>
      </c>
    </row>
    <row r="167" spans="1:3" x14ac:dyDescent="0.2">
      <c r="A167" s="1607" t="s">
        <v>603</v>
      </c>
      <c r="B167" s="1607" t="s">
        <v>43</v>
      </c>
      <c r="C167" s="1607">
        <v>11192</v>
      </c>
    </row>
    <row r="168" spans="1:3" x14ac:dyDescent="0.2">
      <c r="A168" s="1607" t="s">
        <v>603</v>
      </c>
      <c r="B168" s="1607" t="s">
        <v>44</v>
      </c>
      <c r="C168" s="1607">
        <v>71810</v>
      </c>
    </row>
    <row r="169" spans="1:3" x14ac:dyDescent="0.2">
      <c r="A169" s="1607" t="s">
        <v>603</v>
      </c>
      <c r="B169" s="1607" t="s">
        <v>45</v>
      </c>
      <c r="C169" s="1607">
        <v>86449</v>
      </c>
    </row>
    <row r="170" spans="1:3" x14ac:dyDescent="0.2">
      <c r="A170" s="1607" t="s">
        <v>603</v>
      </c>
      <c r="B170" s="1607" t="s">
        <v>46</v>
      </c>
      <c r="C170" s="1607">
        <v>58167</v>
      </c>
    </row>
    <row r="171" spans="1:3" x14ac:dyDescent="0.2">
      <c r="A171" s="1607" t="s">
        <v>603</v>
      </c>
      <c r="B171" s="1607" t="s">
        <v>47</v>
      </c>
      <c r="C171" s="1607">
        <v>11180</v>
      </c>
    </row>
    <row r="172" spans="1:3" x14ac:dyDescent="0.2">
      <c r="A172" s="1607" t="s">
        <v>603</v>
      </c>
      <c r="B172" s="1607" t="s">
        <v>48</v>
      </c>
      <c r="C172" s="1607">
        <v>55252</v>
      </c>
    </row>
    <row r="173" spans="1:3" x14ac:dyDescent="0.2">
      <c r="A173" s="1607" t="s">
        <v>603</v>
      </c>
      <c r="B173" s="1607" t="s">
        <v>49</v>
      </c>
      <c r="C173" s="1607">
        <v>149972</v>
      </c>
    </row>
    <row r="174" spans="1:3" x14ac:dyDescent="0.2">
      <c r="A174" s="1607" t="s">
        <v>603</v>
      </c>
      <c r="B174" s="1607" t="s">
        <v>50</v>
      </c>
      <c r="C174" s="1607">
        <v>41250</v>
      </c>
    </row>
    <row r="175" spans="1:3" x14ac:dyDescent="0.2">
      <c r="A175" s="1607" t="s">
        <v>603</v>
      </c>
      <c r="B175" s="1607" t="s">
        <v>51</v>
      </c>
      <c r="C175" s="1607">
        <v>45093</v>
      </c>
    </row>
    <row r="176" spans="1:3" x14ac:dyDescent="0.2">
      <c r="A176" s="1607" t="s">
        <v>603</v>
      </c>
      <c r="B176" s="1607" t="s">
        <v>52</v>
      </c>
      <c r="C176" s="1607">
        <v>79112</v>
      </c>
    </row>
  </sheetData>
  <pageMargins left="0.7" right="0.7" top="0.75" bottom="0.75" header="0.3" footer="0.3"/>
  <pageSetup paperSize="9" fitToHeight="5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8">
    <tabColor rgb="FF960000"/>
    <pageSetUpPr fitToPage="1"/>
  </sheetPr>
  <dimension ref="A1:C13"/>
  <sheetViews>
    <sheetView showGridLines="0" zoomScaleNormal="100" workbookViewId="0"/>
  </sheetViews>
  <sheetFormatPr defaultRowHeight="12.75" x14ac:dyDescent="0.2"/>
  <cols>
    <col min="2" max="2" width="16.140625" bestFit="1" customWidth="1"/>
  </cols>
  <sheetData>
    <row r="1" spans="1:3" ht="33.75" customHeight="1" x14ac:dyDescent="0.35">
      <c r="A1" s="1259" t="str">
        <f>"Choropleth Map and Cartogram of Primary Fire Rates per 100,000 Population by Local Authority, " &amp; ThisYear</f>
        <v>Choropleth Map and Cartogram of Primary Fire Rates per 100,000 Population by Local Authority, 2017-18</v>
      </c>
    </row>
    <row r="3" spans="1:3" ht="15" x14ac:dyDescent="0.2">
      <c r="A3" s="1352"/>
    </row>
    <row r="9" spans="1:3" x14ac:dyDescent="0.2">
      <c r="C9" s="768"/>
    </row>
    <row r="10" spans="1:3" x14ac:dyDescent="0.2">
      <c r="C10" s="768"/>
    </row>
    <row r="11" spans="1:3" x14ac:dyDescent="0.2">
      <c r="C11" s="768"/>
    </row>
    <row r="12" spans="1:3" x14ac:dyDescent="0.2">
      <c r="C12" s="768"/>
    </row>
    <row r="13" spans="1:3" x14ac:dyDescent="0.2">
      <c r="C13" s="768"/>
    </row>
  </sheetData>
  <sheetProtection algorithmName="SHA-512" hashValue="u3afLVer28JAaI/0rQhsvDR1v2E5hFYu93GYrPDWD+7455CB/QRDlNl+Lt+yaFsFPAsVBmRiGR0YrS7bU8fTlA==" saltValue="nby3wdzmB/u5p4viDrleew==" spinCount="100000" sheet="1" objects="1" scenarios="1"/>
  <pageMargins left="0.25" right="0.25" top="0.75" bottom="0.75" header="0.3" footer="0.3"/>
  <pageSetup paperSize="9" scale="9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9">
    <tabColor rgb="FF960000"/>
    <pageSetUpPr fitToPage="1"/>
  </sheetPr>
  <dimension ref="A1:C13"/>
  <sheetViews>
    <sheetView showGridLines="0" workbookViewId="0"/>
  </sheetViews>
  <sheetFormatPr defaultRowHeight="12.75" x14ac:dyDescent="0.2"/>
  <cols>
    <col min="2" max="2" width="16.140625" bestFit="1" customWidth="1"/>
  </cols>
  <sheetData>
    <row r="1" spans="1:3" ht="33.75" customHeight="1" x14ac:dyDescent="0.35">
      <c r="A1" s="1259" t="str">
        <f>"Choropleth Map and Cartogram of Secondary Fire Rates per 100,000 Population by Local Authority, " &amp; ThisYear</f>
        <v>Choropleth Map and Cartogram of Secondary Fire Rates per 100,000 Population by Local Authority, 2017-18</v>
      </c>
    </row>
    <row r="3" spans="1:3" x14ac:dyDescent="0.2">
      <c r="A3" s="386"/>
    </row>
    <row r="9" spans="1:3" x14ac:dyDescent="0.2">
      <c r="C9" s="768"/>
    </row>
    <row r="10" spans="1:3" x14ac:dyDescent="0.2">
      <c r="C10" s="768"/>
    </row>
    <row r="11" spans="1:3" x14ac:dyDescent="0.2">
      <c r="C11" s="768"/>
    </row>
    <row r="12" spans="1:3" x14ac:dyDescent="0.2">
      <c r="C12" s="768"/>
    </row>
    <row r="13" spans="1:3" x14ac:dyDescent="0.2">
      <c r="C13" s="768"/>
    </row>
  </sheetData>
  <sheetProtection algorithmName="SHA-512" hashValue="9clOmXEssRPddF9DyKYp+JfT/fM59z2sb5hiDjvwYMpzS9YzwRi/EmsGH/OMoWma6UliMHviTbjPIxVAmZ3ijg==" saltValue="l9TcIJJ6wNcbjkl9EQz1hg==" spinCount="100000" sheet="1" objects="1" scenarios="1"/>
  <pageMargins left="0.7" right="0.7" top="0.75" bottom="0.75" header="0.3" footer="0.3"/>
  <pageSetup paperSize="9" scale="9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tabColor theme="4"/>
    <pageSetUpPr fitToPage="1"/>
  </sheetPr>
  <dimension ref="A1:AC90"/>
  <sheetViews>
    <sheetView showGridLines="0" zoomScaleNormal="100" workbookViewId="0">
      <selection sqref="A1:O1"/>
    </sheetView>
  </sheetViews>
  <sheetFormatPr defaultRowHeight="12.75" x14ac:dyDescent="0.2"/>
  <cols>
    <col min="1" max="1" width="22.28515625" style="1" customWidth="1"/>
    <col min="2" max="2" width="9.85546875" style="1" customWidth="1"/>
    <col min="3" max="5" width="9.140625" style="1"/>
    <col min="6" max="6" width="10.42578125" style="1" customWidth="1"/>
    <col min="7" max="7" width="5" style="1" customWidth="1"/>
    <col min="8" max="8" width="10.140625" style="1" customWidth="1"/>
    <col min="9" max="11" width="9.140625" style="1"/>
    <col min="12" max="12" width="10" style="1" customWidth="1"/>
    <col min="13" max="13" width="5.140625" style="1" customWidth="1"/>
    <col min="14" max="14" width="9.85546875" style="1" customWidth="1"/>
    <col min="15" max="17" width="9.140625" style="1"/>
    <col min="18" max="18" width="10" style="1" customWidth="1"/>
    <col min="19" max="20" width="9.140625" style="1"/>
    <col min="28" max="16384" width="9.140625" style="1"/>
  </cols>
  <sheetData>
    <row r="1" spans="1:27" ht="38.25" customHeight="1" x14ac:dyDescent="0.2">
      <c r="A1" s="1655" t="s">
        <v>655</v>
      </c>
      <c r="B1" s="1655"/>
      <c r="C1" s="1655"/>
      <c r="D1" s="1655"/>
      <c r="E1" s="1655"/>
      <c r="F1" s="1655"/>
      <c r="G1" s="1655"/>
      <c r="H1" s="1655"/>
      <c r="I1" s="1655"/>
      <c r="J1" s="1655"/>
      <c r="K1" s="1655"/>
      <c r="L1" s="1655"/>
      <c r="M1" s="1655"/>
      <c r="N1" s="1655"/>
      <c r="O1" s="1655"/>
    </row>
    <row r="2" spans="1:27" ht="15" customHeight="1" x14ac:dyDescent="0.25">
      <c r="F2" s="253"/>
      <c r="L2" s="253"/>
      <c r="R2" s="253" t="s">
        <v>0</v>
      </c>
    </row>
    <row r="3" spans="1:27" s="101" customFormat="1" ht="27" customHeight="1" x14ac:dyDescent="0.2">
      <c r="A3" s="1262"/>
      <c r="B3" s="1636" t="s">
        <v>346</v>
      </c>
      <c r="C3" s="1636"/>
      <c r="D3" s="1636"/>
      <c r="E3" s="1636"/>
      <c r="F3" s="1637" t="s">
        <v>54</v>
      </c>
      <c r="H3" s="1635" t="s">
        <v>57</v>
      </c>
      <c r="I3" s="1636"/>
      <c r="J3" s="1636"/>
      <c r="K3" s="1636"/>
      <c r="L3" s="1637" t="s">
        <v>55</v>
      </c>
      <c r="N3" s="1650" t="s">
        <v>336</v>
      </c>
      <c r="O3" s="1651"/>
      <c r="P3" s="1651"/>
      <c r="Q3" s="1652"/>
      <c r="R3" s="1637" t="s">
        <v>55</v>
      </c>
      <c r="U3"/>
      <c r="V3"/>
      <c r="W3"/>
      <c r="X3"/>
      <c r="Y3"/>
      <c r="Z3"/>
      <c r="AA3"/>
    </row>
    <row r="4" spans="1:27" s="101" customFormat="1" ht="25.5" customHeight="1" x14ac:dyDescent="0.2">
      <c r="A4" s="773" t="s">
        <v>4</v>
      </c>
      <c r="B4" s="117" t="s">
        <v>5</v>
      </c>
      <c r="C4" s="1115" t="s">
        <v>6</v>
      </c>
      <c r="D4" s="1115" t="s">
        <v>7</v>
      </c>
      <c r="E4" s="229" t="s">
        <v>8</v>
      </c>
      <c r="F4" s="1638"/>
      <c r="H4" s="117" t="s">
        <v>5</v>
      </c>
      <c r="I4" s="1115" t="s">
        <v>6</v>
      </c>
      <c r="J4" s="1115" t="s">
        <v>7</v>
      </c>
      <c r="K4" s="229" t="s">
        <v>8</v>
      </c>
      <c r="L4" s="1638"/>
      <c r="N4" s="117" t="s">
        <v>5</v>
      </c>
      <c r="O4" s="1115" t="s">
        <v>6</v>
      </c>
      <c r="P4" s="1115" t="s">
        <v>7</v>
      </c>
      <c r="Q4" s="229" t="s">
        <v>8</v>
      </c>
      <c r="R4" s="1638"/>
      <c r="U4"/>
      <c r="V4"/>
      <c r="W4"/>
      <c r="X4"/>
      <c r="Y4"/>
      <c r="Z4"/>
      <c r="AA4"/>
    </row>
    <row r="5" spans="1:27" ht="18.75" customHeight="1" x14ac:dyDescent="0.2">
      <c r="A5" s="10" t="s">
        <v>16</v>
      </c>
      <c r="B5" s="478">
        <v>58</v>
      </c>
      <c r="C5" s="215">
        <v>4</v>
      </c>
      <c r="D5" s="215">
        <v>6</v>
      </c>
      <c r="E5" s="216">
        <v>4</v>
      </c>
      <c r="F5" s="484">
        <f>SUM(B5:E5)</f>
        <v>72</v>
      </c>
      <c r="G5" s="177"/>
      <c r="H5" s="70">
        <v>1537</v>
      </c>
      <c r="I5" s="72">
        <v>109</v>
      </c>
      <c r="J5" s="72">
        <v>47</v>
      </c>
      <c r="K5" s="72">
        <v>26</v>
      </c>
      <c r="L5" s="40">
        <v>1719</v>
      </c>
      <c r="M5" s="7"/>
      <c r="N5" s="70">
        <v>793</v>
      </c>
      <c r="O5" s="72">
        <v>59</v>
      </c>
      <c r="P5" s="72">
        <v>35</v>
      </c>
      <c r="Q5" s="72">
        <v>22</v>
      </c>
      <c r="R5" s="657">
        <f>SUM(N5:Q5)</f>
        <v>909</v>
      </c>
      <c r="S5" s="7"/>
    </row>
    <row r="6" spans="1:27" ht="13.5" customHeight="1" thickBot="1" x14ac:dyDescent="0.25">
      <c r="A6" s="10" t="s">
        <v>18</v>
      </c>
      <c r="B6" s="1084">
        <v>54</v>
      </c>
      <c r="C6" s="178">
        <v>2</v>
      </c>
      <c r="D6" s="178">
        <v>3</v>
      </c>
      <c r="E6" s="1085">
        <v>5</v>
      </c>
      <c r="F6" s="485">
        <f t="shared" ref="F6:F11" si="0">SUM(B6:E6)</f>
        <v>64</v>
      </c>
      <c r="G6" s="177"/>
      <c r="H6" s="70">
        <v>1457</v>
      </c>
      <c r="I6" s="72">
        <v>80</v>
      </c>
      <c r="J6" s="72">
        <v>68</v>
      </c>
      <c r="K6" s="72">
        <v>43</v>
      </c>
      <c r="L6" s="9">
        <v>1648</v>
      </c>
      <c r="M6" s="7"/>
      <c r="N6" s="70">
        <v>737</v>
      </c>
      <c r="O6" s="72">
        <v>56</v>
      </c>
      <c r="P6" s="72">
        <v>58</v>
      </c>
      <c r="Q6" s="72">
        <v>37</v>
      </c>
      <c r="R6" s="29">
        <f t="shared" ref="R6:R12" si="1">SUM(N6:Q6)</f>
        <v>888</v>
      </c>
      <c r="S6" s="7"/>
    </row>
    <row r="7" spans="1:27" ht="13.5" customHeight="1" x14ac:dyDescent="0.2">
      <c r="A7" s="10" t="s">
        <v>19</v>
      </c>
      <c r="B7" s="1084">
        <v>53</v>
      </c>
      <c r="C7" s="178">
        <v>4</v>
      </c>
      <c r="D7" s="178">
        <v>4</v>
      </c>
      <c r="E7" s="1085">
        <v>1</v>
      </c>
      <c r="F7" s="485">
        <f t="shared" si="0"/>
        <v>62</v>
      </c>
      <c r="G7" s="177"/>
      <c r="H7" s="1125">
        <v>1024</v>
      </c>
      <c r="I7" s="1126">
        <v>95</v>
      </c>
      <c r="J7" s="1126">
        <v>66</v>
      </c>
      <c r="K7" s="1126">
        <v>29</v>
      </c>
      <c r="L7" s="1127">
        <v>1214</v>
      </c>
      <c r="M7" s="7"/>
      <c r="N7" s="1125">
        <v>781</v>
      </c>
      <c r="O7" s="1126">
        <v>84</v>
      </c>
      <c r="P7" s="1126">
        <v>59</v>
      </c>
      <c r="Q7" s="1126">
        <v>25</v>
      </c>
      <c r="R7" s="1128">
        <f t="shared" si="1"/>
        <v>949</v>
      </c>
      <c r="S7" s="7"/>
    </row>
    <row r="8" spans="1:27" ht="13.5" customHeight="1" x14ac:dyDescent="0.2">
      <c r="A8" s="10" t="s">
        <v>20</v>
      </c>
      <c r="B8" s="1084">
        <v>45</v>
      </c>
      <c r="C8" s="177">
        <v>3</v>
      </c>
      <c r="D8" s="177">
        <v>3</v>
      </c>
      <c r="E8" s="217">
        <v>1</v>
      </c>
      <c r="F8" s="485">
        <f t="shared" si="0"/>
        <v>52</v>
      </c>
      <c r="G8" s="177"/>
      <c r="H8" s="70">
        <v>1142</v>
      </c>
      <c r="I8" s="72">
        <v>109</v>
      </c>
      <c r="J8" s="72">
        <v>41</v>
      </c>
      <c r="K8" s="72">
        <v>36</v>
      </c>
      <c r="L8" s="9">
        <v>1328</v>
      </c>
      <c r="M8" s="7"/>
      <c r="N8" s="70">
        <v>935</v>
      </c>
      <c r="O8" s="72">
        <v>89</v>
      </c>
      <c r="P8" s="72">
        <v>35</v>
      </c>
      <c r="Q8" s="72">
        <v>32</v>
      </c>
      <c r="R8" s="29">
        <f t="shared" si="1"/>
        <v>1091</v>
      </c>
      <c r="S8" s="7"/>
    </row>
    <row r="9" spans="1:27" ht="13.5" customHeight="1" x14ac:dyDescent="0.2">
      <c r="A9" s="10" t="s">
        <v>13</v>
      </c>
      <c r="B9" s="1084">
        <v>51</v>
      </c>
      <c r="C9" s="178">
        <v>4</v>
      </c>
      <c r="D9" s="178">
        <v>3</v>
      </c>
      <c r="E9" s="1085">
        <v>1</v>
      </c>
      <c r="F9" s="485">
        <f t="shared" si="0"/>
        <v>59</v>
      </c>
      <c r="G9" s="177"/>
      <c r="H9" s="70">
        <v>1221</v>
      </c>
      <c r="I9" s="72">
        <v>99</v>
      </c>
      <c r="J9" s="72">
        <v>58</v>
      </c>
      <c r="K9" s="72">
        <v>38</v>
      </c>
      <c r="L9" s="9">
        <v>1416</v>
      </c>
      <c r="M9" s="7"/>
      <c r="N9" s="70">
        <v>938</v>
      </c>
      <c r="O9" s="72">
        <v>85</v>
      </c>
      <c r="P9" s="72">
        <v>43</v>
      </c>
      <c r="Q9" s="72">
        <v>33</v>
      </c>
      <c r="R9" s="29">
        <f t="shared" si="1"/>
        <v>1099</v>
      </c>
      <c r="S9" s="7"/>
    </row>
    <row r="10" spans="1:27" ht="13.5" customHeight="1" x14ac:dyDescent="0.2">
      <c r="A10" s="10" t="s">
        <v>15</v>
      </c>
      <c r="B10" s="1084">
        <v>40</v>
      </c>
      <c r="C10" s="178">
        <v>2</v>
      </c>
      <c r="D10" s="178">
        <v>2</v>
      </c>
      <c r="E10" s="1085">
        <v>2</v>
      </c>
      <c r="F10" s="485">
        <f t="shared" si="0"/>
        <v>46</v>
      </c>
      <c r="G10" s="177"/>
      <c r="H10" s="70">
        <v>1166</v>
      </c>
      <c r="I10" s="72">
        <v>92</v>
      </c>
      <c r="J10" s="72">
        <v>35</v>
      </c>
      <c r="K10" s="72">
        <v>26</v>
      </c>
      <c r="L10" s="9">
        <v>1319</v>
      </c>
      <c r="M10" s="7"/>
      <c r="N10" s="70">
        <v>870</v>
      </c>
      <c r="O10" s="72">
        <v>76</v>
      </c>
      <c r="P10" s="72">
        <v>32</v>
      </c>
      <c r="Q10" s="72">
        <v>24</v>
      </c>
      <c r="R10" s="29">
        <f t="shared" si="1"/>
        <v>1002</v>
      </c>
      <c r="S10" s="7"/>
    </row>
    <row r="11" spans="1:27" ht="13.5" customHeight="1" x14ac:dyDescent="0.2">
      <c r="A11" s="10" t="s">
        <v>17</v>
      </c>
      <c r="B11" s="1084">
        <v>29</v>
      </c>
      <c r="C11" s="178">
        <v>1</v>
      </c>
      <c r="D11" s="178">
        <v>1</v>
      </c>
      <c r="E11" s="1085">
        <v>0</v>
      </c>
      <c r="F11" s="485">
        <f t="shared" si="0"/>
        <v>31</v>
      </c>
      <c r="G11" s="177"/>
      <c r="H11" s="70">
        <v>1140</v>
      </c>
      <c r="I11" s="71">
        <v>87</v>
      </c>
      <c r="J11" s="71">
        <v>50</v>
      </c>
      <c r="K11" s="71">
        <v>34</v>
      </c>
      <c r="L11" s="9">
        <v>1311</v>
      </c>
      <c r="M11" s="7"/>
      <c r="N11" s="83">
        <v>928</v>
      </c>
      <c r="O11" s="71">
        <v>76</v>
      </c>
      <c r="P11" s="71">
        <v>46</v>
      </c>
      <c r="Q11" s="71">
        <v>25</v>
      </c>
      <c r="R11" s="29">
        <f t="shared" si="1"/>
        <v>1075</v>
      </c>
      <c r="S11" s="7"/>
    </row>
    <row r="12" spans="1:27" ht="13.5" customHeight="1" x14ac:dyDescent="0.2">
      <c r="A12" s="10" t="s">
        <v>147</v>
      </c>
      <c r="B12" s="1084">
        <v>31</v>
      </c>
      <c r="C12" s="178">
        <v>3</v>
      </c>
      <c r="D12" s="178">
        <v>1</v>
      </c>
      <c r="E12" s="180">
        <v>5</v>
      </c>
      <c r="F12" s="485">
        <f>SUM(B12:E12)</f>
        <v>40</v>
      </c>
      <c r="G12" s="177" t="s">
        <v>145</v>
      </c>
      <c r="H12" s="70">
        <v>949</v>
      </c>
      <c r="I12" s="72">
        <v>91</v>
      </c>
      <c r="J12" s="72">
        <v>40</v>
      </c>
      <c r="K12" s="72">
        <v>21</v>
      </c>
      <c r="L12" s="9">
        <v>1101</v>
      </c>
      <c r="M12" s="7"/>
      <c r="N12" s="70">
        <v>710</v>
      </c>
      <c r="O12" s="72">
        <v>77</v>
      </c>
      <c r="P12" s="72">
        <v>30</v>
      </c>
      <c r="Q12" s="72">
        <v>16</v>
      </c>
      <c r="R12" s="29">
        <f t="shared" si="1"/>
        <v>833</v>
      </c>
      <c r="S12" s="7"/>
    </row>
    <row r="13" spans="1:27" ht="13.5" customHeight="1" x14ac:dyDescent="0.2">
      <c r="A13" s="10" t="str">
        <f>'T02'!B8</f>
        <v>2015-16</v>
      </c>
      <c r="B13" s="1084">
        <f>'T02'!D8</f>
        <v>39</v>
      </c>
      <c r="C13" s="178">
        <f>'T02'!E8</f>
        <v>3</v>
      </c>
      <c r="D13" s="178">
        <f>'T02'!F8</f>
        <v>3</v>
      </c>
      <c r="E13" s="180">
        <f>'T02'!G8</f>
        <v>0</v>
      </c>
      <c r="F13" s="485">
        <f>SUM(B13:E13)</f>
        <v>45</v>
      </c>
      <c r="G13" s="177"/>
      <c r="H13" s="70">
        <f>'T02'!D11</f>
        <v>1063</v>
      </c>
      <c r="I13" s="72">
        <f>'T02'!E11</f>
        <v>117</v>
      </c>
      <c r="J13" s="72">
        <f>'T02'!F11</f>
        <v>61</v>
      </c>
      <c r="K13" s="132">
        <f>'T02'!G11</f>
        <v>35</v>
      </c>
      <c r="L13" s="9">
        <f>SUM(H13:K13)</f>
        <v>1276</v>
      </c>
      <c r="M13" s="7"/>
      <c r="N13" s="70">
        <f>'T02'!D5</f>
        <v>825</v>
      </c>
      <c r="O13" s="72">
        <f>'T02'!E5</f>
        <v>103</v>
      </c>
      <c r="P13" s="72">
        <f>'T02'!F5</f>
        <v>56</v>
      </c>
      <c r="Q13" s="132">
        <f>'T02'!G5</f>
        <v>29</v>
      </c>
      <c r="R13" s="29">
        <f>SUM(N13:Q13)</f>
        <v>1013</v>
      </c>
      <c r="S13" s="7"/>
    </row>
    <row r="14" spans="1:27" ht="13.5" customHeight="1" x14ac:dyDescent="0.2">
      <c r="A14" s="10" t="str">
        <f>'T02'!B9</f>
        <v>2016-17</v>
      </c>
      <c r="B14" s="1084">
        <f>'T02'!D9</f>
        <v>36</v>
      </c>
      <c r="C14" s="178">
        <f>'T02'!E9</f>
        <v>3</v>
      </c>
      <c r="D14" s="178">
        <f>'T02'!F9</f>
        <v>5</v>
      </c>
      <c r="E14" s="180">
        <f>'T02'!G9</f>
        <v>0</v>
      </c>
      <c r="F14" s="485">
        <f t="shared" ref="F14:F15" si="2">SUM(B14:E14)</f>
        <v>44</v>
      </c>
      <c r="G14" s="177"/>
      <c r="H14" s="70">
        <f>'T02'!D12</f>
        <v>1115</v>
      </c>
      <c r="I14" s="72">
        <f>'T02'!E12</f>
        <v>72</v>
      </c>
      <c r="J14" s="72">
        <f>'T02'!F12</f>
        <v>48</v>
      </c>
      <c r="K14" s="132">
        <f>'T02'!G12</f>
        <v>31</v>
      </c>
      <c r="L14" s="9">
        <f t="shared" ref="L14:L15" si="3">SUM(H14:K14)</f>
        <v>1266</v>
      </c>
      <c r="M14" s="7" t="s">
        <v>145</v>
      </c>
      <c r="N14" s="70">
        <f>'T02'!D6</f>
        <v>814</v>
      </c>
      <c r="O14" s="72">
        <f>'T02'!E6</f>
        <v>56</v>
      </c>
      <c r="P14" s="72">
        <f>'T02'!F6</f>
        <v>40</v>
      </c>
      <c r="Q14" s="132">
        <f>'T02'!G6</f>
        <v>26</v>
      </c>
      <c r="R14" s="29">
        <f t="shared" ref="R14:R15" si="4">SUM(N14:Q14)</f>
        <v>936</v>
      </c>
      <c r="S14" s="7" t="s">
        <v>145</v>
      </c>
    </row>
    <row r="15" spans="1:27" ht="13.5" customHeight="1" x14ac:dyDescent="0.2">
      <c r="A15" s="1261" t="str">
        <f>'T02'!B10</f>
        <v>2017-18</v>
      </c>
      <c r="B15" s="1086">
        <f>'T02'!D10</f>
        <v>37</v>
      </c>
      <c r="C15" s="181">
        <f>'T02'!E10</f>
        <v>3</v>
      </c>
      <c r="D15" s="181">
        <f>'T02'!F10</f>
        <v>3</v>
      </c>
      <c r="E15" s="182">
        <f>'T02'!G10</f>
        <v>1</v>
      </c>
      <c r="F15" s="486">
        <f t="shared" si="2"/>
        <v>44</v>
      </c>
      <c r="G15" s="177" t="s">
        <v>143</v>
      </c>
      <c r="H15" s="81">
        <f>'T02'!D13</f>
        <v>921</v>
      </c>
      <c r="I15" s="75">
        <f>'T02'!E13</f>
        <v>117</v>
      </c>
      <c r="J15" s="75">
        <f>'T02'!F13</f>
        <v>51</v>
      </c>
      <c r="K15" s="82">
        <f>'T02'!G13</f>
        <v>24</v>
      </c>
      <c r="L15" s="12">
        <f t="shared" si="3"/>
        <v>1113</v>
      </c>
      <c r="M15" s="7" t="s">
        <v>143</v>
      </c>
      <c r="N15" s="81">
        <f>'T02'!D7</f>
        <v>737</v>
      </c>
      <c r="O15" s="75">
        <f>'T02'!E7</f>
        <v>88</v>
      </c>
      <c r="P15" s="75">
        <f>'T02'!F7</f>
        <v>35</v>
      </c>
      <c r="Q15" s="82">
        <f>'T02'!G7</f>
        <v>19</v>
      </c>
      <c r="R15" s="31">
        <f t="shared" si="4"/>
        <v>879</v>
      </c>
      <c r="S15" s="7" t="s">
        <v>143</v>
      </c>
    </row>
    <row r="16" spans="1:27" x14ac:dyDescent="0.2">
      <c r="A16" s="68"/>
      <c r="B16" s="71"/>
      <c r="C16" s="71"/>
      <c r="D16" s="71"/>
      <c r="E16" s="139"/>
      <c r="F16" s="2"/>
      <c r="G16" s="71"/>
      <c r="H16" s="72"/>
      <c r="I16" s="72"/>
      <c r="J16" s="72"/>
      <c r="K16" s="72"/>
      <c r="L16" s="34"/>
      <c r="M16" s="71"/>
      <c r="N16" s="72"/>
      <c r="O16" s="72"/>
      <c r="P16" s="72"/>
      <c r="Q16" s="72"/>
      <c r="R16" s="55"/>
    </row>
    <row r="17" spans="1:29" x14ac:dyDescent="0.2">
      <c r="A17" s="2" t="s">
        <v>162</v>
      </c>
      <c r="M17" s="24"/>
    </row>
    <row r="18" spans="1:29" ht="12.75" customHeight="1" x14ac:dyDescent="0.2">
      <c r="A18" s="71" t="s">
        <v>967</v>
      </c>
    </row>
    <row r="19" spans="1:29" ht="12.75" customHeight="1" x14ac:dyDescent="0.2">
      <c r="A19" s="71" t="s">
        <v>968</v>
      </c>
    </row>
    <row r="20" spans="1:29" ht="12.75" customHeight="1" x14ac:dyDescent="0.2">
      <c r="A20" s="122" t="s">
        <v>964</v>
      </c>
      <c r="B20" s="122"/>
      <c r="C20" s="122"/>
      <c r="D20" s="122"/>
      <c r="E20" s="122"/>
      <c r="F20" s="122"/>
      <c r="G20" s="122"/>
      <c r="H20" s="122"/>
      <c r="I20" s="122"/>
      <c r="J20" s="122"/>
      <c r="K20" s="122"/>
      <c r="L20" s="122"/>
      <c r="M20" s="122"/>
      <c r="N20" s="122"/>
      <c r="O20" s="122"/>
      <c r="P20" s="122"/>
      <c r="Q20" s="122"/>
      <c r="R20" s="122"/>
    </row>
    <row r="21" spans="1:29" ht="25.5" customHeight="1" x14ac:dyDescent="0.2">
      <c r="A21" s="1654" t="s">
        <v>966</v>
      </c>
      <c r="B21" s="1654"/>
      <c r="C21" s="1654"/>
      <c r="D21" s="1654"/>
      <c r="E21" s="1654"/>
      <c r="F21" s="1654"/>
      <c r="G21" s="1654"/>
      <c r="H21" s="1654"/>
      <c r="I21" s="1654"/>
      <c r="J21" s="1654"/>
      <c r="K21" s="1654"/>
      <c r="L21" s="1654"/>
      <c r="M21" s="1654"/>
      <c r="N21" s="1654"/>
      <c r="O21" s="1654"/>
      <c r="P21" s="1654"/>
      <c r="Q21" s="1654"/>
      <c r="R21" s="1654"/>
    </row>
    <row r="22" spans="1:29" ht="38.25" customHeight="1" x14ac:dyDescent="0.2">
      <c r="A22" s="1655" t="s">
        <v>656</v>
      </c>
      <c r="B22" s="1655"/>
      <c r="C22" s="1655"/>
      <c r="D22" s="1655"/>
      <c r="E22" s="1655"/>
      <c r="F22" s="1655"/>
      <c r="G22" s="1655"/>
      <c r="H22" s="1655"/>
      <c r="I22" s="1655"/>
      <c r="J22" s="1655"/>
      <c r="K22" s="1655"/>
      <c r="L22" s="1655"/>
      <c r="M22" s="1655"/>
    </row>
    <row r="23" spans="1:29" ht="15" customHeight="1" x14ac:dyDescent="0.2">
      <c r="F23" s="145"/>
      <c r="L23" s="145"/>
      <c r="R23" s="145" t="s">
        <v>58</v>
      </c>
    </row>
    <row r="24" spans="1:29" s="101" customFormat="1" ht="27.75" customHeight="1" x14ac:dyDescent="0.2">
      <c r="A24" s="1"/>
      <c r="B24" s="1635" t="s">
        <v>346</v>
      </c>
      <c r="C24" s="1636"/>
      <c r="D24" s="1636"/>
      <c r="E24" s="1636"/>
      <c r="F24" s="1637" t="s">
        <v>54</v>
      </c>
      <c r="H24" s="1635" t="s">
        <v>57</v>
      </c>
      <c r="I24" s="1636"/>
      <c r="J24" s="1636"/>
      <c r="K24" s="1636"/>
      <c r="L24" s="1637" t="s">
        <v>55</v>
      </c>
      <c r="N24" s="1650" t="s">
        <v>336</v>
      </c>
      <c r="O24" s="1651"/>
      <c r="P24" s="1651"/>
      <c r="Q24" s="1652"/>
      <c r="R24" s="1637" t="s">
        <v>55</v>
      </c>
      <c r="U24"/>
      <c r="V24"/>
      <c r="W24"/>
      <c r="X24"/>
      <c r="Y24"/>
      <c r="Z24"/>
      <c r="AA24"/>
    </row>
    <row r="25" spans="1:29" s="101" customFormat="1" ht="26.25" customHeight="1" x14ac:dyDescent="0.2">
      <c r="A25" s="86" t="s">
        <v>4</v>
      </c>
      <c r="B25" s="117" t="s">
        <v>5</v>
      </c>
      <c r="C25" s="1115" t="s">
        <v>6</v>
      </c>
      <c r="D25" s="1115" t="s">
        <v>7</v>
      </c>
      <c r="E25" s="229" t="s">
        <v>8</v>
      </c>
      <c r="F25" s="1638"/>
      <c r="H25" s="117" t="s">
        <v>5</v>
      </c>
      <c r="I25" s="1115" t="s">
        <v>6</v>
      </c>
      <c r="J25" s="1115" t="s">
        <v>7</v>
      </c>
      <c r="K25" s="229" t="s">
        <v>8</v>
      </c>
      <c r="L25" s="1656"/>
      <c r="M25" s="774"/>
      <c r="N25" s="117" t="s">
        <v>5</v>
      </c>
      <c r="O25" s="1115" t="s">
        <v>6</v>
      </c>
      <c r="P25" s="1115" t="s">
        <v>7</v>
      </c>
      <c r="Q25" s="229" t="s">
        <v>8</v>
      </c>
      <c r="R25" s="1638"/>
      <c r="U25"/>
      <c r="V25"/>
      <c r="W25"/>
      <c r="X25"/>
      <c r="Y25"/>
      <c r="Z25"/>
      <c r="AA25"/>
    </row>
    <row r="26" spans="1:29" ht="18.75" customHeight="1" x14ac:dyDescent="0.2">
      <c r="A26" s="10" t="s">
        <v>16</v>
      </c>
      <c r="B26" s="908">
        <f>B5/'1 1a 1b'!B5*1000</f>
        <v>8.7008700870087008</v>
      </c>
      <c r="C26" s="677">
        <f>C5/'1 1a 1b'!C5*1000</f>
        <v>1.3689253935660506</v>
      </c>
      <c r="D26" s="677">
        <f>D5/'1 1a 1b'!D5*1000</f>
        <v>1.9582245430809397</v>
      </c>
      <c r="E26" s="678">
        <f>E5/'1 1a 1b'!E5*1000</f>
        <v>4.1407867494824018</v>
      </c>
      <c r="F26" s="910">
        <f>F5/'1 1a 1b'!F5*1000</f>
        <v>5.2871199882508444</v>
      </c>
      <c r="G26" s="267"/>
      <c r="H26" s="945">
        <f>H5/'1 1a 1b'!B5*1000</f>
        <v>230.57305730573057</v>
      </c>
      <c r="I26" s="946">
        <f>I5/'1 1a 1b'!C5*1000</f>
        <v>37.303216974674882</v>
      </c>
      <c r="J26" s="946">
        <f>J5/'1 1a 1b'!D5*1000</f>
        <v>15.339425587467364</v>
      </c>
      <c r="K26" s="947">
        <f>K5/'1 1a 1b'!E5*1000</f>
        <v>26.915113871635612</v>
      </c>
      <c r="L26" s="910">
        <f>L5/'1 1a 1b'!F5*1000</f>
        <v>126.2299897194889</v>
      </c>
      <c r="M26" s="267"/>
      <c r="N26" s="948">
        <f>N5/'1 1a 1b'!B5*1000</f>
        <v>118.96189618961895</v>
      </c>
      <c r="O26" s="949">
        <f>O5/'1 1a 1b'!C5*1000</f>
        <v>20.191649555099247</v>
      </c>
      <c r="P26" s="949">
        <f>P5/'1 1a 1b'!D5*1000</f>
        <v>11.422976501305483</v>
      </c>
      <c r="Q26" s="950">
        <f>Q5/'1 1a 1b'!E5*1000</f>
        <v>22.77432712215321</v>
      </c>
      <c r="R26" s="951">
        <f>R5/'1 1a 1b'!F5*1000</f>
        <v>66.749889851666907</v>
      </c>
      <c r="T26"/>
      <c r="AB26"/>
      <c r="AC26"/>
    </row>
    <row r="27" spans="1:29" ht="13.5" customHeight="1" thickBot="1" x14ac:dyDescent="0.25">
      <c r="A27" s="10" t="s">
        <v>18</v>
      </c>
      <c r="B27" s="269">
        <f>B6/'1 1a 1b'!B6*1000</f>
        <v>8.053691275167786</v>
      </c>
      <c r="C27" s="270">
        <f>C6/'1 1a 1b'!C6*1000</f>
        <v>0.76045627376425851</v>
      </c>
      <c r="D27" s="270">
        <f>D6/'1 1a 1b'!D6*1000</f>
        <v>1.0235414534288638</v>
      </c>
      <c r="E27" s="310">
        <f>E6/'1 1a 1b'!E6*1000</f>
        <v>5.5066079295154191</v>
      </c>
      <c r="F27" s="271">
        <f>F6/'1 1a 1b'!F6*1000</f>
        <v>4.8580537422195231</v>
      </c>
      <c r="G27" s="1083"/>
      <c r="H27" s="277">
        <f>H6/'1 1a 1b'!B6*1000</f>
        <v>217.30052199850857</v>
      </c>
      <c r="I27" s="277">
        <f>I6/'1 1a 1b'!C6*1000</f>
        <v>30.418250950570343</v>
      </c>
      <c r="J27" s="277">
        <f>J6/'1 1a 1b'!D6*1000</f>
        <v>23.200272944387578</v>
      </c>
      <c r="K27" s="278">
        <f>K6/'1 1a 1b'!E6*1000</f>
        <v>47.356828193832598</v>
      </c>
      <c r="L27" s="279">
        <f>L6/'1 1a 1b'!F6*1000</f>
        <v>125.09488386215273</v>
      </c>
      <c r="M27" s="267"/>
      <c r="N27" s="280">
        <f>N6/'1 1a 1b'!B6*1000</f>
        <v>109.91797166293811</v>
      </c>
      <c r="O27" s="281">
        <f>O6/'1 1a 1b'!C6*1000</f>
        <v>21.29277566539924</v>
      </c>
      <c r="P27" s="281">
        <f>P6/'1 1a 1b'!D6*1000</f>
        <v>19.788468099624701</v>
      </c>
      <c r="Q27" s="1088">
        <f>Q6/'1 1a 1b'!E6*1000</f>
        <v>40.748898678414093</v>
      </c>
      <c r="R27" s="1129">
        <f>R6/'1 1a 1b'!F6*1000</f>
        <v>67.405495673295889</v>
      </c>
      <c r="T27"/>
      <c r="AB27"/>
      <c r="AC27"/>
    </row>
    <row r="28" spans="1:29" ht="13.5" customHeight="1" x14ac:dyDescent="0.2">
      <c r="A28" s="10" t="s">
        <v>19</v>
      </c>
      <c r="B28" s="269">
        <f>B7/'1 1a 1b'!B7*1000</f>
        <v>8.0632892134489573</v>
      </c>
      <c r="C28" s="270">
        <f>C7/'1 1a 1b'!C7*1000</f>
        <v>1.3297872340425532</v>
      </c>
      <c r="D28" s="270">
        <f>D7/'1 1a 1b'!D7*1000</f>
        <v>1.3368983957219251</v>
      </c>
      <c r="E28" s="310">
        <f>E7/'1 1a 1b'!E7*1000</f>
        <v>0.69204152249134943</v>
      </c>
      <c r="F28" s="1026">
        <f>F7/'1 1a 1b'!F7*1000</f>
        <v>4.4228848623198749</v>
      </c>
      <c r="G28" s="1083"/>
      <c r="H28" s="268">
        <f>H7/'1 1a 1b'!B7*1000</f>
        <v>155.78883310512703</v>
      </c>
      <c r="I28" s="25">
        <f>I7/'1 1a 1b'!C7*1000</f>
        <v>31.582446808510639</v>
      </c>
      <c r="J28" s="25">
        <f>J7/'1 1a 1b'!D7*1000</f>
        <v>22.058823529411764</v>
      </c>
      <c r="K28" s="272">
        <f>K7/'1 1a 1b'!E7*1000</f>
        <v>20.069204152249135</v>
      </c>
      <c r="L28" s="271">
        <f>L7/'1 1a 1b'!F7*1000</f>
        <v>86.602939078327864</v>
      </c>
      <c r="M28" s="267"/>
      <c r="N28" s="273">
        <f>N7/'1 1a 1b'!B7*1000</f>
        <v>118.81941274912521</v>
      </c>
      <c r="O28" s="274">
        <f>O7/'1 1a 1b'!C7*1000</f>
        <v>27.925531914893615</v>
      </c>
      <c r="P28" s="274">
        <f>P7/'1 1a 1b'!D7*1000</f>
        <v>19.719251336898395</v>
      </c>
      <c r="Q28" s="275">
        <f>Q7/'1 1a 1b'!E7*1000</f>
        <v>17.301038062283737</v>
      </c>
      <c r="R28" s="276">
        <f>R7/'1 1a 1b'!F7*1000</f>
        <v>67.698673134541309</v>
      </c>
      <c r="T28"/>
      <c r="AB28"/>
      <c r="AC28"/>
    </row>
    <row r="29" spans="1:29" ht="13.5" customHeight="1" x14ac:dyDescent="0.2">
      <c r="A29" s="10" t="s">
        <v>20</v>
      </c>
      <c r="B29" s="269">
        <f>B8/'1 1a 1b'!B8*1000</f>
        <v>7.1428571428571423</v>
      </c>
      <c r="C29" s="270">
        <f>C8/'1 1a 1b'!C8*1000</f>
        <v>1.0570824524312896</v>
      </c>
      <c r="D29" s="270">
        <f>D8/'1 1a 1b'!D8*1000</f>
        <v>1.1160714285714286</v>
      </c>
      <c r="E29" s="310">
        <f>E8/'1 1a 1b'!E8*1000</f>
        <v>0.7288629737609329</v>
      </c>
      <c r="F29" s="271">
        <f>F8/'1 1a 1b'!F8*1000</f>
        <v>3.9399909077132897</v>
      </c>
      <c r="G29" s="267"/>
      <c r="H29" s="268">
        <f>H8/'1 1a 1b'!B8*1000</f>
        <v>181.26984126984127</v>
      </c>
      <c r="I29" s="25">
        <f>I8/'1 1a 1b'!C8*1000</f>
        <v>38.407329105003527</v>
      </c>
      <c r="J29" s="25">
        <f>J8/'1 1a 1b'!D8*1000</f>
        <v>15.25297619047619</v>
      </c>
      <c r="K29" s="272">
        <f>K8/'1 1a 1b'!E8*1000</f>
        <v>26.239067055393587</v>
      </c>
      <c r="L29" s="271">
        <f>L8/'1 1a 1b'!F8*1000</f>
        <v>100.62130625852402</v>
      </c>
      <c r="M29" s="267"/>
      <c r="N29" s="273">
        <f>N8/'1 1a 1b'!B8*1000</f>
        <v>148.4126984126984</v>
      </c>
      <c r="O29" s="274">
        <f>O8/'1 1a 1b'!C8*1000</f>
        <v>31.360112755461593</v>
      </c>
      <c r="P29" s="274">
        <f>P8/'1 1a 1b'!D8*1000</f>
        <v>13.020833333333334</v>
      </c>
      <c r="Q29" s="275">
        <f>Q8/'1 1a 1b'!E8*1000</f>
        <v>23.323615160349853</v>
      </c>
      <c r="R29" s="276">
        <f>R8/'1 1a 1b'!F8*1000</f>
        <v>82.664040006061526</v>
      </c>
      <c r="T29"/>
      <c r="AB29"/>
      <c r="AC29"/>
    </row>
    <row r="30" spans="1:29" ht="13.5" customHeight="1" x14ac:dyDescent="0.2">
      <c r="A30" s="10" t="s">
        <v>13</v>
      </c>
      <c r="B30" s="269">
        <f>B9/'1 1a 1b'!B9*1000</f>
        <v>8.279220779220779</v>
      </c>
      <c r="C30" s="270">
        <f>C9/'1 1a 1b'!C9*1000</f>
        <v>1.4722119985277879</v>
      </c>
      <c r="D30" s="270">
        <f>D9/'1 1a 1b'!D9*1000</f>
        <v>1.2701100762066044</v>
      </c>
      <c r="E30" s="310">
        <f>E9/'1 1a 1b'!E9*1000</f>
        <v>0.85106382978723405</v>
      </c>
      <c r="F30" s="271">
        <f>F9/'1 1a 1b'!F9*1000</f>
        <v>4.7526985661350087</v>
      </c>
      <c r="G30" s="282"/>
      <c r="H30" s="268">
        <f>H9/'1 1a 1b'!B9*1000</f>
        <v>198.21428571428569</v>
      </c>
      <c r="I30" s="25">
        <f>I9/'1 1a 1b'!C9*1000</f>
        <v>36.43724696356275</v>
      </c>
      <c r="J30" s="25">
        <f>J9/'1 1a 1b'!D9*1000</f>
        <v>24.555461473327686</v>
      </c>
      <c r="K30" s="272">
        <f>K9/'1 1a 1b'!E9*1000</f>
        <v>32.340425531914896</v>
      </c>
      <c r="L30" s="271">
        <f>L9/'1 1a 1b'!F9*1000</f>
        <v>114.06476558724022</v>
      </c>
      <c r="M30" s="282"/>
      <c r="N30" s="273">
        <f>N9/'1 1a 1b'!B9*1000</f>
        <v>152.27272727272728</v>
      </c>
      <c r="O30" s="274">
        <f>O9/'1 1a 1b'!C9*1000</f>
        <v>31.284504968715495</v>
      </c>
      <c r="P30" s="274">
        <f>P9/'1 1a 1b'!D9*1000</f>
        <v>18.204911092294665</v>
      </c>
      <c r="Q30" s="275">
        <f>Q9/'1 1a 1b'!E9*1000</f>
        <v>28.085106382978722</v>
      </c>
      <c r="R30" s="276">
        <f>R9/'1 1a 1b'!F9*1000</f>
        <v>88.529080070887701</v>
      </c>
      <c r="T30"/>
      <c r="AB30"/>
      <c r="AC30"/>
    </row>
    <row r="31" spans="1:29" ht="13.5" customHeight="1" x14ac:dyDescent="0.2">
      <c r="A31" s="10" t="s">
        <v>15</v>
      </c>
      <c r="B31" s="269">
        <f>B10/'1 1a 1b'!B10*1000</f>
        <v>6.8540095956134337</v>
      </c>
      <c r="C31" s="270">
        <f>C10/'1 1a 1b'!C10*1000</f>
        <v>0.83022000830220011</v>
      </c>
      <c r="D31" s="270">
        <f>D10/'1 1a 1b'!D10*1000</f>
        <v>0.98328416912487715</v>
      </c>
      <c r="E31" s="310">
        <f>E10/'1 1a 1b'!E10*1000</f>
        <v>2.4570024570024569</v>
      </c>
      <c r="F31" s="271">
        <f>F10/'1 1a 1b'!F10*1000</f>
        <v>4.1467592175245649</v>
      </c>
      <c r="G31" s="282"/>
      <c r="H31" s="268">
        <f>H10/'1 1a 1b'!B10*1000</f>
        <v>199.79437971213159</v>
      </c>
      <c r="I31" s="25">
        <f>I10/'1 1a 1b'!C10*1000</f>
        <v>38.19012038190121</v>
      </c>
      <c r="J31" s="25">
        <f>J10/'1 1a 1b'!D10*1000</f>
        <v>17.207472959685351</v>
      </c>
      <c r="K31" s="272">
        <f>K10/'1 1a 1b'!E10*1000</f>
        <v>31.941031941031941</v>
      </c>
      <c r="L31" s="271">
        <f>L10/'1 1a 1b'!F10*1000</f>
        <v>118.90381321554133</v>
      </c>
      <c r="M31" s="282"/>
      <c r="N31" s="273">
        <f>N10/'1 1a 1b'!B10*1000</f>
        <v>149.07470870459218</v>
      </c>
      <c r="O31" s="274">
        <f>O10/'1 1a 1b'!C10*1000</f>
        <v>31.548360315483603</v>
      </c>
      <c r="P31" s="274">
        <f>P10/'1 1a 1b'!D10*1000</f>
        <v>15.732546705998034</v>
      </c>
      <c r="Q31" s="275">
        <f>Q10/'1 1a 1b'!E10*1000</f>
        <v>29.484029484029485</v>
      </c>
      <c r="R31" s="276">
        <f>R10/'1 1a 1b'!F10*1000</f>
        <v>90.327233390426386</v>
      </c>
      <c r="T31"/>
      <c r="AB31"/>
      <c r="AC31"/>
    </row>
    <row r="32" spans="1:29" ht="13.5" customHeight="1" x14ac:dyDescent="0.2">
      <c r="A32" s="10" t="s">
        <v>17</v>
      </c>
      <c r="B32" s="269">
        <f>B11/'1 1a 1b'!B11*1000</f>
        <v>5.4368203974503189</v>
      </c>
      <c r="C32" s="270">
        <f>C11/'1 1a 1b'!C11*1000</f>
        <v>0.42498937526561836</v>
      </c>
      <c r="D32" s="270">
        <f>D11/'1 1a 1b'!D11*1000</f>
        <v>0.51599587203302366</v>
      </c>
      <c r="E32" s="310">
        <f>E11/'1 1a 1b'!E11*1000</f>
        <v>0</v>
      </c>
      <c r="F32" s="271">
        <f>F11/'1 1a 1b'!F11*1000</f>
        <v>2.9414555460669893</v>
      </c>
      <c r="G32" s="282"/>
      <c r="H32" s="268">
        <f>H11/'1 1a 1b'!B11*1000</f>
        <v>213.72328458942633</v>
      </c>
      <c r="I32" s="25">
        <f>I11/'1 1a 1b'!C11*1000</f>
        <v>36.974075648108801</v>
      </c>
      <c r="J32" s="25">
        <f>J11/'1 1a 1b'!D11*1000</f>
        <v>25.799793601651185</v>
      </c>
      <c r="K32" s="272">
        <f>K11/'1 1a 1b'!E11*1000</f>
        <v>37.199124726477024</v>
      </c>
      <c r="L32" s="271">
        <f>L11/'1 1a 1b'!F11*1000</f>
        <v>124.39510389980074</v>
      </c>
      <c r="M32" s="282"/>
      <c r="N32" s="273">
        <f>N11/'1 1a 1b'!B11*1000</f>
        <v>173.9782527184102</v>
      </c>
      <c r="O32" s="274">
        <f>O11/'1 1a 1b'!C11*1000</f>
        <v>32.299192520186992</v>
      </c>
      <c r="P32" s="274">
        <f>P11/'1 1a 1b'!D11*1000</f>
        <v>23.735810113519094</v>
      </c>
      <c r="Q32" s="275">
        <f>Q11/'1 1a 1b'!E11*1000</f>
        <v>27.352297592997811</v>
      </c>
      <c r="R32" s="276">
        <f>R11/'1 1a 1b'!F11*1000</f>
        <v>102.00208748458107</v>
      </c>
      <c r="T32"/>
      <c r="AB32"/>
      <c r="AC32"/>
    </row>
    <row r="33" spans="1:29" ht="13.5" customHeight="1" x14ac:dyDescent="0.2">
      <c r="A33" s="10" t="s">
        <v>147</v>
      </c>
      <c r="B33" s="269">
        <f>B12/'1 1a 1b'!B12*1000</f>
        <v>5.5535650304550339</v>
      </c>
      <c r="C33" s="270">
        <f>C12/'1 1a 1b'!C12*1000</f>
        <v>1.2897678417884781</v>
      </c>
      <c r="D33" s="270">
        <f>D12/'1 1a 1b'!D12*1000</f>
        <v>0.5271481286241434</v>
      </c>
      <c r="E33" s="310">
        <f>E12/'1 1a 1b'!E12*1000</f>
        <v>5.9665871121718377</v>
      </c>
      <c r="F33" s="271">
        <f>F12/'1 1a 1b'!F12*1000</f>
        <v>3.7583388142441039</v>
      </c>
      <c r="G33" s="282" t="s">
        <v>145</v>
      </c>
      <c r="H33" s="268">
        <f>H12/'1 1a 1b'!B12*1000</f>
        <v>170.01074883554281</v>
      </c>
      <c r="I33" s="25">
        <f>I12/'1 1a 1b'!C12*1000</f>
        <v>39.122957867583835</v>
      </c>
      <c r="J33" s="25">
        <f>J12/'1 1a 1b'!D12*1000</f>
        <v>21.085925144965735</v>
      </c>
      <c r="K33" s="272">
        <f>K12/'1 1a 1b'!E12*1000</f>
        <v>25.05966587112172</v>
      </c>
      <c r="L33" s="271">
        <f>L12/'1 1a 1b'!F12*1000</f>
        <v>103.44827586206897</v>
      </c>
      <c r="M33" s="282"/>
      <c r="N33" s="273">
        <f>N12/'1 1a 1b'!B12*1000</f>
        <v>127.19455392332496</v>
      </c>
      <c r="O33" s="274">
        <f>O12/'1 1a 1b'!C12*1000</f>
        <v>33.104041272570939</v>
      </c>
      <c r="P33" s="274">
        <f>P12/'1 1a 1b'!D12*1000</f>
        <v>15.814443858724301</v>
      </c>
      <c r="Q33" s="275">
        <f>Q12/'1 1a 1b'!E12*1000</f>
        <v>19.093078758949883</v>
      </c>
      <c r="R33" s="276">
        <f>R12/'1 1a 1b'!F12*1000</f>
        <v>78.267405806633462</v>
      </c>
      <c r="T33"/>
      <c r="AB33"/>
      <c r="AC33"/>
    </row>
    <row r="34" spans="1:29" ht="13.5" customHeight="1" x14ac:dyDescent="0.2">
      <c r="A34" s="10" t="str">
        <f>A13</f>
        <v>2015-16</v>
      </c>
      <c r="B34" s="269">
        <f>B13/'1 1a 1b'!B13*1000</f>
        <v>6.8698256121190768</v>
      </c>
      <c r="C34" s="270">
        <f>C13/'1 1a 1b'!C13*1000</f>
        <v>1.2014417300760913</v>
      </c>
      <c r="D34" s="270">
        <f>D13/'1 1a 1b'!D13*1000</f>
        <v>1.5267175572519083</v>
      </c>
      <c r="E34" s="310">
        <f>E13/'1 1a 1b'!E13*1000</f>
        <v>0</v>
      </c>
      <c r="F34" s="271">
        <f>F13/'1 1a 1b'!F13*1000</f>
        <v>4.0860800871697087</v>
      </c>
      <c r="G34" s="282"/>
      <c r="H34" s="268">
        <f>H13/'1 1a 1b'!B13*1000</f>
        <v>187.24678527391228</v>
      </c>
      <c r="I34" s="25">
        <f>I13/'1 1a 1b'!C13*1000</f>
        <v>46.856227472967561</v>
      </c>
      <c r="J34" s="25">
        <f>J13/'1 1a 1b'!D13*1000</f>
        <v>31.043256997455472</v>
      </c>
      <c r="K34" s="272">
        <f>K13/'1 1a 1b'!E13*1000</f>
        <v>40.045766590389022</v>
      </c>
      <c r="L34" s="271">
        <f>L13/'1 1a 1b'!F13*1000</f>
        <v>115.86307091618995</v>
      </c>
      <c r="M34" s="282"/>
      <c r="N34" s="273">
        <f>N13/'1 1a 1b'!B13*1000</f>
        <v>145.32323410251894</v>
      </c>
      <c r="O34" s="274">
        <f>O13/'1 1a 1b'!C13*1000</f>
        <v>41.249499399279131</v>
      </c>
      <c r="P34" s="274">
        <f>P13/'1 1a 1b'!D13*1000</f>
        <v>28.498727735368959</v>
      </c>
      <c r="Q34" s="275">
        <f>Q13/'1 1a 1b'!E13*1000</f>
        <v>33.180778032036613</v>
      </c>
      <c r="R34" s="276">
        <f>R13/'1 1a 1b'!F13*1000</f>
        <v>91.982202851175884</v>
      </c>
      <c r="T34"/>
      <c r="AB34"/>
      <c r="AC34"/>
    </row>
    <row r="35" spans="1:29" ht="13.5" customHeight="1" x14ac:dyDescent="0.2">
      <c r="A35" s="10" t="str">
        <f>A14</f>
        <v>2016-17</v>
      </c>
      <c r="B35" s="269">
        <f>B14/'1 1a 1b'!B14*1000</f>
        <v>6.4888248017303525</v>
      </c>
      <c r="C35" s="270">
        <f>C14/'1 1a 1b'!C14*1000</f>
        <v>1.3163668275559457</v>
      </c>
      <c r="D35" s="270">
        <f>D14/'1 1a 1b'!D14*1000</f>
        <v>2.3596035865974518</v>
      </c>
      <c r="E35" s="310">
        <f>E14/'1 1a 1b'!E14*1000</f>
        <v>0</v>
      </c>
      <c r="F35" s="271">
        <f>F14/'1 1a 1b'!F14*1000</f>
        <v>4.0352164343360233</v>
      </c>
      <c r="G35" s="282"/>
      <c r="H35" s="268">
        <f>H14/'1 1a 1b'!B14*1000</f>
        <v>200.97332372025954</v>
      </c>
      <c r="I35" s="25">
        <f>I14/'1 1a 1b'!C14*1000</f>
        <v>31.592803861342695</v>
      </c>
      <c r="J35" s="25">
        <f>J14/'1 1a 1b'!D14*1000</f>
        <v>22.652194431335538</v>
      </c>
      <c r="K35" s="272">
        <f>K14/'1 1a 1b'!E14*1000</f>
        <v>32.359081419624218</v>
      </c>
      <c r="L35" s="271">
        <f>L14/'1 1a 1b'!F14*1000</f>
        <v>116.1041819515774</v>
      </c>
      <c r="M35" s="282" t="s">
        <v>145</v>
      </c>
      <c r="N35" s="273">
        <f>N14/'1 1a 1b'!B14*1000</f>
        <v>146.71953857245853</v>
      </c>
      <c r="O35" s="274">
        <f>O14/'1 1a 1b'!C14*1000</f>
        <v>24.57218078104432</v>
      </c>
      <c r="P35" s="274">
        <f>P14/'1 1a 1b'!D14*1000</f>
        <v>18.876828692779615</v>
      </c>
      <c r="Q35" s="275">
        <f>Q14/'1 1a 1b'!E14*1000</f>
        <v>27.139874739039669</v>
      </c>
      <c r="R35" s="276">
        <f>R14/'1 1a 1b'!F14*1000</f>
        <v>85.84005869405722</v>
      </c>
      <c r="S35" s="1" t="s">
        <v>145</v>
      </c>
      <c r="T35"/>
      <c r="AB35"/>
      <c r="AC35"/>
    </row>
    <row r="36" spans="1:29" ht="13.5" customHeight="1" x14ac:dyDescent="0.2">
      <c r="A36" s="1303" t="str">
        <f>A15</f>
        <v>2017-18</v>
      </c>
      <c r="B36" s="909">
        <f>B15/'1 1a 1b'!B15*1000</f>
        <v>6.9679849340866289</v>
      </c>
      <c r="C36" s="283">
        <f>C15/'1 1a 1b'!C15*1000</f>
        <v>1.31521262604121</v>
      </c>
      <c r="D36" s="283">
        <f>D15/'1 1a 1b'!D15*1000</f>
        <v>1.4940239043824701</v>
      </c>
      <c r="E36" s="428">
        <f>E15/'1 1a 1b'!E15*1000</f>
        <v>0.94786729857819907</v>
      </c>
      <c r="F36" s="284">
        <f>F15/'1 1a 1b'!F15*1000</f>
        <v>4.1299042613103056</v>
      </c>
      <c r="G36" s="267" t="s">
        <v>143</v>
      </c>
      <c r="H36" s="285">
        <f>H15/'1 1a 1b'!B15*1000</f>
        <v>173.44632768361581</v>
      </c>
      <c r="I36" s="286">
        <f>I15/'1 1a 1b'!C15*1000</f>
        <v>51.293292415607191</v>
      </c>
      <c r="J36" s="286">
        <f>J15/'1 1a 1b'!D15*1000</f>
        <v>25.398406374501995</v>
      </c>
      <c r="K36" s="287">
        <f>K15/'1 1a 1b'!E15*1000</f>
        <v>22.748815165876778</v>
      </c>
      <c r="L36" s="284">
        <f>L15/'1 1a 1b'!F15*1000</f>
        <v>104.46780551905388</v>
      </c>
      <c r="M36" s="267" t="s">
        <v>143</v>
      </c>
      <c r="N36" s="288">
        <f>N15/'1 1a 1b'!B15*1000</f>
        <v>138.79472693032017</v>
      </c>
      <c r="O36" s="289">
        <f>O15/'1 1a 1b'!C15*1000</f>
        <v>38.57957036387549</v>
      </c>
      <c r="P36" s="289">
        <f>P15/'1 1a 1b'!D15*1000</f>
        <v>17.430278884462151</v>
      </c>
      <c r="Q36" s="290">
        <f>Q15/'1 1a 1b'!E15*1000</f>
        <v>18.009478672985782</v>
      </c>
      <c r="R36" s="291">
        <f>R15/'1 1a 1b'!F15*1000</f>
        <v>82.50422376572179</v>
      </c>
      <c r="S36" s="1" t="s">
        <v>143</v>
      </c>
      <c r="T36"/>
      <c r="AB36"/>
      <c r="AC36"/>
    </row>
    <row r="37" spans="1:29" x14ac:dyDescent="0.2">
      <c r="A37" s="71"/>
      <c r="T37"/>
      <c r="AB37"/>
      <c r="AC37"/>
    </row>
    <row r="38" spans="1:29" x14ac:dyDescent="0.2">
      <c r="A38" s="2" t="s">
        <v>162</v>
      </c>
      <c r="T38"/>
      <c r="AB38"/>
      <c r="AC38"/>
    </row>
    <row r="39" spans="1:29" x14ac:dyDescent="0.2">
      <c r="A39" s="71" t="s">
        <v>967</v>
      </c>
      <c r="T39"/>
      <c r="AB39"/>
      <c r="AC39"/>
    </row>
    <row r="40" spans="1:29" x14ac:dyDescent="0.2">
      <c r="A40" s="71" t="s">
        <v>968</v>
      </c>
    </row>
    <row r="41" spans="1:29" x14ac:dyDescent="0.2">
      <c r="A41" s="1649" t="s">
        <v>964</v>
      </c>
      <c r="B41" s="1649"/>
      <c r="C41" s="1649"/>
      <c r="D41" s="1649"/>
      <c r="E41" s="1649"/>
      <c r="F41" s="1649"/>
      <c r="G41" s="1649"/>
      <c r="H41" s="1649"/>
      <c r="I41" s="1649"/>
      <c r="J41" s="1649"/>
      <c r="K41" s="1649"/>
      <c r="L41" s="1649"/>
      <c r="M41" s="1649"/>
      <c r="N41" s="1649"/>
      <c r="O41" s="1649"/>
      <c r="P41" s="1649"/>
      <c r="Q41" s="1649"/>
      <c r="R41" s="1649"/>
    </row>
    <row r="42" spans="1:29" ht="25.5" customHeight="1" x14ac:dyDescent="0.2">
      <c r="A42" s="1654" t="s">
        <v>965</v>
      </c>
      <c r="B42" s="1654"/>
      <c r="C42" s="1654"/>
      <c r="D42" s="1654"/>
      <c r="E42" s="1654"/>
      <c r="F42" s="1654"/>
      <c r="G42" s="1654"/>
      <c r="H42" s="1654"/>
      <c r="I42" s="1654"/>
      <c r="J42" s="1654"/>
      <c r="K42" s="1654"/>
      <c r="L42" s="1654"/>
      <c r="M42" s="1654"/>
      <c r="N42" s="1654"/>
      <c r="O42" s="1654"/>
      <c r="P42" s="1654"/>
      <c r="Q42" s="1654"/>
      <c r="R42" s="1654"/>
    </row>
    <row r="43" spans="1:29" s="101" customFormat="1" ht="38.25" customHeight="1" x14ac:dyDescent="0.2">
      <c r="A43" s="1653" t="s">
        <v>677</v>
      </c>
      <c r="B43" s="1653"/>
      <c r="C43" s="1653"/>
      <c r="D43" s="1653"/>
      <c r="E43" s="1653"/>
      <c r="F43" s="467"/>
      <c r="G43" s="467"/>
      <c r="H43" s="467"/>
      <c r="I43" s="467"/>
      <c r="J43" s="467"/>
      <c r="K43" s="467"/>
      <c r="L43" s="467"/>
      <c r="M43" s="467"/>
      <c r="N43" s="467"/>
      <c r="O43" s="467"/>
      <c r="P43" s="467"/>
      <c r="Q43" s="467"/>
      <c r="R43" s="467"/>
      <c r="U43"/>
      <c r="V43"/>
      <c r="W43"/>
      <c r="X43"/>
      <c r="Y43"/>
      <c r="Z43"/>
      <c r="AA43"/>
    </row>
    <row r="44" spans="1:29" ht="15" x14ac:dyDescent="0.25">
      <c r="F44" s="253"/>
      <c r="L44" s="253"/>
      <c r="R44" s="253" t="s">
        <v>0</v>
      </c>
    </row>
    <row r="45" spans="1:29" ht="26.25" customHeight="1" x14ac:dyDescent="0.2">
      <c r="B45" s="1635" t="s">
        <v>346</v>
      </c>
      <c r="C45" s="1636"/>
      <c r="D45" s="1636"/>
      <c r="E45" s="1636"/>
      <c r="F45" s="1637" t="s">
        <v>54</v>
      </c>
      <c r="G45" s="101"/>
      <c r="H45" s="1635" t="s">
        <v>57</v>
      </c>
      <c r="I45" s="1636"/>
      <c r="J45" s="1636"/>
      <c r="K45" s="1636"/>
      <c r="L45" s="1637" t="s">
        <v>55</v>
      </c>
      <c r="M45" s="101"/>
      <c r="N45" s="1650" t="s">
        <v>336</v>
      </c>
      <c r="O45" s="1651"/>
      <c r="P45" s="1651"/>
      <c r="Q45" s="1652"/>
      <c r="R45" s="1637" t="s">
        <v>55</v>
      </c>
    </row>
    <row r="46" spans="1:29" ht="26.25" customHeight="1" x14ac:dyDescent="0.2">
      <c r="A46" s="86" t="s">
        <v>22</v>
      </c>
      <c r="B46" s="117" t="s">
        <v>5</v>
      </c>
      <c r="C46" s="1115" t="s">
        <v>6</v>
      </c>
      <c r="D46" s="1115" t="s">
        <v>7</v>
      </c>
      <c r="E46" s="229" t="s">
        <v>8</v>
      </c>
      <c r="F46" s="1646"/>
      <c r="G46" s="101"/>
      <c r="H46" s="117" t="s">
        <v>5</v>
      </c>
      <c r="I46" s="1115" t="s">
        <v>6</v>
      </c>
      <c r="J46" s="1115" t="s">
        <v>7</v>
      </c>
      <c r="K46" s="229" t="s">
        <v>8</v>
      </c>
      <c r="L46" s="1646"/>
      <c r="M46" s="101"/>
      <c r="N46" s="117" t="s">
        <v>5</v>
      </c>
      <c r="O46" s="1115" t="s">
        <v>6</v>
      </c>
      <c r="P46" s="1115" t="s">
        <v>7</v>
      </c>
      <c r="Q46" s="229" t="s">
        <v>8</v>
      </c>
      <c r="R46" s="1646"/>
    </row>
    <row r="47" spans="1:29" ht="18.75" customHeight="1" x14ac:dyDescent="0.2">
      <c r="A47" s="153" t="s">
        <v>23</v>
      </c>
      <c r="B47" s="1360">
        <f>T_02!F7</f>
        <v>3</v>
      </c>
      <c r="C47" s="1356">
        <f>T_02!G7</f>
        <v>0</v>
      </c>
      <c r="D47" s="1356">
        <f>T_02!H7</f>
        <v>0</v>
      </c>
      <c r="E47" s="1356">
        <f>T_02!I7</f>
        <v>0</v>
      </c>
      <c r="F47" s="163">
        <f>SUM(B47:E47)</f>
        <v>3</v>
      </c>
      <c r="G47" s="857"/>
      <c r="H47" s="1360">
        <f>T_02!J7</f>
        <v>29</v>
      </c>
      <c r="I47" s="1356">
        <f>T_02!K7</f>
        <v>2</v>
      </c>
      <c r="J47" s="1356">
        <f>T_02!L7</f>
        <v>0</v>
      </c>
      <c r="K47" s="1356">
        <f>T_02!M7</f>
        <v>1</v>
      </c>
      <c r="L47" s="163">
        <f>SUM(H47:K47)</f>
        <v>32</v>
      </c>
      <c r="M47" s="164"/>
      <c r="N47" s="1360">
        <f>T_02!B7</f>
        <v>26</v>
      </c>
      <c r="O47" s="1356">
        <f>T_02!C7</f>
        <v>1</v>
      </c>
      <c r="P47" s="1356">
        <f>T_02!D7</f>
        <v>0</v>
      </c>
      <c r="Q47" s="1356">
        <f>T_02!E7</f>
        <v>1</v>
      </c>
      <c r="R47" s="163">
        <f>SUM(N47:Q47)</f>
        <v>28</v>
      </c>
    </row>
    <row r="48" spans="1:29" ht="13.5" customHeight="1" x14ac:dyDescent="0.2">
      <c r="A48" s="152" t="s">
        <v>24</v>
      </c>
      <c r="B48" s="1361">
        <f>T_02!F8</f>
        <v>1</v>
      </c>
      <c r="C48" s="1357">
        <f>T_02!G8</f>
        <v>0</v>
      </c>
      <c r="D48" s="1357">
        <f>T_02!H8</f>
        <v>0</v>
      </c>
      <c r="E48" s="1357">
        <f>T_02!I8</f>
        <v>0</v>
      </c>
      <c r="F48" s="953">
        <f t="shared" ref="F48:F79" si="5">SUM(B48:E48)</f>
        <v>1</v>
      </c>
      <c r="G48" s="857"/>
      <c r="H48" s="1361">
        <f>T_02!J8</f>
        <v>32</v>
      </c>
      <c r="I48" s="1357">
        <f>T_02!K8</f>
        <v>4</v>
      </c>
      <c r="J48" s="1357">
        <f>T_02!L8</f>
        <v>5</v>
      </c>
      <c r="K48" s="1357">
        <f>T_02!M8</f>
        <v>5</v>
      </c>
      <c r="L48" s="953">
        <f t="shared" ref="L48:L78" si="6">SUM(H48:K48)</f>
        <v>46</v>
      </c>
      <c r="M48" s="164"/>
      <c r="N48" s="1361">
        <f>T_02!B8</f>
        <v>28</v>
      </c>
      <c r="O48" s="1357">
        <f>T_02!C8</f>
        <v>4</v>
      </c>
      <c r="P48" s="1357">
        <f>T_02!D8</f>
        <v>4</v>
      </c>
      <c r="Q48" s="1357">
        <f>T_02!E8</f>
        <v>5</v>
      </c>
      <c r="R48" s="953">
        <f t="shared" ref="R48:R79" si="7">SUM(N48:Q48)</f>
        <v>41</v>
      </c>
    </row>
    <row r="49" spans="1:18" ht="13.5" customHeight="1" x14ac:dyDescent="0.2">
      <c r="A49" s="153" t="s">
        <v>25</v>
      </c>
      <c r="B49" s="1358">
        <f>T_02!F9</f>
        <v>0</v>
      </c>
      <c r="C49" s="1359">
        <f>T_02!G9</f>
        <v>0</v>
      </c>
      <c r="D49" s="1359">
        <f>T_02!H9</f>
        <v>0</v>
      </c>
      <c r="E49" s="1359">
        <f>T_02!I9</f>
        <v>0</v>
      </c>
      <c r="F49" s="165">
        <f t="shared" si="5"/>
        <v>0</v>
      </c>
      <c r="G49" s="857"/>
      <c r="H49" s="1358">
        <f>T_02!J9</f>
        <v>18</v>
      </c>
      <c r="I49" s="1359">
        <f>T_02!K9</f>
        <v>2</v>
      </c>
      <c r="J49" s="1359">
        <f>T_02!L9</f>
        <v>1</v>
      </c>
      <c r="K49" s="1359">
        <f>T_02!M9</f>
        <v>0</v>
      </c>
      <c r="L49" s="165">
        <f t="shared" si="6"/>
        <v>21</v>
      </c>
      <c r="M49" s="164"/>
      <c r="N49" s="1358">
        <f>T_02!B9</f>
        <v>16</v>
      </c>
      <c r="O49" s="1359">
        <f>T_02!C9</f>
        <v>2</v>
      </c>
      <c r="P49" s="1359">
        <f>T_02!D9</f>
        <v>1</v>
      </c>
      <c r="Q49" s="1359">
        <f>T_02!E9</f>
        <v>0</v>
      </c>
      <c r="R49" s="165">
        <f t="shared" si="7"/>
        <v>19</v>
      </c>
    </row>
    <row r="50" spans="1:18" ht="13.5" customHeight="1" x14ac:dyDescent="0.2">
      <c r="A50" s="152" t="s">
        <v>26</v>
      </c>
      <c r="B50" s="1361">
        <f>T_02!F10</f>
        <v>1</v>
      </c>
      <c r="C50" s="1357">
        <f>T_02!G10</f>
        <v>0</v>
      </c>
      <c r="D50" s="1357">
        <f>T_02!H10</f>
        <v>0</v>
      </c>
      <c r="E50" s="1357">
        <f>T_02!I10</f>
        <v>0</v>
      </c>
      <c r="F50" s="953">
        <f t="shared" si="5"/>
        <v>1</v>
      </c>
      <c r="G50" s="857"/>
      <c r="H50" s="1361">
        <f>T_02!J10</f>
        <v>18</v>
      </c>
      <c r="I50" s="1357">
        <f>T_02!K10</f>
        <v>1</v>
      </c>
      <c r="J50" s="1357">
        <f>T_02!L10</f>
        <v>0</v>
      </c>
      <c r="K50" s="1357">
        <f>T_02!M10</f>
        <v>1</v>
      </c>
      <c r="L50" s="953">
        <f t="shared" si="6"/>
        <v>20</v>
      </c>
      <c r="M50" s="164"/>
      <c r="N50" s="1361">
        <f>T_02!B10</f>
        <v>13</v>
      </c>
      <c r="O50" s="1357">
        <f>T_02!C10</f>
        <v>0</v>
      </c>
      <c r="P50" s="1357">
        <f>T_02!D10</f>
        <v>0</v>
      </c>
      <c r="Q50" s="1357">
        <f>T_02!E10</f>
        <v>0</v>
      </c>
      <c r="R50" s="953">
        <f t="shared" si="7"/>
        <v>13</v>
      </c>
    </row>
    <row r="51" spans="1:18" ht="13.5" customHeight="1" x14ac:dyDescent="0.2">
      <c r="A51" s="153" t="s">
        <v>27</v>
      </c>
      <c r="B51" s="1358">
        <f>T_02!F11</f>
        <v>0</v>
      </c>
      <c r="C51" s="1359">
        <f>T_02!G11</f>
        <v>0</v>
      </c>
      <c r="D51" s="1359">
        <f>T_02!H11</f>
        <v>0</v>
      </c>
      <c r="E51" s="1359">
        <f>T_02!I11</f>
        <v>0</v>
      </c>
      <c r="F51" s="165">
        <f t="shared" si="5"/>
        <v>0</v>
      </c>
      <c r="G51" s="857"/>
      <c r="H51" s="1358">
        <f>T_02!J11</f>
        <v>8</v>
      </c>
      <c r="I51" s="1359">
        <f>T_02!K11</f>
        <v>1</v>
      </c>
      <c r="J51" s="1359">
        <f>T_02!L11</f>
        <v>0</v>
      </c>
      <c r="K51" s="1359">
        <f>T_02!M11</f>
        <v>0</v>
      </c>
      <c r="L51" s="165">
        <f t="shared" si="6"/>
        <v>9</v>
      </c>
      <c r="M51" s="164"/>
      <c r="N51" s="1358">
        <f>T_02!B11</f>
        <v>5</v>
      </c>
      <c r="O51" s="1359">
        <f>T_02!C11</f>
        <v>0</v>
      </c>
      <c r="P51" s="1359">
        <f>T_02!D11</f>
        <v>0</v>
      </c>
      <c r="Q51" s="1359">
        <f>T_02!E11</f>
        <v>0</v>
      </c>
      <c r="R51" s="165">
        <f t="shared" si="7"/>
        <v>5</v>
      </c>
    </row>
    <row r="52" spans="1:18" ht="13.5" customHeight="1" x14ac:dyDescent="0.2">
      <c r="A52" s="152" t="s">
        <v>28</v>
      </c>
      <c r="B52" s="1361">
        <f>T_02!F12</f>
        <v>3</v>
      </c>
      <c r="C52" s="1357">
        <f>T_02!G12</f>
        <v>0</v>
      </c>
      <c r="D52" s="1357">
        <f>T_02!H12</f>
        <v>2</v>
      </c>
      <c r="E52" s="1357">
        <f>T_02!I12</f>
        <v>0</v>
      </c>
      <c r="F52" s="953">
        <f t="shared" si="5"/>
        <v>5</v>
      </c>
      <c r="G52" s="857"/>
      <c r="H52" s="1361">
        <f>T_02!J12</f>
        <v>4</v>
      </c>
      <c r="I52" s="1357">
        <f>T_02!K12</f>
        <v>2</v>
      </c>
      <c r="J52" s="1357">
        <f>T_02!L12</f>
        <v>0</v>
      </c>
      <c r="K52" s="1357">
        <f>T_02!M12</f>
        <v>0</v>
      </c>
      <c r="L52" s="953">
        <f t="shared" si="6"/>
        <v>6</v>
      </c>
      <c r="M52" s="164"/>
      <c r="N52" s="1361">
        <f>T_02!B12</f>
        <v>4</v>
      </c>
      <c r="O52" s="1357">
        <f>T_02!C12</f>
        <v>2</v>
      </c>
      <c r="P52" s="1357">
        <f>T_02!D12</f>
        <v>0</v>
      </c>
      <c r="Q52" s="1357">
        <f>T_02!E12</f>
        <v>0</v>
      </c>
      <c r="R52" s="953">
        <f t="shared" si="7"/>
        <v>6</v>
      </c>
    </row>
    <row r="53" spans="1:18" ht="13.5" customHeight="1" x14ac:dyDescent="0.2">
      <c r="A53" s="153" t="s">
        <v>29</v>
      </c>
      <c r="B53" s="1358">
        <f>T_02!F13</f>
        <v>0</v>
      </c>
      <c r="C53" s="1359">
        <f>T_02!G13</f>
        <v>0</v>
      </c>
      <c r="D53" s="1359">
        <f>T_02!H13</f>
        <v>0</v>
      </c>
      <c r="E53" s="1359">
        <f>T_02!I13</f>
        <v>0</v>
      </c>
      <c r="F53" s="165">
        <f t="shared" si="5"/>
        <v>0</v>
      </c>
      <c r="G53" s="857"/>
      <c r="H53" s="1358">
        <f>T_02!J13</f>
        <v>34</v>
      </c>
      <c r="I53" s="1359">
        <f>T_02!K13</f>
        <v>2</v>
      </c>
      <c r="J53" s="1359">
        <f>T_02!L13</f>
        <v>1</v>
      </c>
      <c r="K53" s="1359">
        <f>T_02!M13</f>
        <v>1</v>
      </c>
      <c r="L53" s="165">
        <f t="shared" si="6"/>
        <v>38</v>
      </c>
      <c r="M53" s="164"/>
      <c r="N53" s="1358">
        <f>T_02!B13</f>
        <v>29</v>
      </c>
      <c r="O53" s="1359">
        <f>T_02!C13</f>
        <v>2</v>
      </c>
      <c r="P53" s="1359">
        <f>T_02!D13</f>
        <v>1</v>
      </c>
      <c r="Q53" s="1359">
        <f>T_02!E13</f>
        <v>1</v>
      </c>
      <c r="R53" s="165">
        <f t="shared" si="7"/>
        <v>33</v>
      </c>
    </row>
    <row r="54" spans="1:18" ht="13.5" customHeight="1" x14ac:dyDescent="0.2">
      <c r="A54" s="152" t="s">
        <v>30</v>
      </c>
      <c r="B54" s="1361">
        <f>T_02!F14</f>
        <v>1</v>
      </c>
      <c r="C54" s="1357">
        <f>T_02!G14</f>
        <v>0</v>
      </c>
      <c r="D54" s="1357">
        <f>T_02!H14</f>
        <v>0</v>
      </c>
      <c r="E54" s="1357">
        <f>T_02!I14</f>
        <v>0</v>
      </c>
      <c r="F54" s="953">
        <f t="shared" si="5"/>
        <v>1</v>
      </c>
      <c r="G54" s="857"/>
      <c r="H54" s="1361">
        <f>T_02!J14</f>
        <v>26</v>
      </c>
      <c r="I54" s="1357">
        <f>T_02!K14</f>
        <v>3</v>
      </c>
      <c r="J54" s="1357">
        <f>T_02!L14</f>
        <v>2</v>
      </c>
      <c r="K54" s="1357">
        <f>T_02!M14</f>
        <v>0</v>
      </c>
      <c r="L54" s="953">
        <f t="shared" si="6"/>
        <v>31</v>
      </c>
      <c r="M54" s="164"/>
      <c r="N54" s="1361">
        <f>T_02!B14</f>
        <v>22</v>
      </c>
      <c r="O54" s="1357">
        <f>T_02!C14</f>
        <v>1</v>
      </c>
      <c r="P54" s="1357">
        <f>T_02!D14</f>
        <v>2</v>
      </c>
      <c r="Q54" s="1357">
        <f>T_02!E14</f>
        <v>0</v>
      </c>
      <c r="R54" s="953">
        <f t="shared" si="7"/>
        <v>25</v>
      </c>
    </row>
    <row r="55" spans="1:18" ht="13.5" customHeight="1" x14ac:dyDescent="0.2">
      <c r="A55" s="153" t="s">
        <v>31</v>
      </c>
      <c r="B55" s="1358">
        <f>T_02!F15</f>
        <v>0</v>
      </c>
      <c r="C55" s="1359">
        <f>T_02!G15</f>
        <v>0</v>
      </c>
      <c r="D55" s="1359">
        <f>T_02!H15</f>
        <v>0</v>
      </c>
      <c r="E55" s="1359">
        <f>T_02!I15</f>
        <v>0</v>
      </c>
      <c r="F55" s="165">
        <f t="shared" si="5"/>
        <v>0</v>
      </c>
      <c r="G55" s="857"/>
      <c r="H55" s="1358">
        <f>T_02!J15</f>
        <v>13</v>
      </c>
      <c r="I55" s="1359">
        <f>T_02!K15</f>
        <v>4</v>
      </c>
      <c r="J55" s="1359">
        <f>T_02!L15</f>
        <v>0</v>
      </c>
      <c r="K55" s="1359">
        <f>T_02!M15</f>
        <v>0</v>
      </c>
      <c r="L55" s="165">
        <f t="shared" si="6"/>
        <v>17</v>
      </c>
      <c r="M55" s="164"/>
      <c r="N55" s="1358">
        <f>T_02!B15</f>
        <v>9</v>
      </c>
      <c r="O55" s="1359">
        <f>T_02!C15</f>
        <v>4</v>
      </c>
      <c r="P55" s="1359">
        <f>T_02!D15</f>
        <v>0</v>
      </c>
      <c r="Q55" s="1359">
        <f>T_02!E15</f>
        <v>0</v>
      </c>
      <c r="R55" s="165">
        <f t="shared" si="7"/>
        <v>13</v>
      </c>
    </row>
    <row r="56" spans="1:18" ht="13.5" customHeight="1" x14ac:dyDescent="0.2">
      <c r="A56" s="152" t="s">
        <v>32</v>
      </c>
      <c r="B56" s="1361">
        <f>T_02!F16</f>
        <v>2</v>
      </c>
      <c r="C56" s="1357">
        <f>T_02!G16</f>
        <v>0</v>
      </c>
      <c r="D56" s="1357">
        <f>T_02!H16</f>
        <v>0</v>
      </c>
      <c r="E56" s="1357">
        <f>T_02!I16</f>
        <v>0</v>
      </c>
      <c r="F56" s="953">
        <f t="shared" si="5"/>
        <v>2</v>
      </c>
      <c r="G56" s="857"/>
      <c r="H56" s="1361">
        <f>T_02!J16</f>
        <v>7</v>
      </c>
      <c r="I56" s="1357">
        <f>T_02!K16</f>
        <v>1</v>
      </c>
      <c r="J56" s="1357">
        <f>T_02!L16</f>
        <v>4</v>
      </c>
      <c r="K56" s="1357">
        <f>T_02!M16</f>
        <v>0</v>
      </c>
      <c r="L56" s="953">
        <f t="shared" si="6"/>
        <v>12</v>
      </c>
      <c r="M56" s="164"/>
      <c r="N56" s="1361">
        <f>T_02!B16</f>
        <v>7</v>
      </c>
      <c r="O56" s="1357">
        <f>T_02!C16</f>
        <v>1</v>
      </c>
      <c r="P56" s="1357">
        <f>T_02!D16</f>
        <v>4</v>
      </c>
      <c r="Q56" s="1357">
        <f>T_02!E16</f>
        <v>0</v>
      </c>
      <c r="R56" s="953">
        <f t="shared" si="7"/>
        <v>12</v>
      </c>
    </row>
    <row r="57" spans="1:18" ht="13.5" customHeight="1" x14ac:dyDescent="0.2">
      <c r="A57" s="153" t="s">
        <v>33</v>
      </c>
      <c r="B57" s="1358">
        <f>T_02!F17</f>
        <v>0</v>
      </c>
      <c r="C57" s="1359">
        <f>T_02!G17</f>
        <v>0</v>
      </c>
      <c r="D57" s="1359">
        <f>T_02!H17</f>
        <v>0</v>
      </c>
      <c r="E57" s="1359">
        <f>T_02!I17</f>
        <v>0</v>
      </c>
      <c r="F57" s="165">
        <f t="shared" si="5"/>
        <v>0</v>
      </c>
      <c r="G57" s="857"/>
      <c r="H57" s="1358">
        <f>T_02!J17</f>
        <v>9</v>
      </c>
      <c r="I57" s="1359">
        <f>T_02!K17</f>
        <v>0</v>
      </c>
      <c r="J57" s="1359">
        <f>T_02!L17</f>
        <v>0</v>
      </c>
      <c r="K57" s="1359">
        <f>T_02!M17</f>
        <v>0</v>
      </c>
      <c r="L57" s="165">
        <f t="shared" si="6"/>
        <v>9</v>
      </c>
      <c r="M57" s="164"/>
      <c r="N57" s="1358">
        <f>T_02!B17</f>
        <v>9</v>
      </c>
      <c r="O57" s="1359">
        <f>T_02!C17</f>
        <v>0</v>
      </c>
      <c r="P57" s="1359">
        <f>T_02!D17</f>
        <v>0</v>
      </c>
      <c r="Q57" s="1359">
        <f>T_02!E17</f>
        <v>0</v>
      </c>
      <c r="R57" s="165">
        <f t="shared" si="7"/>
        <v>9</v>
      </c>
    </row>
    <row r="58" spans="1:18" ht="13.5" customHeight="1" x14ac:dyDescent="0.2">
      <c r="A58" s="152" t="s">
        <v>137</v>
      </c>
      <c r="B58" s="1361">
        <f>T_02!F18</f>
        <v>1</v>
      </c>
      <c r="C58" s="1357">
        <f>T_02!G18</f>
        <v>0</v>
      </c>
      <c r="D58" s="1357">
        <f>T_02!H18</f>
        <v>0</v>
      </c>
      <c r="E58" s="1357">
        <f>T_02!I18</f>
        <v>0</v>
      </c>
      <c r="F58" s="953">
        <f t="shared" si="5"/>
        <v>1</v>
      </c>
      <c r="G58" s="857"/>
      <c r="H58" s="1361">
        <f>T_02!J18</f>
        <v>79</v>
      </c>
      <c r="I58" s="1357">
        <f>T_02!K18</f>
        <v>11</v>
      </c>
      <c r="J58" s="1357">
        <f>T_02!L18</f>
        <v>1</v>
      </c>
      <c r="K58" s="1357">
        <f>T_02!M18</f>
        <v>0</v>
      </c>
      <c r="L58" s="953">
        <f t="shared" si="6"/>
        <v>91</v>
      </c>
      <c r="M58" s="164"/>
      <c r="N58" s="1361">
        <f>T_02!B18</f>
        <v>75</v>
      </c>
      <c r="O58" s="1357">
        <f>T_02!C18</f>
        <v>10</v>
      </c>
      <c r="P58" s="1357">
        <f>T_02!D18</f>
        <v>1</v>
      </c>
      <c r="Q58" s="1357">
        <f>T_02!E18</f>
        <v>0</v>
      </c>
      <c r="R58" s="953">
        <f t="shared" si="7"/>
        <v>86</v>
      </c>
    </row>
    <row r="59" spans="1:18" ht="13.5" customHeight="1" x14ac:dyDescent="0.2">
      <c r="A59" s="153" t="s">
        <v>34</v>
      </c>
      <c r="B59" s="1358">
        <f>T_02!F19</f>
        <v>2</v>
      </c>
      <c r="C59" s="1359">
        <f>T_02!G19</f>
        <v>0</v>
      </c>
      <c r="D59" s="1359">
        <f>T_02!H19</f>
        <v>0</v>
      </c>
      <c r="E59" s="1359">
        <f>T_02!I19</f>
        <v>0</v>
      </c>
      <c r="F59" s="165">
        <f t="shared" si="5"/>
        <v>2</v>
      </c>
      <c r="G59" s="857"/>
      <c r="H59" s="1358">
        <f>T_02!J19</f>
        <v>20</v>
      </c>
      <c r="I59" s="1359">
        <f>T_02!K19</f>
        <v>8</v>
      </c>
      <c r="J59" s="1359">
        <f>T_02!L19</f>
        <v>0</v>
      </c>
      <c r="K59" s="1359">
        <f>T_02!M19</f>
        <v>1</v>
      </c>
      <c r="L59" s="165">
        <f t="shared" si="6"/>
        <v>29</v>
      </c>
      <c r="M59" s="164"/>
      <c r="N59" s="1358">
        <f>T_02!B19</f>
        <v>16</v>
      </c>
      <c r="O59" s="1359">
        <f>T_02!C19</f>
        <v>7</v>
      </c>
      <c r="P59" s="1359">
        <f>T_02!D19</f>
        <v>0</v>
      </c>
      <c r="Q59" s="1359">
        <f>T_02!E19</f>
        <v>1</v>
      </c>
      <c r="R59" s="165">
        <f t="shared" si="7"/>
        <v>24</v>
      </c>
    </row>
    <row r="60" spans="1:18" ht="13.5" customHeight="1" x14ac:dyDescent="0.2">
      <c r="A60" s="152" t="s">
        <v>35</v>
      </c>
      <c r="B60" s="1361">
        <f>T_02!F20</f>
        <v>2</v>
      </c>
      <c r="C60" s="1357">
        <f>T_02!G20</f>
        <v>0</v>
      </c>
      <c r="D60" s="1357">
        <f>T_02!H20</f>
        <v>0</v>
      </c>
      <c r="E60" s="1357">
        <f>T_02!I20</f>
        <v>0</v>
      </c>
      <c r="F60" s="953">
        <f t="shared" si="5"/>
        <v>2</v>
      </c>
      <c r="G60" s="857"/>
      <c r="H60" s="1361">
        <f>T_02!J20</f>
        <v>32</v>
      </c>
      <c r="I60" s="1357">
        <f>T_02!K20</f>
        <v>5</v>
      </c>
      <c r="J60" s="1357">
        <f>T_02!L20</f>
        <v>2</v>
      </c>
      <c r="K60" s="1357">
        <f>T_02!M20</f>
        <v>1</v>
      </c>
      <c r="L60" s="953">
        <f t="shared" si="6"/>
        <v>40</v>
      </c>
      <c r="M60" s="164"/>
      <c r="N60" s="1361">
        <f>T_02!B20</f>
        <v>29</v>
      </c>
      <c r="O60" s="1357">
        <f>T_02!C20</f>
        <v>3</v>
      </c>
      <c r="P60" s="1357">
        <f>T_02!D20</f>
        <v>2</v>
      </c>
      <c r="Q60" s="1357">
        <f>T_02!E20</f>
        <v>1</v>
      </c>
      <c r="R60" s="953">
        <f t="shared" si="7"/>
        <v>35</v>
      </c>
    </row>
    <row r="61" spans="1:18" ht="13.5" customHeight="1" x14ac:dyDescent="0.2">
      <c r="A61" s="153" t="s">
        <v>36</v>
      </c>
      <c r="B61" s="1358">
        <f>T_02!F21</f>
        <v>5</v>
      </c>
      <c r="C61" s="1359">
        <f>T_02!G21</f>
        <v>0</v>
      </c>
      <c r="D61" s="1359">
        <f>T_02!H21</f>
        <v>0</v>
      </c>
      <c r="E61" s="1359">
        <f>T_02!I21</f>
        <v>0</v>
      </c>
      <c r="F61" s="165">
        <f t="shared" si="5"/>
        <v>5</v>
      </c>
      <c r="G61" s="857"/>
      <c r="H61" s="1358">
        <f>T_02!J21</f>
        <v>185</v>
      </c>
      <c r="I61" s="1359">
        <f>T_02!K21</f>
        <v>16</v>
      </c>
      <c r="J61" s="1359">
        <f>T_02!L21</f>
        <v>10</v>
      </c>
      <c r="K61" s="1359">
        <f>T_02!M21</f>
        <v>2</v>
      </c>
      <c r="L61" s="165">
        <f t="shared" si="6"/>
        <v>213</v>
      </c>
      <c r="M61" s="164"/>
      <c r="N61" s="1358">
        <f>T_02!B21</f>
        <v>137</v>
      </c>
      <c r="O61" s="1359">
        <f>T_02!C21</f>
        <v>12</v>
      </c>
      <c r="P61" s="1359">
        <f>T_02!D21</f>
        <v>2</v>
      </c>
      <c r="Q61" s="1359">
        <f>T_02!E21</f>
        <v>2</v>
      </c>
      <c r="R61" s="165">
        <f t="shared" si="7"/>
        <v>153</v>
      </c>
    </row>
    <row r="62" spans="1:18" ht="13.5" customHeight="1" x14ac:dyDescent="0.2">
      <c r="A62" s="152" t="s">
        <v>37</v>
      </c>
      <c r="B62" s="1361">
        <f>T_02!F22</f>
        <v>2</v>
      </c>
      <c r="C62" s="1357">
        <f>T_02!G22</f>
        <v>0</v>
      </c>
      <c r="D62" s="1357">
        <f>T_02!H22</f>
        <v>0</v>
      </c>
      <c r="E62" s="1357">
        <f>T_02!I22</f>
        <v>0</v>
      </c>
      <c r="F62" s="953">
        <f t="shared" si="5"/>
        <v>2</v>
      </c>
      <c r="G62" s="857"/>
      <c r="H62" s="1361">
        <f>T_02!J22</f>
        <v>31</v>
      </c>
      <c r="I62" s="1357">
        <f>T_02!K22</f>
        <v>2</v>
      </c>
      <c r="J62" s="1357">
        <f>T_02!L22</f>
        <v>5</v>
      </c>
      <c r="K62" s="1357">
        <f>T_02!M22</f>
        <v>3</v>
      </c>
      <c r="L62" s="953">
        <f t="shared" si="6"/>
        <v>41</v>
      </c>
      <c r="M62" s="164"/>
      <c r="N62" s="1361">
        <f>T_02!B22</f>
        <v>21</v>
      </c>
      <c r="O62" s="1357">
        <f>T_02!C22</f>
        <v>1</v>
      </c>
      <c r="P62" s="1357">
        <f>T_02!D22</f>
        <v>4</v>
      </c>
      <c r="Q62" s="1357">
        <f>T_02!E22</f>
        <v>2</v>
      </c>
      <c r="R62" s="953">
        <f t="shared" si="7"/>
        <v>28</v>
      </c>
    </row>
    <row r="63" spans="1:18" ht="13.5" customHeight="1" x14ac:dyDescent="0.2">
      <c r="A63" s="153" t="s">
        <v>38</v>
      </c>
      <c r="B63" s="1358">
        <f>T_02!F23</f>
        <v>0</v>
      </c>
      <c r="C63" s="1359">
        <f>T_02!G23</f>
        <v>0</v>
      </c>
      <c r="D63" s="1359">
        <f>T_02!H23</f>
        <v>0</v>
      </c>
      <c r="E63" s="1359">
        <f>T_02!I23</f>
        <v>0</v>
      </c>
      <c r="F63" s="165">
        <f t="shared" si="5"/>
        <v>0</v>
      </c>
      <c r="G63" s="857"/>
      <c r="H63" s="1358">
        <f>T_02!J23</f>
        <v>14</v>
      </c>
      <c r="I63" s="1359">
        <f>T_02!K23</f>
        <v>8</v>
      </c>
      <c r="J63" s="1359">
        <f>T_02!L23</f>
        <v>0</v>
      </c>
      <c r="K63" s="1359">
        <f>T_02!M23</f>
        <v>1</v>
      </c>
      <c r="L63" s="165">
        <f t="shared" si="6"/>
        <v>23</v>
      </c>
      <c r="M63" s="164"/>
      <c r="N63" s="1358">
        <f>T_02!B23</f>
        <v>9</v>
      </c>
      <c r="O63" s="1359">
        <f>T_02!C23</f>
        <v>0</v>
      </c>
      <c r="P63" s="1359">
        <f>T_02!D23</f>
        <v>0</v>
      </c>
      <c r="Q63" s="1359">
        <f>T_02!E23</f>
        <v>1</v>
      </c>
      <c r="R63" s="165">
        <f t="shared" si="7"/>
        <v>10</v>
      </c>
    </row>
    <row r="64" spans="1:18" ht="13.5" customHeight="1" x14ac:dyDescent="0.2">
      <c r="A64" s="152" t="s">
        <v>39</v>
      </c>
      <c r="B64" s="1361">
        <f>T_02!F24</f>
        <v>0</v>
      </c>
      <c r="C64" s="1357">
        <f>T_02!G24</f>
        <v>0</v>
      </c>
      <c r="D64" s="1357">
        <f>T_02!H24</f>
        <v>0</v>
      </c>
      <c r="E64" s="1357">
        <f>T_02!I24</f>
        <v>0</v>
      </c>
      <c r="F64" s="953">
        <f t="shared" si="5"/>
        <v>0</v>
      </c>
      <c r="G64" s="857"/>
      <c r="H64" s="1361">
        <f>T_02!J24</f>
        <v>15</v>
      </c>
      <c r="I64" s="1357">
        <f>T_02!K24</f>
        <v>0</v>
      </c>
      <c r="J64" s="1357">
        <f>T_02!L24</f>
        <v>0</v>
      </c>
      <c r="K64" s="1357">
        <f>T_02!M24</f>
        <v>0</v>
      </c>
      <c r="L64" s="953">
        <f t="shared" si="6"/>
        <v>15</v>
      </c>
      <c r="M64" s="164"/>
      <c r="N64" s="1361">
        <f>T_02!B24</f>
        <v>15</v>
      </c>
      <c r="O64" s="1357">
        <f>T_02!C24</f>
        <v>0</v>
      </c>
      <c r="P64" s="1357">
        <f>T_02!D24</f>
        <v>0</v>
      </c>
      <c r="Q64" s="1357">
        <f>T_02!E24</f>
        <v>0</v>
      </c>
      <c r="R64" s="953">
        <f t="shared" si="7"/>
        <v>15</v>
      </c>
    </row>
    <row r="65" spans="1:18" ht="13.5" customHeight="1" x14ac:dyDescent="0.2">
      <c r="A65" s="153" t="s">
        <v>40</v>
      </c>
      <c r="B65" s="1358">
        <f>T_02!F25</f>
        <v>0</v>
      </c>
      <c r="C65" s="1359">
        <f>T_02!G25</f>
        <v>0</v>
      </c>
      <c r="D65" s="1359">
        <f>T_02!H25</f>
        <v>0</v>
      </c>
      <c r="E65" s="1359">
        <f>T_02!I25</f>
        <v>1</v>
      </c>
      <c r="F65" s="165">
        <f t="shared" si="5"/>
        <v>1</v>
      </c>
      <c r="G65" s="857"/>
      <c r="H65" s="1358">
        <f>T_02!J25</f>
        <v>13</v>
      </c>
      <c r="I65" s="1359">
        <f>T_02!K25</f>
        <v>3</v>
      </c>
      <c r="J65" s="1359">
        <f>T_02!L25</f>
        <v>3</v>
      </c>
      <c r="K65" s="1359">
        <f>T_02!M25</f>
        <v>2</v>
      </c>
      <c r="L65" s="165">
        <f t="shared" si="6"/>
        <v>21</v>
      </c>
      <c r="M65" s="164"/>
      <c r="N65" s="1358">
        <f>T_02!B25</f>
        <v>13</v>
      </c>
      <c r="O65" s="1359">
        <f>T_02!C25</f>
        <v>3</v>
      </c>
      <c r="P65" s="1359">
        <f>T_02!D25</f>
        <v>2</v>
      </c>
      <c r="Q65" s="1359">
        <f>T_02!E25</f>
        <v>0</v>
      </c>
      <c r="R65" s="165">
        <f t="shared" si="7"/>
        <v>18</v>
      </c>
    </row>
    <row r="66" spans="1:18" ht="13.5" customHeight="1" x14ac:dyDescent="0.2">
      <c r="A66" s="152" t="s">
        <v>393</v>
      </c>
      <c r="B66" s="1361">
        <f>T_02!F26</f>
        <v>1</v>
      </c>
      <c r="C66" s="1357">
        <f>T_02!G26</f>
        <v>0</v>
      </c>
      <c r="D66" s="1357">
        <f>T_02!H26</f>
        <v>0</v>
      </c>
      <c r="E66" s="1357">
        <f>T_02!I26</f>
        <v>0</v>
      </c>
      <c r="F66" s="953">
        <f t="shared" si="5"/>
        <v>1</v>
      </c>
      <c r="G66" s="857"/>
      <c r="H66" s="1361">
        <f>T_02!J26</f>
        <v>2</v>
      </c>
      <c r="I66" s="1357">
        <f>T_02!K26</f>
        <v>0</v>
      </c>
      <c r="J66" s="1357">
        <f>T_02!L26</f>
        <v>0</v>
      </c>
      <c r="K66" s="1357">
        <f>T_02!M26</f>
        <v>0</v>
      </c>
      <c r="L66" s="953">
        <f t="shared" si="6"/>
        <v>2</v>
      </c>
      <c r="M66" s="164"/>
      <c r="N66" s="1361">
        <f>T_02!B26</f>
        <v>2</v>
      </c>
      <c r="O66" s="1357">
        <f>T_02!C26</f>
        <v>0</v>
      </c>
      <c r="P66" s="1357">
        <f>T_02!D26</f>
        <v>0</v>
      </c>
      <c r="Q66" s="1357">
        <f>T_02!E26</f>
        <v>0</v>
      </c>
      <c r="R66" s="953">
        <f t="shared" si="7"/>
        <v>2</v>
      </c>
    </row>
    <row r="67" spans="1:18" ht="13.5" customHeight="1" x14ac:dyDescent="0.2">
      <c r="A67" s="153" t="s">
        <v>41</v>
      </c>
      <c r="B67" s="1358">
        <f>T_02!F27</f>
        <v>0</v>
      </c>
      <c r="C67" s="1359">
        <f>T_02!G27</f>
        <v>0</v>
      </c>
      <c r="D67" s="1359">
        <f>T_02!H27</f>
        <v>0</v>
      </c>
      <c r="E67" s="1359">
        <f>T_02!I27</f>
        <v>0</v>
      </c>
      <c r="F67" s="165">
        <f t="shared" si="5"/>
        <v>0</v>
      </c>
      <c r="G67" s="857"/>
      <c r="H67" s="1358">
        <f>T_02!J27</f>
        <v>18</v>
      </c>
      <c r="I67" s="1359">
        <f>T_02!K27</f>
        <v>2</v>
      </c>
      <c r="J67" s="1359">
        <f>T_02!L27</f>
        <v>0</v>
      </c>
      <c r="K67" s="1359">
        <f>T_02!M27</f>
        <v>0</v>
      </c>
      <c r="L67" s="165">
        <f t="shared" si="6"/>
        <v>20</v>
      </c>
      <c r="M67" s="164"/>
      <c r="N67" s="1358">
        <f>T_02!B27</f>
        <v>12</v>
      </c>
      <c r="O67" s="1359">
        <f>T_02!C27</f>
        <v>2</v>
      </c>
      <c r="P67" s="1359">
        <f>T_02!D27</f>
        <v>0</v>
      </c>
      <c r="Q67" s="1359">
        <f>T_02!E27</f>
        <v>0</v>
      </c>
      <c r="R67" s="165">
        <f t="shared" si="7"/>
        <v>14</v>
      </c>
    </row>
    <row r="68" spans="1:18" ht="13.5" customHeight="1" x14ac:dyDescent="0.2">
      <c r="A68" s="152" t="s">
        <v>42</v>
      </c>
      <c r="B68" s="1361">
        <f>T_02!F28</f>
        <v>1</v>
      </c>
      <c r="C68" s="1357">
        <f>T_02!G28</f>
        <v>1</v>
      </c>
      <c r="D68" s="1357">
        <f>T_02!H28</f>
        <v>0</v>
      </c>
      <c r="E68" s="1357">
        <f>T_02!I28</f>
        <v>0</v>
      </c>
      <c r="F68" s="953">
        <f t="shared" si="5"/>
        <v>2</v>
      </c>
      <c r="G68" s="857"/>
      <c r="H68" s="1361">
        <f>T_02!J28</f>
        <v>84</v>
      </c>
      <c r="I68" s="1357">
        <f>T_02!K28</f>
        <v>10</v>
      </c>
      <c r="J68" s="1357">
        <f>T_02!L28</f>
        <v>3</v>
      </c>
      <c r="K68" s="1357">
        <f>T_02!M28</f>
        <v>1</v>
      </c>
      <c r="L68" s="953">
        <f t="shared" si="6"/>
        <v>98</v>
      </c>
      <c r="M68" s="164"/>
      <c r="N68" s="1361">
        <f>T_02!B28</f>
        <v>56</v>
      </c>
      <c r="O68" s="1357">
        <f>T_02!C28</f>
        <v>9</v>
      </c>
      <c r="P68" s="1357">
        <f>T_02!D28</f>
        <v>2</v>
      </c>
      <c r="Q68" s="1357">
        <f>T_02!E28</f>
        <v>0</v>
      </c>
      <c r="R68" s="953">
        <f t="shared" si="7"/>
        <v>67</v>
      </c>
    </row>
    <row r="69" spans="1:18" ht="13.5" customHeight="1" x14ac:dyDescent="0.2">
      <c r="A69" s="153" t="s">
        <v>43</v>
      </c>
      <c r="B69" s="1358">
        <f>T_02!F29</f>
        <v>0</v>
      </c>
      <c r="C69" s="1359">
        <f>T_02!G29</f>
        <v>0</v>
      </c>
      <c r="D69" s="1359">
        <f>T_02!H29</f>
        <v>0</v>
      </c>
      <c r="E69" s="1359">
        <f>T_02!I29</f>
        <v>0</v>
      </c>
      <c r="F69" s="165">
        <f t="shared" si="5"/>
        <v>0</v>
      </c>
      <c r="G69" s="857"/>
      <c r="H69" s="1358">
        <f>T_02!J29</f>
        <v>3</v>
      </c>
      <c r="I69" s="1359">
        <f>T_02!K29</f>
        <v>0</v>
      </c>
      <c r="J69" s="1359">
        <f>T_02!L29</f>
        <v>1</v>
      </c>
      <c r="K69" s="1359">
        <f>T_02!M29</f>
        <v>0</v>
      </c>
      <c r="L69" s="165">
        <f t="shared" si="6"/>
        <v>4</v>
      </c>
      <c r="M69" s="164"/>
      <c r="N69" s="1358">
        <f>T_02!B29</f>
        <v>0</v>
      </c>
      <c r="O69" s="1359">
        <f>T_02!C29</f>
        <v>0</v>
      </c>
      <c r="P69" s="1359">
        <f>T_02!D29</f>
        <v>1</v>
      </c>
      <c r="Q69" s="1359">
        <f>T_02!E29</f>
        <v>0</v>
      </c>
      <c r="R69" s="165">
        <f t="shared" si="7"/>
        <v>1</v>
      </c>
    </row>
    <row r="70" spans="1:18" ht="13.5" customHeight="1" x14ac:dyDescent="0.2">
      <c r="A70" s="152" t="s">
        <v>44</v>
      </c>
      <c r="B70" s="1361">
        <f>T_02!F30</f>
        <v>0</v>
      </c>
      <c r="C70" s="1357">
        <f>T_02!G30</f>
        <v>0</v>
      </c>
      <c r="D70" s="1357">
        <f>T_02!H30</f>
        <v>0</v>
      </c>
      <c r="E70" s="1357">
        <f>T_02!I30</f>
        <v>0</v>
      </c>
      <c r="F70" s="953">
        <f t="shared" si="5"/>
        <v>0</v>
      </c>
      <c r="G70" s="857"/>
      <c r="H70" s="1361">
        <f>T_02!J30</f>
        <v>20</v>
      </c>
      <c r="I70" s="1357">
        <f>T_02!K30</f>
        <v>2</v>
      </c>
      <c r="J70" s="1357">
        <f>T_02!L30</f>
        <v>0</v>
      </c>
      <c r="K70" s="1357">
        <f>T_02!M30</f>
        <v>0</v>
      </c>
      <c r="L70" s="953">
        <f t="shared" si="6"/>
        <v>22</v>
      </c>
      <c r="M70" s="164"/>
      <c r="N70" s="1361">
        <f>T_02!B30</f>
        <v>16</v>
      </c>
      <c r="O70" s="1357">
        <f>T_02!C30</f>
        <v>2</v>
      </c>
      <c r="P70" s="1357">
        <f>T_02!D30</f>
        <v>0</v>
      </c>
      <c r="Q70" s="1357">
        <f>T_02!E30</f>
        <v>0</v>
      </c>
      <c r="R70" s="953">
        <f t="shared" si="7"/>
        <v>18</v>
      </c>
    </row>
    <row r="71" spans="1:18" ht="13.5" customHeight="1" x14ac:dyDescent="0.2">
      <c r="A71" s="153" t="s">
        <v>45</v>
      </c>
      <c r="B71" s="1358">
        <f>T_02!F31</f>
        <v>1</v>
      </c>
      <c r="C71" s="1359">
        <f>T_02!G31</f>
        <v>0</v>
      </c>
      <c r="D71" s="1359">
        <f>T_02!H31</f>
        <v>0</v>
      </c>
      <c r="E71" s="1359">
        <f>T_02!I31</f>
        <v>0</v>
      </c>
      <c r="F71" s="165">
        <f t="shared" si="5"/>
        <v>1</v>
      </c>
      <c r="G71" s="857"/>
      <c r="H71" s="1358">
        <f>T_02!J31</f>
        <v>37</v>
      </c>
      <c r="I71" s="1359">
        <f>T_02!K31</f>
        <v>1</v>
      </c>
      <c r="J71" s="1359">
        <f>T_02!L31</f>
        <v>4</v>
      </c>
      <c r="K71" s="1359">
        <f>T_02!M31</f>
        <v>0</v>
      </c>
      <c r="L71" s="165">
        <f t="shared" si="6"/>
        <v>42</v>
      </c>
      <c r="M71" s="164"/>
      <c r="N71" s="1358">
        <f>T_02!B31</f>
        <v>30</v>
      </c>
      <c r="O71" s="1359">
        <f>T_02!C31</f>
        <v>1</v>
      </c>
      <c r="P71" s="1359">
        <f>T_02!D31</f>
        <v>4</v>
      </c>
      <c r="Q71" s="1359">
        <f>T_02!E31</f>
        <v>0</v>
      </c>
      <c r="R71" s="165">
        <f t="shared" si="7"/>
        <v>35</v>
      </c>
    </row>
    <row r="72" spans="1:18" ht="13.5" customHeight="1" x14ac:dyDescent="0.2">
      <c r="A72" s="152" t="s">
        <v>46</v>
      </c>
      <c r="B72" s="1361">
        <f>T_02!F32</f>
        <v>1</v>
      </c>
      <c r="C72" s="1357">
        <f>T_02!G32</f>
        <v>0</v>
      </c>
      <c r="D72" s="1357">
        <f>T_02!H32</f>
        <v>0</v>
      </c>
      <c r="E72" s="1357">
        <f>T_02!I32</f>
        <v>0</v>
      </c>
      <c r="F72" s="953">
        <f t="shared" si="5"/>
        <v>1</v>
      </c>
      <c r="G72" s="857"/>
      <c r="H72" s="1361">
        <f>T_02!J32</f>
        <v>16</v>
      </c>
      <c r="I72" s="1357">
        <f>T_02!K32</f>
        <v>0</v>
      </c>
      <c r="J72" s="1357">
        <f>T_02!L32</f>
        <v>0</v>
      </c>
      <c r="K72" s="1357">
        <f>T_02!M32</f>
        <v>1</v>
      </c>
      <c r="L72" s="953">
        <f t="shared" si="6"/>
        <v>17</v>
      </c>
      <c r="M72" s="164"/>
      <c r="N72" s="1361">
        <f>T_02!B32</f>
        <v>15</v>
      </c>
      <c r="O72" s="1357">
        <f>T_02!C32</f>
        <v>0</v>
      </c>
      <c r="P72" s="1357">
        <f>T_02!D32</f>
        <v>0</v>
      </c>
      <c r="Q72" s="1357">
        <f>T_02!E32</f>
        <v>1</v>
      </c>
      <c r="R72" s="953">
        <f t="shared" si="7"/>
        <v>16</v>
      </c>
    </row>
    <row r="73" spans="1:18" ht="13.5" customHeight="1" x14ac:dyDescent="0.2">
      <c r="A73" s="153" t="s">
        <v>47</v>
      </c>
      <c r="B73" s="1358">
        <f>T_02!F33</f>
        <v>0</v>
      </c>
      <c r="C73" s="1359">
        <f>T_02!G33</f>
        <v>0</v>
      </c>
      <c r="D73" s="1359">
        <f>T_02!H33</f>
        <v>0</v>
      </c>
      <c r="E73" s="1359">
        <f>T_02!I33</f>
        <v>0</v>
      </c>
      <c r="F73" s="165">
        <f t="shared" si="5"/>
        <v>0</v>
      </c>
      <c r="G73" s="857"/>
      <c r="H73" s="1358">
        <f>T_02!J33</f>
        <v>5</v>
      </c>
      <c r="I73" s="1359">
        <f>T_02!K33</f>
        <v>1</v>
      </c>
      <c r="J73" s="1359">
        <f>T_02!L33</f>
        <v>0</v>
      </c>
      <c r="K73" s="1359">
        <f>T_02!M33</f>
        <v>0</v>
      </c>
      <c r="L73" s="165">
        <f t="shared" si="6"/>
        <v>6</v>
      </c>
      <c r="M73" s="164"/>
      <c r="N73" s="1358">
        <f>T_02!B33</f>
        <v>5</v>
      </c>
      <c r="O73" s="1359">
        <f>T_02!C33</f>
        <v>1</v>
      </c>
      <c r="P73" s="1359">
        <f>T_02!D33</f>
        <v>0</v>
      </c>
      <c r="Q73" s="1359">
        <f>T_02!E33</f>
        <v>0</v>
      </c>
      <c r="R73" s="165">
        <f t="shared" si="7"/>
        <v>6</v>
      </c>
    </row>
    <row r="74" spans="1:18" ht="13.5" customHeight="1" x14ac:dyDescent="0.2">
      <c r="A74" s="152" t="s">
        <v>48</v>
      </c>
      <c r="B74" s="1361">
        <f>T_02!F34</f>
        <v>3</v>
      </c>
      <c r="C74" s="1357">
        <f>T_02!G34</f>
        <v>0</v>
      </c>
      <c r="D74" s="1357">
        <f>T_02!H34</f>
        <v>1</v>
      </c>
      <c r="E74" s="1357">
        <f>T_02!I34</f>
        <v>0</v>
      </c>
      <c r="F74" s="953">
        <f t="shared" si="5"/>
        <v>4</v>
      </c>
      <c r="G74" s="857"/>
      <c r="H74" s="1361">
        <f>T_02!J34</f>
        <v>20</v>
      </c>
      <c r="I74" s="1357">
        <f>T_02!K34</f>
        <v>4</v>
      </c>
      <c r="J74" s="1357">
        <f>T_02!L34</f>
        <v>5</v>
      </c>
      <c r="K74" s="1357">
        <f>T_02!M34</f>
        <v>0</v>
      </c>
      <c r="L74" s="953">
        <f t="shared" si="6"/>
        <v>29</v>
      </c>
      <c r="M74" s="164"/>
      <c r="N74" s="1361">
        <f>T_02!B34</f>
        <v>14</v>
      </c>
      <c r="O74" s="1357">
        <f>T_02!C34</f>
        <v>2</v>
      </c>
      <c r="P74" s="1357">
        <f>T_02!D34</f>
        <v>2</v>
      </c>
      <c r="Q74" s="1357">
        <f>T_02!E34</f>
        <v>0</v>
      </c>
      <c r="R74" s="953">
        <f t="shared" si="7"/>
        <v>18</v>
      </c>
    </row>
    <row r="75" spans="1:18" ht="13.5" customHeight="1" x14ac:dyDescent="0.2">
      <c r="A75" s="153" t="s">
        <v>49</v>
      </c>
      <c r="B75" s="1358">
        <f>T_02!F35</f>
        <v>4</v>
      </c>
      <c r="C75" s="1359">
        <f>T_02!G35</f>
        <v>0</v>
      </c>
      <c r="D75" s="1359">
        <f>T_02!H35</f>
        <v>0</v>
      </c>
      <c r="E75" s="1359">
        <f>T_02!I35</f>
        <v>0</v>
      </c>
      <c r="F75" s="165">
        <f t="shared" si="5"/>
        <v>4</v>
      </c>
      <c r="G75" s="857"/>
      <c r="H75" s="1358">
        <f>T_02!J35</f>
        <v>60</v>
      </c>
      <c r="I75" s="1359">
        <f>T_02!K35</f>
        <v>6</v>
      </c>
      <c r="J75" s="1359">
        <f>T_02!L35</f>
        <v>1</v>
      </c>
      <c r="K75" s="1359">
        <f>T_02!M35</f>
        <v>2</v>
      </c>
      <c r="L75" s="165">
        <f t="shared" si="6"/>
        <v>69</v>
      </c>
      <c r="M75" s="164"/>
      <c r="N75" s="1358">
        <f>T_02!B35</f>
        <v>44</v>
      </c>
      <c r="O75" s="1359">
        <f>T_02!C35</f>
        <v>5</v>
      </c>
      <c r="P75" s="1359">
        <f>T_02!D35</f>
        <v>0</v>
      </c>
      <c r="Q75" s="1359">
        <f>T_02!E35</f>
        <v>2</v>
      </c>
      <c r="R75" s="165">
        <f t="shared" si="7"/>
        <v>51</v>
      </c>
    </row>
    <row r="76" spans="1:18" ht="13.5" customHeight="1" x14ac:dyDescent="0.2">
      <c r="A76" s="152" t="s">
        <v>50</v>
      </c>
      <c r="B76" s="1361">
        <f>T_02!F36</f>
        <v>2</v>
      </c>
      <c r="C76" s="1357">
        <f>T_02!G36</f>
        <v>0</v>
      </c>
      <c r="D76" s="1357">
        <f>T_02!H36</f>
        <v>0</v>
      </c>
      <c r="E76" s="1357">
        <f>T_02!I36</f>
        <v>0</v>
      </c>
      <c r="F76" s="953">
        <f t="shared" si="5"/>
        <v>2</v>
      </c>
      <c r="G76" s="857"/>
      <c r="H76" s="1361">
        <f>T_02!J36</f>
        <v>15</v>
      </c>
      <c r="I76" s="1357">
        <f>T_02!K36</f>
        <v>7</v>
      </c>
      <c r="J76" s="1357">
        <f>T_02!L36</f>
        <v>2</v>
      </c>
      <c r="K76" s="1357">
        <f>T_02!M36</f>
        <v>0</v>
      </c>
      <c r="L76" s="953">
        <f t="shared" si="6"/>
        <v>24</v>
      </c>
      <c r="M76" s="164"/>
      <c r="N76" s="1361">
        <f>T_02!B36</f>
        <v>11</v>
      </c>
      <c r="O76" s="1357">
        <f>T_02!C36</f>
        <v>6</v>
      </c>
      <c r="P76" s="1357">
        <f>T_02!D36</f>
        <v>2</v>
      </c>
      <c r="Q76" s="1357">
        <f>T_02!E36</f>
        <v>0</v>
      </c>
      <c r="R76" s="953">
        <f t="shared" si="7"/>
        <v>19</v>
      </c>
    </row>
    <row r="77" spans="1:18" ht="13.5" customHeight="1" x14ac:dyDescent="0.2">
      <c r="A77" s="153" t="s">
        <v>51</v>
      </c>
      <c r="B77" s="1358">
        <f>T_02!F37</f>
        <v>1</v>
      </c>
      <c r="C77" s="1359">
        <f>T_02!G37</f>
        <v>2</v>
      </c>
      <c r="D77" s="1359">
        <f>T_02!H37</f>
        <v>0</v>
      </c>
      <c r="E77" s="1359">
        <f>T_02!I37</f>
        <v>0</v>
      </c>
      <c r="F77" s="165">
        <f t="shared" si="5"/>
        <v>3</v>
      </c>
      <c r="G77" s="857"/>
      <c r="H77" s="1358">
        <f>T_02!J37</f>
        <v>22</v>
      </c>
      <c r="I77" s="1359">
        <f>T_02!K37</f>
        <v>2</v>
      </c>
      <c r="J77" s="1359">
        <f>T_02!L37</f>
        <v>0</v>
      </c>
      <c r="K77" s="1359">
        <f>T_02!M37</f>
        <v>1</v>
      </c>
      <c r="L77" s="165">
        <f t="shared" si="6"/>
        <v>25</v>
      </c>
      <c r="M77" s="164"/>
      <c r="N77" s="1358">
        <f>T_02!B37</f>
        <v>18</v>
      </c>
      <c r="O77" s="1359">
        <f>T_02!C37</f>
        <v>1</v>
      </c>
      <c r="P77" s="1359">
        <f>T_02!D37</f>
        <v>0</v>
      </c>
      <c r="Q77" s="1359">
        <f>T_02!E37</f>
        <v>1</v>
      </c>
      <c r="R77" s="165">
        <f t="shared" si="7"/>
        <v>20</v>
      </c>
    </row>
    <row r="78" spans="1:18" ht="13.5" customHeight="1" x14ac:dyDescent="0.2">
      <c r="A78" s="152" t="s">
        <v>52</v>
      </c>
      <c r="B78" s="1361">
        <f>T_02!F38</f>
        <v>0</v>
      </c>
      <c r="C78" s="1357">
        <f>T_02!G38</f>
        <v>0</v>
      </c>
      <c r="D78" s="1357">
        <f>T_02!H38</f>
        <v>0</v>
      </c>
      <c r="E78" s="1357">
        <f>T_02!I38</f>
        <v>0</v>
      </c>
      <c r="F78" s="953">
        <f t="shared" si="5"/>
        <v>0</v>
      </c>
      <c r="G78" s="857"/>
      <c r="H78" s="1361">
        <f>T_02!J38</f>
        <v>32</v>
      </c>
      <c r="I78" s="1357">
        <f>T_02!K38</f>
        <v>7</v>
      </c>
      <c r="J78" s="1357">
        <f>T_02!L38</f>
        <v>1</v>
      </c>
      <c r="K78" s="1357">
        <f>T_02!M38</f>
        <v>1</v>
      </c>
      <c r="L78" s="953">
        <f t="shared" si="6"/>
        <v>41</v>
      </c>
      <c r="M78" s="164"/>
      <c r="N78" s="1361">
        <f>T_02!B38</f>
        <v>31</v>
      </c>
      <c r="O78" s="1357">
        <f>T_02!C38</f>
        <v>6</v>
      </c>
      <c r="P78" s="1357">
        <f>T_02!D38</f>
        <v>1</v>
      </c>
      <c r="Q78" s="1357">
        <f>T_02!E38</f>
        <v>1</v>
      </c>
      <c r="R78" s="953">
        <f t="shared" si="7"/>
        <v>39</v>
      </c>
    </row>
    <row r="79" spans="1:18" x14ac:dyDescent="0.2">
      <c r="A79" s="153"/>
      <c r="B79" s="159"/>
      <c r="C79" s="160"/>
      <c r="D79" s="160"/>
      <c r="E79" s="161"/>
      <c r="F79" s="952">
        <f t="shared" si="5"/>
        <v>0</v>
      </c>
      <c r="G79" s="857"/>
      <c r="H79" s="157"/>
      <c r="I79" s="158"/>
      <c r="J79" s="158"/>
      <c r="K79" s="954"/>
      <c r="L79" s="154"/>
      <c r="M79" s="164"/>
      <c r="N79" s="159"/>
      <c r="O79" s="160"/>
      <c r="P79" s="160"/>
      <c r="Q79" s="161"/>
      <c r="R79" s="165">
        <f t="shared" si="7"/>
        <v>0</v>
      </c>
    </row>
    <row r="80" spans="1:18" ht="30" customHeight="1" x14ac:dyDescent="0.2">
      <c r="A80" s="232" t="s">
        <v>159</v>
      </c>
      <c r="B80" s="128">
        <f>SUM(B47:B79)</f>
        <v>37</v>
      </c>
      <c r="C80" s="168">
        <f t="shared" ref="C80:E80" si="8">SUM(C47:C79)</f>
        <v>3</v>
      </c>
      <c r="D80" s="168">
        <f t="shared" si="8"/>
        <v>3</v>
      </c>
      <c r="E80" s="235">
        <f t="shared" si="8"/>
        <v>1</v>
      </c>
      <c r="F80" s="219">
        <f>SUM(F47:F79)</f>
        <v>44</v>
      </c>
      <c r="G80" s="166"/>
      <c r="H80" s="128">
        <f>SUM(H47:H79)</f>
        <v>921</v>
      </c>
      <c r="I80" s="168">
        <f t="shared" ref="I80:L80" si="9">SUM(I47:I79)</f>
        <v>117</v>
      </c>
      <c r="J80" s="168">
        <f t="shared" si="9"/>
        <v>51</v>
      </c>
      <c r="K80" s="235">
        <f t="shared" si="9"/>
        <v>24</v>
      </c>
      <c r="L80" s="219">
        <f t="shared" si="9"/>
        <v>1113</v>
      </c>
      <c r="M80" s="167"/>
      <c r="N80" s="128">
        <f>SUM(N47:N79)</f>
        <v>737</v>
      </c>
      <c r="O80" s="168">
        <f t="shared" ref="O80:R80" si="10">SUM(O47:O79)</f>
        <v>88</v>
      </c>
      <c r="P80" s="168">
        <f t="shared" si="10"/>
        <v>35</v>
      </c>
      <c r="Q80" s="235">
        <f t="shared" si="10"/>
        <v>19</v>
      </c>
      <c r="R80" s="219">
        <f t="shared" si="10"/>
        <v>879</v>
      </c>
    </row>
    <row r="81" spans="1:27" x14ac:dyDescent="0.2">
      <c r="B81" s="112"/>
      <c r="C81" s="112"/>
      <c r="D81" s="112"/>
      <c r="E81" s="131"/>
      <c r="F81" s="55"/>
      <c r="G81" s="7"/>
      <c r="H81" s="112"/>
      <c r="I81" s="112"/>
      <c r="J81" s="112"/>
      <c r="K81" s="131"/>
      <c r="L81" s="55"/>
      <c r="N81" s="112"/>
      <c r="O81" s="112"/>
      <c r="P81" s="112"/>
      <c r="Q81" s="131"/>
      <c r="R81" s="55"/>
    </row>
    <row r="82" spans="1:27" x14ac:dyDescent="0.2">
      <c r="A82" s="2" t="s">
        <v>162</v>
      </c>
      <c r="B82" s="112"/>
      <c r="C82" s="112"/>
      <c r="D82" s="112"/>
      <c r="E82" s="131"/>
      <c r="F82" s="55"/>
      <c r="G82" s="7"/>
      <c r="H82" s="112"/>
      <c r="I82" s="112"/>
      <c r="J82" s="112"/>
      <c r="K82" s="131"/>
      <c r="L82" s="55"/>
      <c r="N82" s="112"/>
      <c r="O82" s="112"/>
      <c r="P82" s="112"/>
      <c r="Q82" s="131"/>
      <c r="R82" s="55"/>
    </row>
    <row r="83" spans="1:27" x14ac:dyDescent="0.2">
      <c r="A83" s="1" t="s">
        <v>963</v>
      </c>
      <c r="P83" s="308"/>
      <c r="Q83" s="131"/>
      <c r="R83" s="55"/>
    </row>
    <row r="84" spans="1:27" x14ac:dyDescent="0.2">
      <c r="P84" s="112"/>
      <c r="Q84" s="131"/>
      <c r="R84" s="55"/>
    </row>
    <row r="85" spans="1:27" x14ac:dyDescent="0.2">
      <c r="A85" s="51" t="s">
        <v>136</v>
      </c>
      <c r="B85" s="112"/>
      <c r="C85" s="112"/>
      <c r="D85" s="112"/>
      <c r="E85" s="131"/>
      <c r="F85" s="55"/>
      <c r="G85" s="7"/>
      <c r="H85" s="112"/>
      <c r="I85" s="112"/>
      <c r="J85" s="112"/>
      <c r="K85" s="131"/>
      <c r="L85" s="55"/>
      <c r="N85" s="112"/>
      <c r="O85" s="112"/>
      <c r="P85" s="112"/>
      <c r="Q85" s="131"/>
      <c r="R85" s="55"/>
    </row>
    <row r="86" spans="1:27" x14ac:dyDescent="0.2">
      <c r="B86" s="112"/>
      <c r="C86" s="112"/>
      <c r="D86" s="112"/>
      <c r="E86" s="131"/>
      <c r="F86" s="55"/>
      <c r="G86" s="7"/>
      <c r="H86" s="112"/>
      <c r="I86" s="112"/>
      <c r="J86" s="112"/>
      <c r="K86" s="131"/>
      <c r="L86" s="55"/>
      <c r="N86" s="112"/>
      <c r="O86" s="112"/>
      <c r="P86" s="112"/>
      <c r="Q86" s="131"/>
      <c r="R86" s="55"/>
    </row>
    <row r="87" spans="1:27" x14ac:dyDescent="0.2">
      <c r="B87" s="112"/>
      <c r="C87" s="112"/>
      <c r="D87" s="112"/>
      <c r="E87" s="131"/>
      <c r="F87" s="55"/>
      <c r="G87" s="7"/>
      <c r="H87" s="112"/>
      <c r="I87" s="112"/>
      <c r="J87" s="112"/>
      <c r="K87" s="131"/>
      <c r="L87" s="55"/>
      <c r="N87" s="112"/>
      <c r="O87" s="112"/>
      <c r="P87" s="112"/>
      <c r="Q87" s="131"/>
      <c r="R87" s="55"/>
    </row>
    <row r="88" spans="1:27" x14ac:dyDescent="0.2">
      <c r="B88" s="112"/>
      <c r="C88" s="112"/>
      <c r="D88" s="112"/>
      <c r="E88" s="131"/>
      <c r="F88" s="55"/>
      <c r="G88" s="7"/>
      <c r="H88" s="112"/>
      <c r="I88" s="112"/>
      <c r="J88" s="112"/>
      <c r="K88" s="131"/>
      <c r="L88" s="55"/>
      <c r="N88" s="112"/>
      <c r="O88" s="112"/>
      <c r="P88" s="112"/>
      <c r="Q88" s="131"/>
      <c r="R88" s="55"/>
    </row>
    <row r="89" spans="1:27" x14ac:dyDescent="0.2">
      <c r="B89" s="112"/>
      <c r="C89" s="112"/>
      <c r="D89" s="112"/>
      <c r="E89" s="131"/>
      <c r="F89" s="55"/>
      <c r="G89" s="7"/>
      <c r="H89" s="112"/>
      <c r="I89" s="112"/>
      <c r="J89" s="112"/>
      <c r="K89" s="131"/>
      <c r="L89" s="55"/>
      <c r="N89" s="112"/>
      <c r="O89" s="112"/>
      <c r="P89" s="112"/>
      <c r="Q89" s="131"/>
      <c r="R89" s="55"/>
    </row>
    <row r="90" spans="1:27" s="101" customFormat="1" ht="24.75" customHeight="1" x14ac:dyDescent="0.2">
      <c r="A90" s="1"/>
      <c r="B90" s="113"/>
      <c r="C90" s="113"/>
      <c r="D90" s="113"/>
      <c r="E90" s="113"/>
      <c r="F90" s="113"/>
      <c r="G90" s="162"/>
      <c r="H90" s="113"/>
      <c r="I90" s="113"/>
      <c r="J90" s="113"/>
      <c r="K90" s="113"/>
      <c r="L90" s="113"/>
      <c r="M90" s="162"/>
      <c r="N90" s="113"/>
      <c r="O90" s="113"/>
      <c r="P90" s="113"/>
      <c r="Q90" s="113"/>
      <c r="R90" s="113"/>
      <c r="U90"/>
      <c r="V90"/>
      <c r="W90"/>
      <c r="X90"/>
      <c r="Y90"/>
      <c r="Z90"/>
      <c r="AA90"/>
    </row>
  </sheetData>
  <sheetProtection algorithmName="SHA-512" hashValue="BybggWZA4ScB72OvySXLBYqSuDBvzBV67FrQvWC/8noUfTH/6SnQng+YwA1e63PzDduzqFV52RqOJgIa7sQouw==" saltValue="tS8qKUtbnloUg/8doMyc9Q==" spinCount="100000" sheet="1" objects="1" scenarios="1"/>
  <mergeCells count="24">
    <mergeCell ref="A1:O1"/>
    <mergeCell ref="B3:E3"/>
    <mergeCell ref="F3:F4"/>
    <mergeCell ref="H3:K3"/>
    <mergeCell ref="L3:L4"/>
    <mergeCell ref="N3:Q3"/>
    <mergeCell ref="R3:R4"/>
    <mergeCell ref="A22:M22"/>
    <mergeCell ref="B24:E24"/>
    <mergeCell ref="F24:F25"/>
    <mergeCell ref="H24:K24"/>
    <mergeCell ref="L24:L25"/>
    <mergeCell ref="N24:Q24"/>
    <mergeCell ref="R24:R25"/>
    <mergeCell ref="A21:R21"/>
    <mergeCell ref="A41:R41"/>
    <mergeCell ref="B45:E45"/>
    <mergeCell ref="F45:F46"/>
    <mergeCell ref="H45:K45"/>
    <mergeCell ref="L45:L46"/>
    <mergeCell ref="N45:Q45"/>
    <mergeCell ref="R45:R46"/>
    <mergeCell ref="A43:E43"/>
    <mergeCell ref="A42:R42"/>
  </mergeCells>
  <hyperlinks>
    <hyperlink ref="A85" location="Contents!A1" display="Return to contents " xr:uid="{00000000-0004-0000-1000-000000000000}"/>
  </hyperlinks>
  <pageMargins left="0.70866141732283472" right="0.70866141732283472" top="0.74803149606299213" bottom="0.74803149606299213" header="0.31496062992125984" footer="0.31496062992125984"/>
  <pageSetup paperSize="9" scale="72" fitToHeight="0" orientation="landscape" r:id="rId1"/>
  <headerFooter>
    <oddFooter>&amp;L&amp;P&amp;C&amp;A</oddFooter>
  </headerFooter>
  <rowBreaks count="1" manualBreakCount="1">
    <brk id="42" max="18" man="1"/>
  </rowBreaks>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theme="4"/>
    <pageSetUpPr fitToPage="1"/>
  </sheetPr>
  <dimension ref="A1:R81"/>
  <sheetViews>
    <sheetView showGridLines="0" zoomScaleNormal="100" zoomScaleSheetLayoutView="90" workbookViewId="0">
      <selection sqref="A1:H1"/>
    </sheetView>
  </sheetViews>
  <sheetFormatPr defaultRowHeight="12.75" x14ac:dyDescent="0.2"/>
  <cols>
    <col min="1" max="1" width="24.42578125" style="1" customWidth="1"/>
    <col min="2" max="2" width="10.85546875" style="1" customWidth="1"/>
    <col min="3" max="3" width="10.7109375" style="1" customWidth="1"/>
    <col min="4" max="4" width="10.85546875" style="1" customWidth="1"/>
    <col min="5" max="5" width="12.28515625" style="1" customWidth="1"/>
    <col min="6" max="6" width="9.7109375" style="1" customWidth="1"/>
    <col min="7" max="7" width="10.42578125" style="1" customWidth="1"/>
    <col min="8" max="8" width="12.42578125" style="1" customWidth="1"/>
    <col min="9" max="9" width="10.28515625" style="1" customWidth="1"/>
    <col min="10" max="10" width="13.7109375" style="1" customWidth="1"/>
    <col min="11" max="11" width="9.140625" style="1"/>
    <col min="12" max="12" width="25.7109375" style="1" customWidth="1"/>
    <col min="13" max="15" width="9.140625" style="1"/>
    <col min="16" max="16" width="26.85546875" style="1" customWidth="1"/>
    <col min="17" max="16384" width="9.140625" style="1"/>
  </cols>
  <sheetData>
    <row r="1" spans="1:9" ht="38.25" customHeight="1" x14ac:dyDescent="0.2">
      <c r="A1" s="1655" t="s">
        <v>608</v>
      </c>
      <c r="B1" s="1655"/>
      <c r="C1" s="1655"/>
      <c r="D1" s="1655"/>
      <c r="E1" s="1655"/>
      <c r="F1" s="1655"/>
      <c r="G1" s="1655"/>
      <c r="H1" s="1655"/>
      <c r="I1" s="467"/>
    </row>
    <row r="2" spans="1:9" ht="15" x14ac:dyDescent="0.25">
      <c r="B2" s="253" t="s">
        <v>0</v>
      </c>
      <c r="C2" s="2"/>
      <c r="D2" s="1664"/>
      <c r="E2" s="1664"/>
      <c r="F2" s="2"/>
      <c r="G2" s="169"/>
      <c r="H2" s="170"/>
    </row>
    <row r="3" spans="1:9" ht="14.25" customHeight="1" x14ac:dyDescent="0.2">
      <c r="A3" s="1657" t="s">
        <v>4</v>
      </c>
      <c r="B3" s="1659" t="s">
        <v>59</v>
      </c>
      <c r="C3" s="202"/>
      <c r="D3" s="1661" t="s">
        <v>60</v>
      </c>
      <c r="E3" s="1662"/>
      <c r="F3" s="202"/>
      <c r="G3" s="1661" t="s">
        <v>113</v>
      </c>
      <c r="H3" s="1662"/>
    </row>
    <row r="4" spans="1:9" ht="25.5" x14ac:dyDescent="0.2">
      <c r="A4" s="1658"/>
      <c r="B4" s="1665"/>
      <c r="C4" s="564"/>
      <c r="D4" s="117" t="s">
        <v>0</v>
      </c>
      <c r="E4" s="229" t="s">
        <v>61</v>
      </c>
      <c r="F4" s="564"/>
      <c r="G4" s="117" t="s">
        <v>0</v>
      </c>
      <c r="H4" s="229" t="s">
        <v>61</v>
      </c>
    </row>
    <row r="5" spans="1:9" ht="18.75" customHeight="1" x14ac:dyDescent="0.2">
      <c r="A5" s="1017" t="s">
        <v>16</v>
      </c>
      <c r="B5" s="38">
        <v>5479</v>
      </c>
      <c r="D5" s="955">
        <v>54</v>
      </c>
      <c r="E5" s="947">
        <f>D5/B5*1000</f>
        <v>9.855813104581129</v>
      </c>
      <c r="G5" s="93">
        <v>1247</v>
      </c>
      <c r="H5" s="950">
        <f>G5/B5*1000</f>
        <v>227.59627669282716</v>
      </c>
    </row>
    <row r="6" spans="1:9" ht="13.5" customHeight="1" thickBot="1" x14ac:dyDescent="0.25">
      <c r="A6" s="30" t="s">
        <v>18</v>
      </c>
      <c r="B6" s="38">
        <v>5397</v>
      </c>
      <c r="D6" s="83">
        <v>49</v>
      </c>
      <c r="E6" s="272">
        <f t="shared" ref="E6:E12" si="0">D6/B6*1000</f>
        <v>9.0791180285343724</v>
      </c>
      <c r="G6" s="1087">
        <v>1188</v>
      </c>
      <c r="H6" s="1088">
        <f t="shared" ref="H6:H15" si="1">G6/B6*1000</f>
        <v>220.12229016120065</v>
      </c>
    </row>
    <row r="7" spans="1:9" ht="13.5" customHeight="1" x14ac:dyDescent="0.2">
      <c r="A7" s="30" t="s">
        <v>19</v>
      </c>
      <c r="B7" s="38">
        <v>5379</v>
      </c>
      <c r="D7" s="83">
        <v>48</v>
      </c>
      <c r="E7" s="272">
        <f t="shared" si="0"/>
        <v>8.9235917456776352</v>
      </c>
      <c r="G7" s="70">
        <v>886</v>
      </c>
      <c r="H7" s="272">
        <f t="shared" si="1"/>
        <v>164.71463097229969</v>
      </c>
    </row>
    <row r="8" spans="1:9" ht="13.5" customHeight="1" x14ac:dyDescent="0.2">
      <c r="A8" s="30" t="s">
        <v>20</v>
      </c>
      <c r="B8" s="38">
        <v>5214</v>
      </c>
      <c r="D8" s="83">
        <v>43</v>
      </c>
      <c r="E8" s="272">
        <f t="shared" si="0"/>
        <v>8.247027234369007</v>
      </c>
      <c r="G8" s="70">
        <v>975</v>
      </c>
      <c r="H8" s="275">
        <f t="shared" si="1"/>
        <v>186.99654775604142</v>
      </c>
    </row>
    <row r="9" spans="1:9" ht="13.5" customHeight="1" x14ac:dyDescent="0.2">
      <c r="A9" s="30" t="s">
        <v>13</v>
      </c>
      <c r="B9" s="38">
        <v>5121</v>
      </c>
      <c r="D9" s="83">
        <v>47</v>
      </c>
      <c r="E9" s="272">
        <f t="shared" si="0"/>
        <v>9.1778949423940652</v>
      </c>
      <c r="G9" s="6">
        <v>985</v>
      </c>
      <c r="H9" s="275">
        <f t="shared" si="1"/>
        <v>192.3452450693224</v>
      </c>
    </row>
    <row r="10" spans="1:9" ht="13.5" customHeight="1" x14ac:dyDescent="0.2">
      <c r="A10" s="30" t="s">
        <v>15</v>
      </c>
      <c r="B10" s="38">
        <v>5003</v>
      </c>
      <c r="D10" s="83">
        <v>36</v>
      </c>
      <c r="E10" s="272">
        <f t="shared" si="0"/>
        <v>7.195682590445732</v>
      </c>
      <c r="G10" s="14">
        <v>1014</v>
      </c>
      <c r="H10" s="275">
        <f t="shared" si="1"/>
        <v>202.67839296422147</v>
      </c>
    </row>
    <row r="11" spans="1:9" ht="13.5" customHeight="1" x14ac:dyDescent="0.2">
      <c r="A11" s="30" t="s">
        <v>17</v>
      </c>
      <c r="B11" s="38">
        <v>4684</v>
      </c>
      <c r="D11" s="70">
        <v>25</v>
      </c>
      <c r="E11" s="272">
        <f t="shared" si="0"/>
        <v>5.3373185311699398</v>
      </c>
      <c r="G11" s="6">
        <v>986</v>
      </c>
      <c r="H11" s="275">
        <f t="shared" si="1"/>
        <v>210.50384286934246</v>
      </c>
    </row>
    <row r="12" spans="1:9" ht="13.5" customHeight="1" x14ac:dyDescent="0.2">
      <c r="A12" s="30" t="s">
        <v>147</v>
      </c>
      <c r="B12" s="38">
        <v>4961</v>
      </c>
      <c r="D12" s="70">
        <v>27</v>
      </c>
      <c r="E12" s="272">
        <f t="shared" si="0"/>
        <v>5.4424511187260629</v>
      </c>
      <c r="F12" s="1" t="s">
        <v>145</v>
      </c>
      <c r="G12" s="6">
        <v>828</v>
      </c>
      <c r="H12" s="275">
        <f t="shared" si="1"/>
        <v>166.90183430759927</v>
      </c>
    </row>
    <row r="13" spans="1:9" ht="13.5" customHeight="1" x14ac:dyDescent="0.2">
      <c r="A13" s="30" t="str">
        <f>'T03'!$A$5</f>
        <v>2015-16</v>
      </c>
      <c r="B13" s="38">
        <f>'T03'!$B$5</f>
        <v>5072</v>
      </c>
      <c r="D13" s="1037">
        <f>'T03'!$F$5</f>
        <v>33</v>
      </c>
      <c r="E13" s="272">
        <f>D13/B13*1000</f>
        <v>6.5063091482649842</v>
      </c>
      <c r="G13" s="864">
        <f>'T03'!$J$5</f>
        <v>925</v>
      </c>
      <c r="H13" s="275">
        <f t="shared" si="1"/>
        <v>182.37381703470032</v>
      </c>
    </row>
    <row r="14" spans="1:9" ht="13.5" customHeight="1" x14ac:dyDescent="0.2">
      <c r="A14" s="30" t="str">
        <f>'T03'!$A$6</f>
        <v>2016-17</v>
      </c>
      <c r="B14" s="38">
        <f>'T03'!$B$6</f>
        <v>4930</v>
      </c>
      <c r="C14" s="1" t="s">
        <v>145</v>
      </c>
      <c r="D14" s="1037">
        <f>'T03'!$F$6</f>
        <v>31</v>
      </c>
      <c r="E14" s="272">
        <f t="shared" ref="E14:E15" si="2">D14/B14*1000</f>
        <v>6.2880324543610548</v>
      </c>
      <c r="G14" s="864">
        <f>'T03'!$J$6</f>
        <v>940</v>
      </c>
      <c r="H14" s="275">
        <f t="shared" si="1"/>
        <v>190.66937119675455</v>
      </c>
      <c r="I14" s="1" t="s">
        <v>145</v>
      </c>
    </row>
    <row r="15" spans="1:9" ht="13.5" customHeight="1" x14ac:dyDescent="0.2">
      <c r="A15" s="1261" t="str">
        <f>'T03'!$A$7</f>
        <v>2017-18</v>
      </c>
      <c r="B15" s="1051">
        <f>'T03'!$B$7</f>
        <v>4752</v>
      </c>
      <c r="C15" s="1" t="s">
        <v>143</v>
      </c>
      <c r="D15" s="81">
        <f>'T03'!$F$7</f>
        <v>35</v>
      </c>
      <c r="E15" s="287">
        <f t="shared" si="2"/>
        <v>7.3653198653198659</v>
      </c>
      <c r="F15" s="1" t="s">
        <v>143</v>
      </c>
      <c r="G15" s="363">
        <f>'T03'!$J$7</f>
        <v>797</v>
      </c>
      <c r="H15" s="290">
        <f t="shared" si="1"/>
        <v>167.71885521885523</v>
      </c>
      <c r="I15" s="1" t="s">
        <v>143</v>
      </c>
    </row>
    <row r="16" spans="1:9" x14ac:dyDescent="0.2">
      <c r="A16" s="68"/>
      <c r="B16" s="55"/>
      <c r="D16" s="72"/>
      <c r="E16" s="84"/>
      <c r="G16" s="7"/>
      <c r="H16" s="32"/>
    </row>
    <row r="17" spans="1:18" x14ac:dyDescent="0.2">
      <c r="A17" s="293" t="s">
        <v>162</v>
      </c>
      <c r="E17" s="32"/>
      <c r="G17" s="72"/>
      <c r="H17" s="73"/>
    </row>
    <row r="18" spans="1:18" x14ac:dyDescent="0.2">
      <c r="A18" s="71" t="s">
        <v>967</v>
      </c>
      <c r="E18" s="32"/>
      <c r="G18" s="7"/>
      <c r="H18" s="73"/>
    </row>
    <row r="19" spans="1:18" x14ac:dyDescent="0.2">
      <c r="A19" s="71" t="s">
        <v>968</v>
      </c>
    </row>
    <row r="20" spans="1:18" ht="25.5" customHeight="1" x14ac:dyDescent="0.2">
      <c r="A20" s="1666" t="s">
        <v>966</v>
      </c>
      <c r="B20" s="1666"/>
      <c r="C20" s="1666"/>
      <c r="D20" s="1666"/>
      <c r="E20" s="1666"/>
      <c r="F20" s="1666"/>
      <c r="G20" s="1666"/>
      <c r="H20" s="1666"/>
      <c r="I20" s="1537"/>
      <c r="J20" s="1537"/>
      <c r="K20" s="1537"/>
      <c r="L20" s="1537"/>
      <c r="M20" s="1537"/>
      <c r="N20" s="1537"/>
      <c r="O20" s="1537"/>
      <c r="P20" s="1537"/>
      <c r="Q20" s="1537"/>
      <c r="R20" s="1537"/>
    </row>
    <row r="21" spans="1:18" ht="25.5" customHeight="1" x14ac:dyDescent="0.2">
      <c r="A21" s="1663" t="s">
        <v>973</v>
      </c>
      <c r="B21" s="1663"/>
      <c r="C21" s="1663"/>
      <c r="D21" s="1663"/>
      <c r="E21" s="1663"/>
      <c r="F21" s="1663"/>
      <c r="G21" s="1663"/>
      <c r="H21" s="1663"/>
    </row>
    <row r="22" spans="1:18" ht="25.5" customHeight="1" x14ac:dyDescent="0.2">
      <c r="A22" s="1663" t="s">
        <v>972</v>
      </c>
      <c r="B22" s="1663"/>
      <c r="C22" s="1663"/>
      <c r="D22" s="1663"/>
      <c r="E22" s="1663"/>
      <c r="F22" s="1663"/>
      <c r="G22" s="1663"/>
      <c r="H22" s="1663"/>
    </row>
    <row r="23" spans="1:18" ht="38.25" customHeight="1" x14ac:dyDescent="0.2">
      <c r="A23" s="1655" t="s">
        <v>682</v>
      </c>
      <c r="B23" s="1655"/>
      <c r="C23" s="1655"/>
      <c r="D23" s="1655"/>
      <c r="E23" s="1655"/>
      <c r="F23" s="1655"/>
      <c r="G23" s="467"/>
      <c r="H23" s="467"/>
    </row>
    <row r="24" spans="1:18" ht="15" x14ac:dyDescent="0.25">
      <c r="B24" s="234" t="s">
        <v>0</v>
      </c>
      <c r="D24" s="2"/>
      <c r="G24" s="2"/>
      <c r="H24" s="145"/>
    </row>
    <row r="25" spans="1:18" ht="14.25" customHeight="1" x14ac:dyDescent="0.2">
      <c r="A25" s="1657" t="s">
        <v>22</v>
      </c>
      <c r="B25" s="1659" t="s">
        <v>59</v>
      </c>
      <c r="C25" s="202"/>
      <c r="D25" s="1661" t="s">
        <v>60</v>
      </c>
      <c r="E25" s="1662"/>
      <c r="F25" s="202"/>
      <c r="G25" s="1661" t="s">
        <v>113</v>
      </c>
      <c r="H25" s="1662"/>
    </row>
    <row r="26" spans="1:18" ht="25.5" x14ac:dyDescent="0.2">
      <c r="A26" s="1658"/>
      <c r="B26" s="1660"/>
      <c r="C26" s="564"/>
      <c r="D26" s="765" t="s">
        <v>0</v>
      </c>
      <c r="E26" s="102" t="s">
        <v>61</v>
      </c>
      <c r="F26" s="564"/>
      <c r="G26" s="769" t="s">
        <v>0</v>
      </c>
      <c r="H26" s="766" t="s">
        <v>61</v>
      </c>
      <c r="J26"/>
      <c r="L26"/>
      <c r="M26"/>
      <c r="N26"/>
      <c r="O26"/>
      <c r="P26"/>
      <c r="Q26"/>
    </row>
    <row r="27" spans="1:18" ht="18.75" customHeight="1" x14ac:dyDescent="0.2">
      <c r="A27" s="153" t="s">
        <v>23</v>
      </c>
      <c r="B27" s="314">
        <f>T_03!B5</f>
        <v>240</v>
      </c>
      <c r="C27"/>
      <c r="D27" s="317">
        <f>T_03!C5</f>
        <v>3</v>
      </c>
      <c r="E27" s="312">
        <f>D27/B27*1000</f>
        <v>12.5</v>
      </c>
      <c r="F27" s="164"/>
      <c r="G27" s="318">
        <f>T_03!D5</f>
        <v>20</v>
      </c>
      <c r="H27" s="312">
        <f>G27/B27*1000</f>
        <v>83.333333333333329</v>
      </c>
      <c r="J27"/>
      <c r="L27"/>
      <c r="M27"/>
      <c r="N27"/>
      <c r="O27"/>
      <c r="P27"/>
      <c r="Q27"/>
    </row>
    <row r="28" spans="1:18" ht="13.5" customHeight="1" x14ac:dyDescent="0.2">
      <c r="A28" s="152" t="s">
        <v>24</v>
      </c>
      <c r="B28" s="315">
        <f>T_03!B6</f>
        <v>163</v>
      </c>
      <c r="C28"/>
      <c r="D28" s="319">
        <f>T_03!C6</f>
        <v>1</v>
      </c>
      <c r="E28" s="310">
        <f t="shared" ref="E28:E57" si="3">D28/B28*1000</f>
        <v>6.1349693251533743</v>
      </c>
      <c r="F28" s="164"/>
      <c r="G28" s="320">
        <f>T_03!D6</f>
        <v>31</v>
      </c>
      <c r="H28" s="310">
        <f t="shared" ref="H28:H58" si="4">G28/B28*1000</f>
        <v>190.1840490797546</v>
      </c>
      <c r="J28"/>
      <c r="L28"/>
      <c r="M28"/>
      <c r="N28"/>
      <c r="O28"/>
      <c r="P28"/>
      <c r="Q28"/>
    </row>
    <row r="29" spans="1:18" ht="13.5" customHeight="1" x14ac:dyDescent="0.2">
      <c r="A29" s="153" t="s">
        <v>25</v>
      </c>
      <c r="B29" s="316">
        <f>T_03!B7</f>
        <v>78</v>
      </c>
      <c r="C29"/>
      <c r="D29" s="321">
        <f>T_03!C7</f>
        <v>0</v>
      </c>
      <c r="E29" s="312">
        <f t="shared" si="3"/>
        <v>0</v>
      </c>
      <c r="F29" s="164"/>
      <c r="G29" s="322">
        <f>T_03!D7</f>
        <v>18</v>
      </c>
      <c r="H29" s="312">
        <f t="shared" si="4"/>
        <v>230.76923076923077</v>
      </c>
      <c r="J29"/>
      <c r="L29"/>
      <c r="M29"/>
      <c r="N29"/>
      <c r="O29"/>
      <c r="P29"/>
      <c r="Q29"/>
    </row>
    <row r="30" spans="1:18" ht="13.5" customHeight="1" x14ac:dyDescent="0.2">
      <c r="A30" s="152" t="s">
        <v>26</v>
      </c>
      <c r="B30" s="315">
        <f>T_03!B8</f>
        <v>76</v>
      </c>
      <c r="C30"/>
      <c r="D30" s="319">
        <f>T_03!C8</f>
        <v>1</v>
      </c>
      <c r="E30" s="310">
        <f t="shared" si="3"/>
        <v>13.157894736842104</v>
      </c>
      <c r="F30" s="164"/>
      <c r="G30" s="320">
        <f>T_03!D8</f>
        <v>16</v>
      </c>
      <c r="H30" s="310">
        <f t="shared" si="4"/>
        <v>210.52631578947367</v>
      </c>
      <c r="J30"/>
      <c r="L30"/>
      <c r="M30"/>
      <c r="N30"/>
      <c r="O30"/>
      <c r="P30"/>
      <c r="Q30"/>
    </row>
    <row r="31" spans="1:18" ht="13.5" customHeight="1" x14ac:dyDescent="0.2">
      <c r="A31" s="153" t="s">
        <v>27</v>
      </c>
      <c r="B31" s="316">
        <f>T_03!B9</f>
        <v>47</v>
      </c>
      <c r="C31"/>
      <c r="D31" s="321">
        <f>T_03!C9</f>
        <v>0</v>
      </c>
      <c r="E31" s="312">
        <f t="shared" si="3"/>
        <v>0</v>
      </c>
      <c r="F31" s="164"/>
      <c r="G31" s="322">
        <f>T_03!D9</f>
        <v>8</v>
      </c>
      <c r="H31" s="312">
        <f t="shared" si="4"/>
        <v>170.21276595744681</v>
      </c>
      <c r="J31"/>
      <c r="L31"/>
      <c r="M31"/>
      <c r="N31"/>
      <c r="O31"/>
      <c r="P31"/>
      <c r="Q31"/>
    </row>
    <row r="32" spans="1:18" ht="13.5" customHeight="1" x14ac:dyDescent="0.2">
      <c r="A32" s="152" t="s">
        <v>28</v>
      </c>
      <c r="B32" s="315">
        <f>T_03!B10</f>
        <v>91</v>
      </c>
      <c r="C32"/>
      <c r="D32" s="319">
        <f>T_03!C10</f>
        <v>3</v>
      </c>
      <c r="E32" s="310">
        <f t="shared" si="3"/>
        <v>32.967032967032971</v>
      </c>
      <c r="F32" s="164"/>
      <c r="G32" s="320">
        <f>T_03!D10</f>
        <v>4</v>
      </c>
      <c r="H32" s="310">
        <f t="shared" si="4"/>
        <v>43.956043956043956</v>
      </c>
      <c r="J32"/>
      <c r="L32"/>
      <c r="M32"/>
      <c r="N32"/>
      <c r="O32"/>
      <c r="P32"/>
      <c r="Q32"/>
    </row>
    <row r="33" spans="1:17" ht="13.5" customHeight="1" x14ac:dyDescent="0.2">
      <c r="A33" s="153" t="s">
        <v>29</v>
      </c>
      <c r="B33" s="316">
        <f>T_03!B11</f>
        <v>196</v>
      </c>
      <c r="C33"/>
      <c r="D33" s="321">
        <f>T_03!C11</f>
        <v>0</v>
      </c>
      <c r="E33" s="312">
        <f t="shared" si="3"/>
        <v>0</v>
      </c>
      <c r="F33" s="164"/>
      <c r="G33" s="322">
        <f>T_03!D11</f>
        <v>31</v>
      </c>
      <c r="H33" s="312">
        <f t="shared" si="4"/>
        <v>158.16326530612247</v>
      </c>
      <c r="J33"/>
      <c r="L33"/>
      <c r="M33"/>
      <c r="N33"/>
      <c r="O33"/>
      <c r="P33"/>
      <c r="Q33"/>
    </row>
    <row r="34" spans="1:17" ht="13.5" customHeight="1" x14ac:dyDescent="0.2">
      <c r="A34" s="152" t="s">
        <v>30</v>
      </c>
      <c r="B34" s="315">
        <f>T_03!B12</f>
        <v>76</v>
      </c>
      <c r="C34"/>
      <c r="D34" s="319">
        <f>T_03!C12</f>
        <v>1</v>
      </c>
      <c r="E34" s="310">
        <f t="shared" si="3"/>
        <v>13.157894736842104</v>
      </c>
      <c r="F34" s="164"/>
      <c r="G34" s="320">
        <f>T_03!D12</f>
        <v>21</v>
      </c>
      <c r="H34" s="310">
        <f t="shared" si="4"/>
        <v>276.31578947368422</v>
      </c>
      <c r="J34"/>
      <c r="L34"/>
      <c r="M34"/>
      <c r="N34"/>
      <c r="O34"/>
      <c r="P34"/>
      <c r="Q34"/>
    </row>
    <row r="35" spans="1:17" ht="13.5" customHeight="1" x14ac:dyDescent="0.2">
      <c r="A35" s="153" t="s">
        <v>31</v>
      </c>
      <c r="B35" s="316">
        <f>T_03!B13</f>
        <v>65</v>
      </c>
      <c r="C35"/>
      <c r="D35" s="321">
        <f>T_03!C13</f>
        <v>0</v>
      </c>
      <c r="E35" s="312">
        <f t="shared" si="3"/>
        <v>0</v>
      </c>
      <c r="F35" s="164"/>
      <c r="G35" s="322">
        <f>T_03!D13</f>
        <v>13</v>
      </c>
      <c r="H35" s="312">
        <f t="shared" si="4"/>
        <v>200</v>
      </c>
      <c r="J35"/>
      <c r="L35"/>
      <c r="M35"/>
      <c r="N35"/>
      <c r="O35"/>
      <c r="P35"/>
      <c r="Q35"/>
    </row>
    <row r="36" spans="1:17" ht="13.5" customHeight="1" x14ac:dyDescent="0.2">
      <c r="A36" s="152" t="s">
        <v>32</v>
      </c>
      <c r="B36" s="315">
        <f>T_03!B14</f>
        <v>69</v>
      </c>
      <c r="C36"/>
      <c r="D36" s="319">
        <f>T_03!C14</f>
        <v>2</v>
      </c>
      <c r="E36" s="310">
        <f t="shared" si="3"/>
        <v>28.985507246376812</v>
      </c>
      <c r="F36" s="164"/>
      <c r="G36" s="320">
        <f>T_03!D14</f>
        <v>7</v>
      </c>
      <c r="H36" s="310">
        <f t="shared" si="4"/>
        <v>101.44927536231884</v>
      </c>
      <c r="J36"/>
      <c r="L36"/>
      <c r="M36"/>
      <c r="N36"/>
      <c r="O36"/>
      <c r="P36"/>
      <c r="Q36"/>
    </row>
    <row r="37" spans="1:17" ht="13.5" customHeight="1" x14ac:dyDescent="0.2">
      <c r="A37" s="153" t="s">
        <v>33</v>
      </c>
      <c r="B37" s="316">
        <f>T_03!B15</f>
        <v>79</v>
      </c>
      <c r="C37"/>
      <c r="D37" s="321">
        <f>T_03!C15</f>
        <v>0</v>
      </c>
      <c r="E37" s="312">
        <f t="shared" si="3"/>
        <v>0</v>
      </c>
      <c r="F37" s="164"/>
      <c r="G37" s="322">
        <f>T_03!D15</f>
        <v>7</v>
      </c>
      <c r="H37" s="312">
        <f t="shared" si="4"/>
        <v>88.607594936708864</v>
      </c>
      <c r="J37"/>
      <c r="L37"/>
      <c r="M37"/>
      <c r="N37"/>
      <c r="O37"/>
      <c r="P37"/>
      <c r="Q37"/>
    </row>
    <row r="38" spans="1:17" ht="13.5" customHeight="1" x14ac:dyDescent="0.2">
      <c r="A38" s="152" t="s">
        <v>137</v>
      </c>
      <c r="B38" s="315">
        <f>T_03!B16</f>
        <v>460</v>
      </c>
      <c r="C38"/>
      <c r="D38" s="319">
        <f>T_03!C16</f>
        <v>1</v>
      </c>
      <c r="E38" s="310">
        <f t="shared" si="3"/>
        <v>2.1739130434782608</v>
      </c>
      <c r="F38" s="164"/>
      <c r="G38" s="320">
        <f>T_03!D16</f>
        <v>69</v>
      </c>
      <c r="H38" s="310">
        <f t="shared" si="4"/>
        <v>150</v>
      </c>
      <c r="J38"/>
      <c r="L38"/>
      <c r="M38"/>
      <c r="N38"/>
      <c r="O38"/>
      <c r="P38"/>
      <c r="Q38"/>
    </row>
    <row r="39" spans="1:17" ht="13.5" customHeight="1" x14ac:dyDescent="0.2">
      <c r="A39" s="153" t="s">
        <v>34</v>
      </c>
      <c r="B39" s="316">
        <f>T_03!B17</f>
        <v>106</v>
      </c>
      <c r="C39"/>
      <c r="D39" s="321">
        <f>T_03!C17</f>
        <v>2</v>
      </c>
      <c r="E39" s="312">
        <f t="shared" si="3"/>
        <v>18.867924528301884</v>
      </c>
      <c r="F39" s="164"/>
      <c r="G39" s="322">
        <f>T_03!D17</f>
        <v>18</v>
      </c>
      <c r="H39" s="312">
        <f t="shared" si="4"/>
        <v>169.81132075471697</v>
      </c>
      <c r="I39"/>
      <c r="J39"/>
      <c r="L39"/>
      <c r="M39"/>
      <c r="N39"/>
      <c r="O39"/>
      <c r="P39"/>
      <c r="Q39"/>
    </row>
    <row r="40" spans="1:17" ht="13.5" customHeight="1" x14ac:dyDescent="0.2">
      <c r="A40" s="152" t="s">
        <v>35</v>
      </c>
      <c r="B40" s="315">
        <f>T_03!B18</f>
        <v>286</v>
      </c>
      <c r="C40"/>
      <c r="D40" s="319">
        <f>T_03!C18</f>
        <v>2</v>
      </c>
      <c r="E40" s="310">
        <f t="shared" si="3"/>
        <v>6.9930069930069934</v>
      </c>
      <c r="F40" s="164"/>
      <c r="G40" s="320">
        <f>T_03!D18</f>
        <v>30</v>
      </c>
      <c r="H40" s="310">
        <f t="shared" si="4"/>
        <v>104.89510489510489</v>
      </c>
      <c r="J40"/>
      <c r="L40"/>
      <c r="M40"/>
      <c r="N40"/>
      <c r="O40"/>
      <c r="P40"/>
      <c r="Q40"/>
    </row>
    <row r="41" spans="1:17" ht="13.5" customHeight="1" x14ac:dyDescent="0.2">
      <c r="A41" s="153" t="s">
        <v>36</v>
      </c>
      <c r="B41" s="316">
        <f>T_03!B19</f>
        <v>847</v>
      </c>
      <c r="C41"/>
      <c r="D41" s="321">
        <f>T_03!C19</f>
        <v>4</v>
      </c>
      <c r="E41" s="312">
        <f t="shared" si="3"/>
        <v>4.7225501770956315</v>
      </c>
      <c r="F41" s="164"/>
      <c r="G41" s="322">
        <f>T_03!D19</f>
        <v>150</v>
      </c>
      <c r="H41" s="312">
        <f t="shared" si="4"/>
        <v>177.09563164108619</v>
      </c>
      <c r="J41"/>
      <c r="L41"/>
      <c r="M41"/>
      <c r="N41"/>
      <c r="O41"/>
      <c r="P41"/>
      <c r="Q41"/>
    </row>
    <row r="42" spans="1:17" ht="13.5" customHeight="1" x14ac:dyDescent="0.2">
      <c r="A42" s="152" t="s">
        <v>37</v>
      </c>
      <c r="B42" s="315">
        <f>T_03!B20</f>
        <v>146</v>
      </c>
      <c r="C42"/>
      <c r="D42" s="319">
        <f>T_03!C20</f>
        <v>2</v>
      </c>
      <c r="E42" s="310">
        <f t="shared" si="3"/>
        <v>13.698630136986301</v>
      </c>
      <c r="F42" s="164"/>
      <c r="G42" s="320">
        <f>T_03!D20</f>
        <v>30</v>
      </c>
      <c r="H42" s="310">
        <f t="shared" si="4"/>
        <v>205.47945205479451</v>
      </c>
      <c r="J42"/>
      <c r="L42"/>
      <c r="M42"/>
      <c r="N42"/>
      <c r="O42"/>
      <c r="P42"/>
      <c r="Q42"/>
    </row>
    <row r="43" spans="1:17" ht="13.5" customHeight="1" x14ac:dyDescent="0.2">
      <c r="A43" s="153" t="s">
        <v>38</v>
      </c>
      <c r="B43" s="316">
        <f>T_03!B21</f>
        <v>84</v>
      </c>
      <c r="C43"/>
      <c r="D43" s="321">
        <f>T_03!C21</f>
        <v>0</v>
      </c>
      <c r="E43" s="312">
        <f t="shared" si="3"/>
        <v>0</v>
      </c>
      <c r="F43" s="164"/>
      <c r="G43" s="322">
        <f>T_03!D21</f>
        <v>14</v>
      </c>
      <c r="H43" s="312">
        <f t="shared" si="4"/>
        <v>166.66666666666666</v>
      </c>
      <c r="J43"/>
      <c r="L43"/>
      <c r="M43"/>
      <c r="N43"/>
      <c r="O43"/>
      <c r="P43"/>
      <c r="Q43"/>
    </row>
    <row r="44" spans="1:17" ht="13.5" customHeight="1" x14ac:dyDescent="0.2">
      <c r="A44" s="152" t="s">
        <v>39</v>
      </c>
      <c r="B44" s="315">
        <f>T_03!B22</f>
        <v>60</v>
      </c>
      <c r="C44"/>
      <c r="D44" s="319">
        <f>T_03!C22</f>
        <v>0</v>
      </c>
      <c r="E44" s="310">
        <f t="shared" si="3"/>
        <v>0</v>
      </c>
      <c r="F44" s="164"/>
      <c r="G44" s="320">
        <f>T_03!D22</f>
        <v>14</v>
      </c>
      <c r="H44" s="310">
        <f t="shared" si="4"/>
        <v>233.33333333333334</v>
      </c>
      <c r="J44"/>
      <c r="L44"/>
      <c r="M44"/>
      <c r="N44"/>
      <c r="O44"/>
      <c r="P44"/>
      <c r="Q44"/>
    </row>
    <row r="45" spans="1:17" ht="13.5" customHeight="1" x14ac:dyDescent="0.2">
      <c r="A45" s="153" t="s">
        <v>40</v>
      </c>
      <c r="B45" s="316">
        <f>T_03!B23</f>
        <v>35</v>
      </c>
      <c r="C45"/>
      <c r="D45" s="321">
        <f>T_03!C23</f>
        <v>0</v>
      </c>
      <c r="E45" s="312">
        <f t="shared" si="3"/>
        <v>0</v>
      </c>
      <c r="F45" s="164"/>
      <c r="G45" s="322">
        <f>T_03!D23</f>
        <v>12</v>
      </c>
      <c r="H45" s="312">
        <f t="shared" si="4"/>
        <v>342.85714285714283</v>
      </c>
      <c r="J45"/>
      <c r="L45"/>
      <c r="M45"/>
      <c r="N45"/>
      <c r="O45"/>
      <c r="P45"/>
      <c r="Q45"/>
    </row>
    <row r="46" spans="1:17" ht="13.5" customHeight="1" x14ac:dyDescent="0.2">
      <c r="A46" s="152" t="s">
        <v>393</v>
      </c>
      <c r="B46" s="315">
        <f>T_03!B24</f>
        <v>16</v>
      </c>
      <c r="C46"/>
      <c r="D46" s="319">
        <f>T_03!C24</f>
        <v>0</v>
      </c>
      <c r="E46" s="310">
        <f t="shared" si="3"/>
        <v>0</v>
      </c>
      <c r="F46" s="164"/>
      <c r="G46" s="320">
        <f>T_03!D24</f>
        <v>2</v>
      </c>
      <c r="H46" s="310">
        <f t="shared" si="4"/>
        <v>125</v>
      </c>
      <c r="J46"/>
      <c r="L46"/>
      <c r="M46"/>
      <c r="N46"/>
      <c r="O46"/>
      <c r="P46"/>
      <c r="Q46"/>
    </row>
    <row r="47" spans="1:17" ht="13.5" customHeight="1" x14ac:dyDescent="0.2">
      <c r="A47" s="153" t="s">
        <v>41</v>
      </c>
      <c r="B47" s="316">
        <f>T_03!B25</f>
        <v>147</v>
      </c>
      <c r="C47"/>
      <c r="D47" s="321">
        <f>T_03!C25</f>
        <v>0</v>
      </c>
      <c r="E47" s="312">
        <f t="shared" si="3"/>
        <v>0</v>
      </c>
      <c r="F47" s="164"/>
      <c r="G47" s="322">
        <f>T_03!D25</f>
        <v>18</v>
      </c>
      <c r="H47" s="312">
        <f t="shared" si="4"/>
        <v>122.44897959183673</v>
      </c>
      <c r="J47"/>
      <c r="L47"/>
      <c r="M47"/>
      <c r="N47"/>
      <c r="O47"/>
      <c r="P47"/>
      <c r="Q47"/>
    </row>
    <row r="48" spans="1:17" ht="13.5" customHeight="1" x14ac:dyDescent="0.2">
      <c r="A48" s="152" t="s">
        <v>42</v>
      </c>
      <c r="B48" s="315">
        <f>T_03!B26</f>
        <v>262</v>
      </c>
      <c r="C48"/>
      <c r="D48" s="319">
        <f>T_03!C26</f>
        <v>1</v>
      </c>
      <c r="E48" s="310">
        <f t="shared" si="3"/>
        <v>3.8167938931297707</v>
      </c>
      <c r="F48" s="164"/>
      <c r="G48" s="320">
        <f>T_03!D26</f>
        <v>75</v>
      </c>
      <c r="H48" s="310">
        <f t="shared" si="4"/>
        <v>286.25954198473278</v>
      </c>
      <c r="J48"/>
      <c r="L48"/>
      <c r="M48"/>
      <c r="N48"/>
      <c r="O48"/>
      <c r="P48"/>
      <c r="Q48"/>
    </row>
    <row r="49" spans="1:18" ht="13.5" customHeight="1" x14ac:dyDescent="0.2">
      <c r="A49" s="153" t="s">
        <v>43</v>
      </c>
      <c r="B49" s="316">
        <f>T_03!B27</f>
        <v>7</v>
      </c>
      <c r="C49"/>
      <c r="D49" s="321">
        <f>T_03!C27</f>
        <v>0</v>
      </c>
      <c r="E49" s="312">
        <f t="shared" si="3"/>
        <v>0</v>
      </c>
      <c r="F49" s="164"/>
      <c r="G49" s="322">
        <f>T_03!D27</f>
        <v>3</v>
      </c>
      <c r="H49" s="312">
        <f t="shared" si="4"/>
        <v>428.57142857142856</v>
      </c>
      <c r="J49"/>
      <c r="L49"/>
      <c r="M49"/>
      <c r="N49"/>
      <c r="O49"/>
      <c r="P49"/>
      <c r="Q49"/>
    </row>
    <row r="50" spans="1:18" ht="13.5" customHeight="1" x14ac:dyDescent="0.2">
      <c r="A50" s="152" t="s">
        <v>44</v>
      </c>
      <c r="B50" s="315">
        <f>T_03!B28</f>
        <v>113</v>
      </c>
      <c r="C50"/>
      <c r="D50" s="319">
        <f>T_03!C28</f>
        <v>0</v>
      </c>
      <c r="E50" s="310">
        <f t="shared" si="3"/>
        <v>0</v>
      </c>
      <c r="F50" s="164"/>
      <c r="G50" s="320">
        <f>T_03!D28</f>
        <v>20</v>
      </c>
      <c r="H50" s="310">
        <f t="shared" si="4"/>
        <v>176.99115044247787</v>
      </c>
      <c r="J50"/>
      <c r="L50"/>
      <c r="M50"/>
      <c r="N50"/>
      <c r="O50"/>
      <c r="P50"/>
      <c r="Q50"/>
    </row>
    <row r="51" spans="1:18" ht="13.5" customHeight="1" x14ac:dyDescent="0.2">
      <c r="A51" s="153" t="s">
        <v>45</v>
      </c>
      <c r="B51" s="316">
        <f>T_03!B29</f>
        <v>191</v>
      </c>
      <c r="C51"/>
      <c r="D51" s="321">
        <f>T_03!C29</f>
        <v>1</v>
      </c>
      <c r="E51" s="312">
        <f t="shared" si="3"/>
        <v>5.2356020942408383</v>
      </c>
      <c r="F51" s="164"/>
      <c r="G51" s="322">
        <f>T_03!D29</f>
        <v>27</v>
      </c>
      <c r="H51" s="312">
        <f t="shared" si="4"/>
        <v>141.36125654450262</v>
      </c>
      <c r="J51"/>
      <c r="L51"/>
      <c r="M51"/>
      <c r="N51"/>
      <c r="O51"/>
      <c r="P51"/>
      <c r="Q51"/>
    </row>
    <row r="52" spans="1:18" ht="13.5" customHeight="1" x14ac:dyDescent="0.2">
      <c r="A52" s="152" t="s">
        <v>46</v>
      </c>
      <c r="B52" s="315">
        <f>T_03!B30</f>
        <v>92</v>
      </c>
      <c r="C52"/>
      <c r="D52" s="319">
        <f>T_03!C30</f>
        <v>1</v>
      </c>
      <c r="E52" s="310">
        <f t="shared" si="3"/>
        <v>10.869565217391305</v>
      </c>
      <c r="F52" s="164"/>
      <c r="G52" s="320">
        <f>T_03!D30</f>
        <v>15</v>
      </c>
      <c r="H52" s="310">
        <f t="shared" si="4"/>
        <v>163.04347826086956</v>
      </c>
      <c r="J52"/>
      <c r="L52"/>
      <c r="M52"/>
      <c r="N52"/>
      <c r="O52"/>
      <c r="P52"/>
      <c r="Q52"/>
    </row>
    <row r="53" spans="1:18" ht="13.5" customHeight="1" x14ac:dyDescent="0.2">
      <c r="A53" s="153" t="s">
        <v>47</v>
      </c>
      <c r="B53" s="316">
        <f>T_03!B31</f>
        <v>12</v>
      </c>
      <c r="C53"/>
      <c r="D53" s="321">
        <f>T_03!C31</f>
        <v>0</v>
      </c>
      <c r="E53" s="312">
        <f t="shared" si="3"/>
        <v>0</v>
      </c>
      <c r="F53" s="164"/>
      <c r="G53" s="322">
        <f>T_03!D31</f>
        <v>5</v>
      </c>
      <c r="H53" s="312">
        <f t="shared" si="4"/>
        <v>416.66666666666669</v>
      </c>
      <c r="J53"/>
      <c r="L53"/>
      <c r="M53"/>
      <c r="N53"/>
      <c r="O53"/>
      <c r="P53"/>
      <c r="Q53"/>
    </row>
    <row r="54" spans="1:18" ht="13.5" customHeight="1" x14ac:dyDescent="0.2">
      <c r="A54" s="152" t="s">
        <v>48</v>
      </c>
      <c r="B54" s="315">
        <f>T_03!B32</f>
        <v>95</v>
      </c>
      <c r="C54"/>
      <c r="D54" s="319">
        <f>T_03!C32</f>
        <v>3</v>
      </c>
      <c r="E54" s="310">
        <f t="shared" si="3"/>
        <v>31.578947368421055</v>
      </c>
      <c r="F54" s="164"/>
      <c r="G54" s="320">
        <f>T_03!D32</f>
        <v>18</v>
      </c>
      <c r="H54" s="310">
        <f t="shared" si="4"/>
        <v>189.47368421052633</v>
      </c>
      <c r="J54"/>
      <c r="L54"/>
      <c r="M54"/>
      <c r="N54"/>
      <c r="O54"/>
      <c r="P54"/>
      <c r="Q54"/>
    </row>
    <row r="55" spans="1:18" ht="13.5" customHeight="1" x14ac:dyDescent="0.2">
      <c r="A55" s="153" t="s">
        <v>49</v>
      </c>
      <c r="B55" s="316">
        <f>T_03!B33</f>
        <v>244</v>
      </c>
      <c r="C55"/>
      <c r="D55" s="321">
        <f>T_03!C33</f>
        <v>4</v>
      </c>
      <c r="E55" s="1362">
        <f t="shared" si="3"/>
        <v>16.393442622950822</v>
      </c>
      <c r="F55" s="1363"/>
      <c r="G55" s="322">
        <f>T_03!D33</f>
        <v>47</v>
      </c>
      <c r="H55" s="312">
        <f t="shared" si="4"/>
        <v>192.62295081967213</v>
      </c>
      <c r="J55"/>
      <c r="L55"/>
      <c r="M55"/>
      <c r="N55"/>
      <c r="O55"/>
      <c r="P55"/>
      <c r="Q55"/>
    </row>
    <row r="56" spans="1:18" ht="13.5" customHeight="1" x14ac:dyDescent="0.2">
      <c r="A56" s="152" t="s">
        <v>50</v>
      </c>
      <c r="B56" s="315">
        <f>T_03!B34</f>
        <v>79</v>
      </c>
      <c r="C56"/>
      <c r="D56" s="319">
        <f>T_03!C34</f>
        <v>2</v>
      </c>
      <c r="E56" s="310">
        <f t="shared" si="3"/>
        <v>25.316455696202532</v>
      </c>
      <c r="F56" s="164"/>
      <c r="G56" s="320">
        <f>T_03!D34</f>
        <v>13</v>
      </c>
      <c r="H56" s="310">
        <f t="shared" si="4"/>
        <v>164.55696202531644</v>
      </c>
      <c r="J56"/>
      <c r="L56"/>
      <c r="M56"/>
      <c r="N56"/>
      <c r="O56"/>
      <c r="P56"/>
      <c r="Q56"/>
    </row>
    <row r="57" spans="1:18" ht="13.5" customHeight="1" x14ac:dyDescent="0.2">
      <c r="A57" s="153" t="s">
        <v>51</v>
      </c>
      <c r="B57" s="316">
        <f>T_03!B35</f>
        <v>141</v>
      </c>
      <c r="C57"/>
      <c r="D57" s="321">
        <f>T_03!C35</f>
        <v>1</v>
      </c>
      <c r="E57" s="1362">
        <f t="shared" si="3"/>
        <v>7.0921985815602833</v>
      </c>
      <c r="F57" s="1363"/>
      <c r="G57" s="322">
        <f>T_03!D35</f>
        <v>17</v>
      </c>
      <c r="H57" s="312">
        <f t="shared" si="4"/>
        <v>120.56737588652481</v>
      </c>
      <c r="J57"/>
      <c r="L57"/>
      <c r="M57"/>
      <c r="N57"/>
      <c r="O57"/>
      <c r="P57"/>
      <c r="Q57"/>
    </row>
    <row r="58" spans="1:18" ht="13.5" customHeight="1" x14ac:dyDescent="0.2">
      <c r="A58" s="152" t="s">
        <v>52</v>
      </c>
      <c r="B58" s="315">
        <f>T_03!B36</f>
        <v>149</v>
      </c>
      <c r="C58"/>
      <c r="D58" s="176">
        <f>T_03!C36</f>
        <v>0</v>
      </c>
      <c r="E58" s="310">
        <f>D58/B58*1000</f>
        <v>0</v>
      </c>
      <c r="F58" s="164"/>
      <c r="G58" s="320">
        <f>T_03!D36</f>
        <v>24</v>
      </c>
      <c r="H58" s="310">
        <f t="shared" si="4"/>
        <v>161.07382550335569</v>
      </c>
      <c r="J58"/>
      <c r="L58"/>
      <c r="M58"/>
      <c r="N58"/>
      <c r="O58"/>
      <c r="P58"/>
      <c r="Q58"/>
      <c r="R58"/>
    </row>
    <row r="59" spans="1:18" x14ac:dyDescent="0.2">
      <c r="A59" s="183"/>
      <c r="B59" s="311"/>
      <c r="C59"/>
      <c r="D59" s="185"/>
      <c r="E59" s="312"/>
      <c r="F59" s="164"/>
      <c r="G59" s="324"/>
      <c r="H59" s="312"/>
      <c r="J59"/>
      <c r="M59"/>
      <c r="N59"/>
      <c r="O59"/>
      <c r="P59"/>
      <c r="Q59"/>
      <c r="R59"/>
    </row>
    <row r="60" spans="1:18" ht="30" customHeight="1" x14ac:dyDescent="0.2">
      <c r="A60" s="171" t="s">
        <v>159</v>
      </c>
      <c r="B60" s="172">
        <f>SUM(B27:B59)</f>
        <v>4752</v>
      </c>
      <c r="C60" s="186"/>
      <c r="D60" s="956">
        <f>SUM(D27:D59)</f>
        <v>35</v>
      </c>
      <c r="E60" s="313">
        <f>D60/B60*1000</f>
        <v>7.3653198653198659</v>
      </c>
      <c r="F60" s="186"/>
      <c r="G60" s="173">
        <f>SUM(G27:G59)</f>
        <v>797</v>
      </c>
      <c r="H60" s="313">
        <f>G60/B60*1000</f>
        <v>167.71885521885523</v>
      </c>
      <c r="J60"/>
      <c r="M60"/>
      <c r="N60"/>
      <c r="O60"/>
      <c r="P60"/>
      <c r="Q60"/>
      <c r="R60"/>
    </row>
    <row r="61" spans="1:18" s="101" customFormat="1" ht="15.75" customHeight="1" x14ac:dyDescent="0.2">
      <c r="A61"/>
      <c r="B61"/>
      <c r="C61"/>
      <c r="D61" s="33"/>
      <c r="E61"/>
      <c r="F61"/>
      <c r="G61"/>
      <c r="H61"/>
    </row>
    <row r="62" spans="1:18" ht="12.75" customHeight="1" x14ac:dyDescent="0.2">
      <c r="A62" s="293" t="s">
        <v>162</v>
      </c>
      <c r="D62"/>
      <c r="E62" s="32"/>
    </row>
    <row r="63" spans="1:18" ht="12.75" customHeight="1" x14ac:dyDescent="0.2">
      <c r="A63" s="1" t="s">
        <v>963</v>
      </c>
      <c r="D63"/>
    </row>
    <row r="64" spans="1:18" ht="13.5" customHeight="1" x14ac:dyDescent="0.2">
      <c r="A64" s="325"/>
      <c r="B64" s="325"/>
      <c r="C64" s="325"/>
      <c r="D64" s="325"/>
      <c r="E64" s="325"/>
      <c r="F64" s="325"/>
      <c r="G64" s="325"/>
      <c r="H64" s="325"/>
      <c r="I64" s="129"/>
      <c r="J64" s="129"/>
    </row>
    <row r="65" spans="1:4" x14ac:dyDescent="0.2">
      <c r="A65" s="51" t="s">
        <v>136</v>
      </c>
      <c r="D65"/>
    </row>
    <row r="66" spans="1:4" x14ac:dyDescent="0.2">
      <c r="D66"/>
    </row>
    <row r="67" spans="1:4" x14ac:dyDescent="0.2">
      <c r="D67"/>
    </row>
    <row r="68" spans="1:4" x14ac:dyDescent="0.2">
      <c r="D68"/>
    </row>
    <row r="69" spans="1:4" x14ac:dyDescent="0.2">
      <c r="D69"/>
    </row>
    <row r="70" spans="1:4" x14ac:dyDescent="0.2">
      <c r="D70"/>
    </row>
    <row r="71" spans="1:4" x14ac:dyDescent="0.2">
      <c r="D71"/>
    </row>
    <row r="72" spans="1:4" x14ac:dyDescent="0.2">
      <c r="D72"/>
    </row>
    <row r="73" spans="1:4" x14ac:dyDescent="0.2">
      <c r="D73"/>
    </row>
    <row r="74" spans="1:4" x14ac:dyDescent="0.2">
      <c r="D74"/>
    </row>
    <row r="75" spans="1:4" x14ac:dyDescent="0.2">
      <c r="D75"/>
    </row>
    <row r="76" spans="1:4" x14ac:dyDescent="0.2">
      <c r="D76"/>
    </row>
    <row r="77" spans="1:4" x14ac:dyDescent="0.2">
      <c r="D77"/>
    </row>
    <row r="78" spans="1:4" x14ac:dyDescent="0.2">
      <c r="D78"/>
    </row>
    <row r="79" spans="1:4" x14ac:dyDescent="0.2">
      <c r="D79"/>
    </row>
    <row r="80" spans="1:4" x14ac:dyDescent="0.2">
      <c r="D80"/>
    </row>
    <row r="81" spans="4:4" x14ac:dyDescent="0.2">
      <c r="D81"/>
    </row>
  </sheetData>
  <sheetProtection algorithmName="SHA-512" hashValue="nTzHHYxnQqWHNmxpPxhlAq+Ri8jcRZYIUn6SMU/eNqBJf2Zn13L48zzKXf1TH4ogPhxgudvKzLqsRhHPu2BvWQ==" saltValue="d+vn85zXHuOTtsKC7qtZdQ==" spinCount="100000" sheet="1" objects="1" scenarios="1"/>
  <sortState xmlns:xlrd2="http://schemas.microsoft.com/office/spreadsheetml/2017/richdata2" ref="P26:Q57">
    <sortCondition descending="1" ref="Q26:Q57"/>
  </sortState>
  <mergeCells count="14">
    <mergeCell ref="A21:H21"/>
    <mergeCell ref="A22:H22"/>
    <mergeCell ref="A1:H1"/>
    <mergeCell ref="D2:E2"/>
    <mergeCell ref="A3:A4"/>
    <mergeCell ref="B3:B4"/>
    <mergeCell ref="D3:E3"/>
    <mergeCell ref="G3:H3"/>
    <mergeCell ref="A20:H20"/>
    <mergeCell ref="A25:A26"/>
    <mergeCell ref="B25:B26"/>
    <mergeCell ref="D25:E25"/>
    <mergeCell ref="G25:H25"/>
    <mergeCell ref="A23:F23"/>
  </mergeCells>
  <hyperlinks>
    <hyperlink ref="A65" location="Contents!A1" display="Return to contents " xr:uid="{00000000-0004-0000-1100-000000000000}"/>
  </hyperlinks>
  <pageMargins left="0.70866141732283472" right="0.70866141732283472" top="0.74803149606299213" bottom="0.74803149606299213" header="0.31496062992125984" footer="0.31496062992125984"/>
  <pageSetup paperSize="9" scale="70" orientation="portrait" r:id="rId1"/>
  <headerFooter>
    <oddFooter>&amp;L&amp;P&amp;C&amp;A</oddFooter>
  </headerFooter>
  <rowBreaks count="1" manualBreakCount="1">
    <brk id="22" max="16383" man="1"/>
  </rowBreaks>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1"/>
  <dimension ref="A2:E37"/>
  <sheetViews>
    <sheetView workbookViewId="0">
      <selection activeCell="A4" sqref="A4"/>
    </sheetView>
  </sheetViews>
  <sheetFormatPr defaultRowHeight="12.75" x14ac:dyDescent="0.2"/>
  <cols>
    <col min="1" max="1" width="20.28515625" bestFit="1" customWidth="1"/>
    <col min="2" max="2" width="17.5703125" bestFit="1" customWidth="1"/>
    <col min="3" max="3" width="22.7109375" bestFit="1" customWidth="1"/>
    <col min="4" max="4" width="26.28515625" bestFit="1" customWidth="1"/>
    <col min="5" max="5" width="17" bestFit="1" customWidth="1"/>
  </cols>
  <sheetData>
    <row r="2" spans="1:5" x14ac:dyDescent="0.2">
      <c r="A2" s="1300" t="s">
        <v>4</v>
      </c>
      <c r="B2" t="s">
        <v>603</v>
      </c>
    </row>
    <row r="4" spans="1:5" x14ac:dyDescent="0.2">
      <c r="A4" s="1300" t="s">
        <v>658</v>
      </c>
      <c r="B4" t="s">
        <v>683</v>
      </c>
      <c r="C4" t="s">
        <v>685</v>
      </c>
      <c r="D4" t="s">
        <v>684</v>
      </c>
      <c r="E4" t="s">
        <v>686</v>
      </c>
    </row>
    <row r="5" spans="1:5" x14ac:dyDescent="0.2">
      <c r="A5" s="1301" t="s">
        <v>23</v>
      </c>
      <c r="B5">
        <v>240</v>
      </c>
      <c r="C5">
        <v>3</v>
      </c>
      <c r="D5">
        <v>20</v>
      </c>
      <c r="E5">
        <v>116821</v>
      </c>
    </row>
    <row r="6" spans="1:5" x14ac:dyDescent="0.2">
      <c r="A6" s="1301" t="s">
        <v>24</v>
      </c>
      <c r="B6">
        <v>163</v>
      </c>
      <c r="C6">
        <v>1</v>
      </c>
      <c r="D6">
        <v>31</v>
      </c>
      <c r="E6">
        <v>117363</v>
      </c>
    </row>
    <row r="7" spans="1:5" x14ac:dyDescent="0.2">
      <c r="A7" s="1301" t="s">
        <v>25</v>
      </c>
      <c r="B7">
        <v>78</v>
      </c>
      <c r="D7">
        <v>18</v>
      </c>
      <c r="E7">
        <v>56135</v>
      </c>
    </row>
    <row r="8" spans="1:5" x14ac:dyDescent="0.2">
      <c r="A8" s="1301" t="s">
        <v>26</v>
      </c>
      <c r="B8">
        <v>76</v>
      </c>
      <c r="C8">
        <v>1</v>
      </c>
      <c r="D8">
        <v>16</v>
      </c>
      <c r="E8">
        <v>47884</v>
      </c>
    </row>
    <row r="9" spans="1:5" x14ac:dyDescent="0.2">
      <c r="A9" s="1301" t="s">
        <v>27</v>
      </c>
      <c r="B9">
        <v>47</v>
      </c>
      <c r="D9">
        <v>8</v>
      </c>
      <c r="E9">
        <v>24377</v>
      </c>
    </row>
    <row r="10" spans="1:5" x14ac:dyDescent="0.2">
      <c r="A10" s="1301" t="s">
        <v>28</v>
      </c>
      <c r="B10">
        <v>91</v>
      </c>
      <c r="C10">
        <v>3</v>
      </c>
      <c r="D10">
        <v>4</v>
      </c>
      <c r="E10">
        <v>74687</v>
      </c>
    </row>
    <row r="11" spans="1:5" x14ac:dyDescent="0.2">
      <c r="A11" s="1301" t="s">
        <v>29</v>
      </c>
      <c r="B11">
        <v>196</v>
      </c>
      <c r="D11">
        <v>31</v>
      </c>
      <c r="E11">
        <v>74354</v>
      </c>
    </row>
    <row r="12" spans="1:5" x14ac:dyDescent="0.2">
      <c r="A12" s="1301" t="s">
        <v>30</v>
      </c>
      <c r="B12">
        <v>76</v>
      </c>
      <c r="C12">
        <v>1</v>
      </c>
      <c r="D12">
        <v>21</v>
      </c>
      <c r="E12">
        <v>58158</v>
      </c>
    </row>
    <row r="13" spans="1:5" x14ac:dyDescent="0.2">
      <c r="A13" s="1301" t="s">
        <v>31</v>
      </c>
      <c r="B13">
        <v>65</v>
      </c>
      <c r="D13">
        <v>13</v>
      </c>
      <c r="E13">
        <v>46430</v>
      </c>
    </row>
    <row r="14" spans="1:5" x14ac:dyDescent="0.2">
      <c r="A14" s="1301" t="s">
        <v>32</v>
      </c>
      <c r="B14">
        <v>69</v>
      </c>
      <c r="C14">
        <v>2</v>
      </c>
      <c r="D14">
        <v>7</v>
      </c>
      <c r="E14">
        <v>47407</v>
      </c>
    </row>
    <row r="15" spans="1:5" x14ac:dyDescent="0.2">
      <c r="A15" s="1301" t="s">
        <v>33</v>
      </c>
      <c r="B15">
        <v>79</v>
      </c>
      <c r="D15">
        <v>7</v>
      </c>
      <c r="E15">
        <v>38677</v>
      </c>
    </row>
    <row r="16" spans="1:5" x14ac:dyDescent="0.2">
      <c r="A16" s="1301" t="s">
        <v>665</v>
      </c>
      <c r="B16">
        <v>460</v>
      </c>
      <c r="C16">
        <v>1</v>
      </c>
      <c r="D16">
        <v>69</v>
      </c>
      <c r="E16">
        <v>246818</v>
      </c>
    </row>
    <row r="17" spans="1:5" x14ac:dyDescent="0.2">
      <c r="A17" s="1301" t="s">
        <v>34</v>
      </c>
      <c r="B17">
        <v>106</v>
      </c>
      <c r="C17">
        <v>2</v>
      </c>
      <c r="D17">
        <v>18</v>
      </c>
      <c r="E17">
        <v>74361</v>
      </c>
    </row>
    <row r="18" spans="1:5" x14ac:dyDescent="0.2">
      <c r="A18" s="1301" t="s">
        <v>35</v>
      </c>
      <c r="B18">
        <v>286</v>
      </c>
      <c r="C18">
        <v>2</v>
      </c>
      <c r="D18">
        <v>30</v>
      </c>
      <c r="E18">
        <v>175915</v>
      </c>
    </row>
    <row r="19" spans="1:5" x14ac:dyDescent="0.2">
      <c r="A19" s="1301" t="s">
        <v>36</v>
      </c>
      <c r="B19">
        <v>847</v>
      </c>
      <c r="C19">
        <v>4</v>
      </c>
      <c r="D19">
        <v>150</v>
      </c>
      <c r="E19">
        <v>308293</v>
      </c>
    </row>
    <row r="20" spans="1:5" x14ac:dyDescent="0.2">
      <c r="A20" s="1301" t="s">
        <v>37</v>
      </c>
      <c r="B20">
        <v>146</v>
      </c>
      <c r="C20">
        <v>2</v>
      </c>
      <c r="D20">
        <v>30</v>
      </c>
      <c r="E20">
        <v>117291</v>
      </c>
    </row>
    <row r="21" spans="1:5" x14ac:dyDescent="0.2">
      <c r="A21" s="1301" t="s">
        <v>38</v>
      </c>
      <c r="B21">
        <v>84</v>
      </c>
      <c r="D21">
        <v>14</v>
      </c>
      <c r="E21">
        <v>38848</v>
      </c>
    </row>
    <row r="22" spans="1:5" x14ac:dyDescent="0.2">
      <c r="A22" s="1301" t="s">
        <v>39</v>
      </c>
      <c r="B22">
        <v>60</v>
      </c>
      <c r="D22">
        <v>14</v>
      </c>
      <c r="E22">
        <v>39937</v>
      </c>
    </row>
    <row r="23" spans="1:5" x14ac:dyDescent="0.2">
      <c r="A23" s="1301" t="s">
        <v>40</v>
      </c>
      <c r="B23">
        <v>35</v>
      </c>
      <c r="D23">
        <v>12</v>
      </c>
      <c r="E23">
        <v>44838</v>
      </c>
    </row>
    <row r="24" spans="1:5" x14ac:dyDescent="0.2">
      <c r="A24" s="1301" t="s">
        <v>393</v>
      </c>
      <c r="B24">
        <v>16</v>
      </c>
      <c r="D24">
        <v>2</v>
      </c>
      <c r="E24">
        <v>14714</v>
      </c>
    </row>
    <row r="25" spans="1:5" x14ac:dyDescent="0.2">
      <c r="A25" s="1301" t="s">
        <v>41</v>
      </c>
      <c r="B25">
        <v>147</v>
      </c>
      <c r="D25">
        <v>18</v>
      </c>
      <c r="E25">
        <v>67960</v>
      </c>
    </row>
    <row r="26" spans="1:5" x14ac:dyDescent="0.2">
      <c r="A26" s="1301" t="s">
        <v>42</v>
      </c>
      <c r="B26">
        <v>262</v>
      </c>
      <c r="C26">
        <v>1</v>
      </c>
      <c r="D26">
        <v>75</v>
      </c>
      <c r="E26">
        <v>154286</v>
      </c>
    </row>
    <row r="27" spans="1:5" x14ac:dyDescent="0.2">
      <c r="A27" s="1301" t="s">
        <v>43</v>
      </c>
      <c r="B27">
        <v>7</v>
      </c>
      <c r="D27">
        <v>3</v>
      </c>
      <c r="E27">
        <v>11192</v>
      </c>
    </row>
    <row r="28" spans="1:5" x14ac:dyDescent="0.2">
      <c r="A28" s="1301" t="s">
        <v>44</v>
      </c>
      <c r="B28">
        <v>113</v>
      </c>
      <c r="D28">
        <v>20</v>
      </c>
      <c r="E28">
        <v>71810</v>
      </c>
    </row>
    <row r="29" spans="1:5" x14ac:dyDescent="0.2">
      <c r="A29" s="1301" t="s">
        <v>45</v>
      </c>
      <c r="B29">
        <v>191</v>
      </c>
      <c r="C29">
        <v>1</v>
      </c>
      <c r="D29">
        <v>27</v>
      </c>
      <c r="E29">
        <v>86449</v>
      </c>
    </row>
    <row r="30" spans="1:5" x14ac:dyDescent="0.2">
      <c r="A30" s="1301" t="s">
        <v>46</v>
      </c>
      <c r="B30">
        <v>92</v>
      </c>
      <c r="C30">
        <v>1</v>
      </c>
      <c r="D30">
        <v>15</v>
      </c>
      <c r="E30">
        <v>58167</v>
      </c>
    </row>
    <row r="31" spans="1:5" x14ac:dyDescent="0.2">
      <c r="A31" s="1301" t="s">
        <v>47</v>
      </c>
      <c r="B31">
        <v>12</v>
      </c>
      <c r="D31">
        <v>5</v>
      </c>
      <c r="E31">
        <v>11180</v>
      </c>
    </row>
    <row r="32" spans="1:5" x14ac:dyDescent="0.2">
      <c r="A32" s="1301" t="s">
        <v>48</v>
      </c>
      <c r="B32">
        <v>95</v>
      </c>
      <c r="C32">
        <v>3</v>
      </c>
      <c r="D32">
        <v>18</v>
      </c>
      <c r="E32">
        <v>55252</v>
      </c>
    </row>
    <row r="33" spans="1:5" x14ac:dyDescent="0.2">
      <c r="A33" s="1301" t="s">
        <v>49</v>
      </c>
      <c r="B33">
        <v>244</v>
      </c>
      <c r="C33">
        <v>4</v>
      </c>
      <c r="D33">
        <v>47</v>
      </c>
      <c r="E33">
        <v>149972</v>
      </c>
    </row>
    <row r="34" spans="1:5" x14ac:dyDescent="0.2">
      <c r="A34" s="1301" t="s">
        <v>50</v>
      </c>
      <c r="B34">
        <v>79</v>
      </c>
      <c r="C34">
        <v>2</v>
      </c>
      <c r="D34">
        <v>13</v>
      </c>
      <c r="E34">
        <v>41250</v>
      </c>
    </row>
    <row r="35" spans="1:5" x14ac:dyDescent="0.2">
      <c r="A35" s="1301" t="s">
        <v>51</v>
      </c>
      <c r="B35">
        <v>141</v>
      </c>
      <c r="C35">
        <v>1</v>
      </c>
      <c r="D35">
        <v>17</v>
      </c>
      <c r="E35">
        <v>45093</v>
      </c>
    </row>
    <row r="36" spans="1:5" x14ac:dyDescent="0.2">
      <c r="A36" s="1301" t="s">
        <v>52</v>
      </c>
      <c r="B36">
        <v>149</v>
      </c>
      <c r="D36">
        <v>24</v>
      </c>
      <c r="E36">
        <v>79112</v>
      </c>
    </row>
    <row r="37" spans="1:5" x14ac:dyDescent="0.2">
      <c r="A37" s="1301" t="s">
        <v>666</v>
      </c>
      <c r="B37">
        <v>4752</v>
      </c>
      <c r="C37">
        <v>35</v>
      </c>
      <c r="D37">
        <v>797</v>
      </c>
      <c r="E37">
        <v>2595031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145"/>
  <sheetViews>
    <sheetView showGridLines="0" zoomScale="80" zoomScaleNormal="80" zoomScaleSheetLayoutView="80" workbookViewId="0">
      <pane ySplit="1" topLeftCell="A2" activePane="bottomLeft" state="frozen"/>
      <selection activeCell="M9" sqref="M9"/>
      <selection pane="bottomLeft"/>
    </sheetView>
  </sheetViews>
  <sheetFormatPr defaultRowHeight="15" x14ac:dyDescent="0.2"/>
  <cols>
    <col min="1" max="1" width="22.42578125" style="66" customWidth="1"/>
    <col min="2" max="2" width="28.85546875" style="143" bestFit="1" customWidth="1"/>
    <col min="3" max="3" width="118.42578125" style="143" bestFit="1" customWidth="1"/>
    <col min="4" max="4" width="9.140625" style="62" customWidth="1"/>
    <col min="5" max="9" width="9.140625" customWidth="1"/>
    <col min="18" max="16384" width="9.140625" style="62"/>
  </cols>
  <sheetData>
    <row r="1" spans="1:17" ht="38.25" customHeight="1" x14ac:dyDescent="0.2">
      <c r="A1" s="1264" t="s">
        <v>156</v>
      </c>
    </row>
    <row r="2" spans="1:17" x14ac:dyDescent="0.2">
      <c r="A2" s="1270" t="s">
        <v>1065</v>
      </c>
      <c r="B2" s="1273" t="s">
        <v>1066</v>
      </c>
      <c r="C2" s="1266"/>
    </row>
    <row r="3" spans="1:17" x14ac:dyDescent="0.2">
      <c r="A3" s="1265"/>
    </row>
    <row r="4" spans="1:17" x14ac:dyDescent="0.2">
      <c r="A4" s="1592" t="s">
        <v>158</v>
      </c>
      <c r="B4" s="1275" t="s">
        <v>559</v>
      </c>
      <c r="C4" s="1267" t="s">
        <v>560</v>
      </c>
    </row>
    <row r="5" spans="1:17" x14ac:dyDescent="0.2">
      <c r="A5" s="1594"/>
      <c r="B5" s="1277" t="s">
        <v>877</v>
      </c>
      <c r="C5" s="1268" t="s">
        <v>876</v>
      </c>
    </row>
    <row r="6" spans="1:17" x14ac:dyDescent="0.2">
      <c r="A6" s="1594"/>
      <c r="B6" s="1277" t="s">
        <v>1057</v>
      </c>
      <c r="C6" s="1268" t="s">
        <v>584</v>
      </c>
    </row>
    <row r="7" spans="1:17" x14ac:dyDescent="0.2">
      <c r="A7" s="1594"/>
      <c r="B7" s="1277" t="s">
        <v>1060</v>
      </c>
      <c r="C7" s="1268" t="s">
        <v>1058</v>
      </c>
    </row>
    <row r="8" spans="1:17" x14ac:dyDescent="0.2">
      <c r="A8" s="1594"/>
      <c r="B8" s="1277" t="s">
        <v>561</v>
      </c>
      <c r="C8" s="1268" t="s">
        <v>578</v>
      </c>
    </row>
    <row r="9" spans="1:17" x14ac:dyDescent="0.2">
      <c r="A9" s="1594"/>
      <c r="B9" s="1277" t="s">
        <v>562</v>
      </c>
      <c r="C9" s="1268" t="s">
        <v>579</v>
      </c>
    </row>
    <row r="10" spans="1:17" x14ac:dyDescent="0.2">
      <c r="A10" s="1593"/>
      <c r="B10" s="1279" t="s">
        <v>563</v>
      </c>
      <c r="C10" s="1269" t="s">
        <v>599</v>
      </c>
    </row>
    <row r="11" spans="1:17" x14ac:dyDescent="0.2">
      <c r="A11" s="1271"/>
      <c r="B11" s="1274"/>
      <c r="C11" s="1274"/>
    </row>
    <row r="12" spans="1:17" s="143" customFormat="1" ht="14.25" x14ac:dyDescent="0.2">
      <c r="A12" s="1617" t="s">
        <v>138</v>
      </c>
      <c r="B12" s="1275" t="s">
        <v>406</v>
      </c>
      <c r="C12" s="1276" t="s">
        <v>485</v>
      </c>
      <c r="E12"/>
      <c r="F12"/>
      <c r="G12"/>
      <c r="H12"/>
      <c r="I12"/>
      <c r="J12"/>
      <c r="K12"/>
      <c r="L12"/>
      <c r="M12"/>
      <c r="N12"/>
      <c r="O12"/>
      <c r="P12"/>
      <c r="Q12"/>
    </row>
    <row r="13" spans="1:17" s="143" customFormat="1" ht="14.25" x14ac:dyDescent="0.2">
      <c r="A13" s="1619"/>
      <c r="B13" s="1277" t="s">
        <v>407</v>
      </c>
      <c r="C13" s="1278" t="s">
        <v>486</v>
      </c>
      <c r="E13"/>
      <c r="F13"/>
      <c r="G13"/>
      <c r="H13"/>
      <c r="I13"/>
      <c r="J13"/>
      <c r="K13"/>
      <c r="L13"/>
      <c r="M13"/>
      <c r="N13"/>
      <c r="O13"/>
      <c r="P13"/>
      <c r="Q13"/>
    </row>
    <row r="14" spans="1:17" s="143" customFormat="1" ht="14.25" x14ac:dyDescent="0.2">
      <c r="A14" s="1619"/>
      <c r="B14" s="1277" t="s">
        <v>408</v>
      </c>
      <c r="C14" s="1278" t="s">
        <v>596</v>
      </c>
      <c r="E14"/>
      <c r="F14"/>
      <c r="G14"/>
      <c r="H14"/>
      <c r="I14"/>
      <c r="J14"/>
      <c r="K14"/>
      <c r="L14"/>
      <c r="M14"/>
      <c r="N14"/>
      <c r="O14"/>
      <c r="P14"/>
      <c r="Q14"/>
    </row>
    <row r="15" spans="1:17" s="143" customFormat="1" ht="14.25" x14ac:dyDescent="0.2">
      <c r="A15" s="1619"/>
      <c r="B15" s="1277" t="s">
        <v>564</v>
      </c>
      <c r="C15" s="1268" t="s">
        <v>580</v>
      </c>
      <c r="E15"/>
      <c r="F15"/>
      <c r="G15"/>
      <c r="H15"/>
      <c r="I15"/>
      <c r="J15"/>
      <c r="K15"/>
      <c r="L15"/>
      <c r="M15"/>
      <c r="N15"/>
      <c r="O15"/>
      <c r="P15"/>
      <c r="Q15"/>
    </row>
    <row r="16" spans="1:17" s="143" customFormat="1" ht="14.25" x14ac:dyDescent="0.2">
      <c r="A16" s="1619"/>
      <c r="B16" s="1277" t="s">
        <v>565</v>
      </c>
      <c r="C16" s="1268" t="s">
        <v>598</v>
      </c>
      <c r="E16"/>
      <c r="F16"/>
      <c r="G16"/>
      <c r="H16"/>
      <c r="I16"/>
      <c r="J16"/>
      <c r="K16"/>
      <c r="L16"/>
      <c r="M16"/>
      <c r="N16"/>
      <c r="O16"/>
      <c r="P16"/>
      <c r="Q16"/>
    </row>
    <row r="17" spans="1:17" s="143" customFormat="1" ht="14.25" x14ac:dyDescent="0.2">
      <c r="A17" s="1619"/>
      <c r="B17" s="1277" t="s">
        <v>566</v>
      </c>
      <c r="C17" s="1268" t="s">
        <v>1055</v>
      </c>
      <c r="E17"/>
      <c r="F17"/>
      <c r="G17"/>
      <c r="H17"/>
      <c r="I17"/>
      <c r="J17"/>
      <c r="K17"/>
      <c r="L17"/>
      <c r="M17"/>
      <c r="N17"/>
      <c r="O17"/>
      <c r="P17"/>
      <c r="Q17"/>
    </row>
    <row r="18" spans="1:17" s="143" customFormat="1" ht="14.25" x14ac:dyDescent="0.2">
      <c r="A18" s="1618"/>
      <c r="B18" s="1279" t="s">
        <v>567</v>
      </c>
      <c r="C18" s="1269" t="s">
        <v>1056</v>
      </c>
      <c r="E18"/>
      <c r="F18"/>
      <c r="G18"/>
      <c r="H18"/>
      <c r="I18"/>
      <c r="J18"/>
      <c r="K18"/>
      <c r="L18"/>
      <c r="M18"/>
      <c r="N18"/>
      <c r="O18"/>
      <c r="P18"/>
      <c r="Q18"/>
    </row>
    <row r="19" spans="1:17" s="143" customFormat="1" x14ac:dyDescent="0.2">
      <c r="A19" s="1272"/>
      <c r="B19" s="1274"/>
      <c r="C19" s="1280"/>
      <c r="E19"/>
      <c r="F19"/>
      <c r="G19"/>
      <c r="H19"/>
      <c r="I19"/>
      <c r="J19"/>
      <c r="K19"/>
      <c r="L19"/>
      <c r="M19"/>
      <c r="N19"/>
      <c r="O19"/>
      <c r="P19"/>
      <c r="Q19"/>
    </row>
    <row r="20" spans="1:17" s="143" customFormat="1" ht="14.25" x14ac:dyDescent="0.2">
      <c r="A20" s="1617" t="s">
        <v>139</v>
      </c>
      <c r="B20" s="1275" t="s">
        <v>409</v>
      </c>
      <c r="C20" s="1276" t="s">
        <v>487</v>
      </c>
      <c r="E20"/>
      <c r="F20"/>
      <c r="G20"/>
      <c r="H20"/>
      <c r="I20"/>
      <c r="J20"/>
      <c r="K20"/>
      <c r="L20"/>
      <c r="M20"/>
      <c r="N20"/>
      <c r="O20"/>
      <c r="P20"/>
      <c r="Q20"/>
    </row>
    <row r="21" spans="1:17" s="143" customFormat="1" ht="14.25" x14ac:dyDescent="0.2">
      <c r="A21" s="1619"/>
      <c r="B21" s="1277" t="s">
        <v>410</v>
      </c>
      <c r="C21" s="1278" t="s">
        <v>488</v>
      </c>
      <c r="E21"/>
      <c r="F21"/>
      <c r="G21"/>
      <c r="H21"/>
      <c r="I21"/>
      <c r="J21"/>
      <c r="K21"/>
      <c r="L21"/>
      <c r="M21"/>
      <c r="N21"/>
      <c r="O21"/>
      <c r="P21"/>
      <c r="Q21"/>
    </row>
    <row r="22" spans="1:17" s="143" customFormat="1" ht="14.25" x14ac:dyDescent="0.2">
      <c r="A22" s="1619"/>
      <c r="B22" s="1277" t="s">
        <v>411</v>
      </c>
      <c r="C22" s="1278" t="s">
        <v>489</v>
      </c>
      <c r="E22"/>
      <c r="F22"/>
      <c r="G22"/>
      <c r="H22"/>
      <c r="I22"/>
      <c r="J22"/>
      <c r="K22"/>
      <c r="L22"/>
      <c r="M22"/>
      <c r="N22"/>
      <c r="O22"/>
      <c r="P22"/>
      <c r="Q22"/>
    </row>
    <row r="23" spans="1:17" s="143" customFormat="1" ht="14.25" x14ac:dyDescent="0.2">
      <c r="A23" s="1619"/>
      <c r="B23" s="1277" t="s">
        <v>412</v>
      </c>
      <c r="C23" s="1278" t="s">
        <v>490</v>
      </c>
      <c r="E23"/>
      <c r="F23"/>
      <c r="G23"/>
      <c r="H23"/>
      <c r="I23"/>
      <c r="J23"/>
      <c r="K23"/>
      <c r="L23"/>
      <c r="M23"/>
      <c r="N23"/>
      <c r="O23"/>
      <c r="P23"/>
      <c r="Q23"/>
    </row>
    <row r="24" spans="1:17" s="143" customFormat="1" ht="14.25" x14ac:dyDescent="0.2">
      <c r="A24" s="1619"/>
      <c r="B24" s="1277" t="s">
        <v>413</v>
      </c>
      <c r="C24" s="1278" t="s">
        <v>491</v>
      </c>
      <c r="E24"/>
      <c r="F24"/>
      <c r="G24"/>
      <c r="H24"/>
      <c r="I24"/>
      <c r="J24"/>
      <c r="K24"/>
      <c r="L24"/>
      <c r="M24"/>
      <c r="N24"/>
      <c r="O24"/>
      <c r="P24"/>
      <c r="Q24"/>
    </row>
    <row r="25" spans="1:17" s="143" customFormat="1" ht="14.25" x14ac:dyDescent="0.2">
      <c r="A25" s="1619"/>
      <c r="B25" s="1277" t="s">
        <v>414</v>
      </c>
      <c r="C25" s="1278" t="s">
        <v>597</v>
      </c>
      <c r="E25"/>
      <c r="F25"/>
      <c r="G25"/>
      <c r="H25"/>
      <c r="I25"/>
      <c r="J25"/>
      <c r="K25"/>
      <c r="L25"/>
      <c r="M25"/>
      <c r="N25"/>
      <c r="O25"/>
      <c r="P25"/>
      <c r="Q25"/>
    </row>
    <row r="26" spans="1:17" s="143" customFormat="1" ht="14.25" x14ac:dyDescent="0.2">
      <c r="A26" s="1618"/>
      <c r="B26" s="1279" t="s">
        <v>568</v>
      </c>
      <c r="C26" s="1269" t="s">
        <v>1059</v>
      </c>
      <c r="E26"/>
      <c r="F26"/>
      <c r="G26"/>
      <c r="H26"/>
      <c r="I26"/>
      <c r="J26"/>
      <c r="K26"/>
      <c r="L26"/>
      <c r="M26"/>
      <c r="N26"/>
      <c r="O26"/>
      <c r="P26"/>
      <c r="Q26"/>
    </row>
    <row r="27" spans="1:17" s="143" customFormat="1" x14ac:dyDescent="0.2">
      <c r="A27" s="1272"/>
      <c r="B27" s="1274"/>
      <c r="C27" s="1280"/>
      <c r="E27"/>
      <c r="F27"/>
      <c r="G27"/>
      <c r="H27"/>
      <c r="I27"/>
      <c r="J27"/>
      <c r="K27"/>
      <c r="L27"/>
      <c r="M27"/>
      <c r="N27"/>
      <c r="O27"/>
      <c r="P27"/>
      <c r="Q27"/>
    </row>
    <row r="28" spans="1:17" s="143" customFormat="1" ht="14.25" x14ac:dyDescent="0.2">
      <c r="A28" s="1617" t="s">
        <v>140</v>
      </c>
      <c r="B28" s="1275" t="s">
        <v>415</v>
      </c>
      <c r="C28" s="1276" t="s">
        <v>116</v>
      </c>
      <c r="E28"/>
      <c r="F28"/>
      <c r="G28"/>
      <c r="H28"/>
      <c r="I28"/>
      <c r="J28"/>
      <c r="K28"/>
      <c r="L28"/>
      <c r="M28"/>
      <c r="N28"/>
      <c r="O28"/>
      <c r="P28"/>
      <c r="Q28"/>
    </row>
    <row r="29" spans="1:17" s="143" customFormat="1" ht="14.25" x14ac:dyDescent="0.2">
      <c r="A29" s="1619"/>
      <c r="B29" s="1277" t="s">
        <v>416</v>
      </c>
      <c r="C29" s="1278" t="s">
        <v>937</v>
      </c>
      <c r="E29"/>
      <c r="F29"/>
      <c r="G29"/>
      <c r="H29"/>
      <c r="I29"/>
      <c r="J29"/>
      <c r="K29"/>
      <c r="L29"/>
      <c r="M29"/>
      <c r="N29"/>
      <c r="O29"/>
      <c r="P29"/>
      <c r="Q29"/>
    </row>
    <row r="30" spans="1:17" s="143" customFormat="1" ht="14.25" x14ac:dyDescent="0.2">
      <c r="A30" s="1619"/>
      <c r="B30" s="1277" t="s">
        <v>417</v>
      </c>
      <c r="C30" s="1278" t="s">
        <v>938</v>
      </c>
      <c r="E30"/>
      <c r="F30"/>
      <c r="G30"/>
      <c r="H30"/>
      <c r="I30"/>
      <c r="J30"/>
      <c r="K30"/>
      <c r="L30"/>
      <c r="M30"/>
      <c r="N30"/>
      <c r="O30"/>
      <c r="P30"/>
      <c r="Q30"/>
    </row>
    <row r="31" spans="1:17" s="143" customFormat="1" ht="14.25" x14ac:dyDescent="0.2">
      <c r="A31" s="1619"/>
      <c r="B31" s="1277" t="s">
        <v>418</v>
      </c>
      <c r="C31" s="1278" t="s">
        <v>492</v>
      </c>
      <c r="E31"/>
      <c r="F31"/>
      <c r="G31"/>
      <c r="H31"/>
      <c r="I31"/>
      <c r="J31"/>
      <c r="K31"/>
      <c r="L31"/>
      <c r="M31"/>
      <c r="N31"/>
      <c r="O31"/>
      <c r="P31"/>
      <c r="Q31"/>
    </row>
    <row r="32" spans="1:17" s="143" customFormat="1" ht="14.25" x14ac:dyDescent="0.2">
      <c r="A32" s="1619"/>
      <c r="B32" s="1277" t="s">
        <v>419</v>
      </c>
      <c r="C32" s="1278" t="s">
        <v>493</v>
      </c>
      <c r="E32"/>
      <c r="F32"/>
      <c r="G32"/>
      <c r="H32"/>
      <c r="I32"/>
      <c r="J32"/>
      <c r="K32"/>
      <c r="L32"/>
      <c r="M32"/>
      <c r="N32"/>
      <c r="O32"/>
      <c r="P32"/>
      <c r="Q32"/>
    </row>
    <row r="33" spans="1:17" s="143" customFormat="1" ht="14.25" x14ac:dyDescent="0.2">
      <c r="A33" s="1619"/>
      <c r="B33" s="1277" t="s">
        <v>420</v>
      </c>
      <c r="C33" s="1278" t="s">
        <v>494</v>
      </c>
      <c r="E33"/>
      <c r="F33"/>
      <c r="G33"/>
      <c r="H33"/>
      <c r="I33"/>
      <c r="J33"/>
      <c r="K33"/>
      <c r="L33"/>
      <c r="M33"/>
      <c r="N33"/>
      <c r="O33"/>
      <c r="P33"/>
      <c r="Q33"/>
    </row>
    <row r="34" spans="1:17" s="143" customFormat="1" ht="14.25" x14ac:dyDescent="0.2">
      <c r="A34" s="1619"/>
      <c r="B34" s="1277" t="s">
        <v>421</v>
      </c>
      <c r="C34" s="1278" t="s">
        <v>495</v>
      </c>
      <c r="E34"/>
      <c r="F34"/>
      <c r="G34"/>
      <c r="H34"/>
      <c r="I34"/>
      <c r="J34"/>
      <c r="K34"/>
      <c r="L34"/>
      <c r="M34"/>
      <c r="N34"/>
      <c r="O34"/>
      <c r="P34"/>
      <c r="Q34"/>
    </row>
    <row r="35" spans="1:17" s="143" customFormat="1" ht="14.25" x14ac:dyDescent="0.2">
      <c r="A35" s="1619"/>
      <c r="B35" s="1277" t="s">
        <v>422</v>
      </c>
      <c r="C35" s="1278" t="s">
        <v>496</v>
      </c>
      <c r="E35"/>
      <c r="F35"/>
      <c r="G35"/>
      <c r="H35"/>
      <c r="I35"/>
      <c r="J35"/>
      <c r="K35"/>
      <c r="L35"/>
      <c r="M35"/>
      <c r="N35"/>
      <c r="O35"/>
      <c r="P35"/>
      <c r="Q35"/>
    </row>
    <row r="36" spans="1:17" s="143" customFormat="1" ht="14.25" x14ac:dyDescent="0.2">
      <c r="A36" s="1619"/>
      <c r="B36" s="1277" t="s">
        <v>569</v>
      </c>
      <c r="C36" s="1268" t="s">
        <v>587</v>
      </c>
      <c r="E36"/>
      <c r="F36"/>
      <c r="G36"/>
      <c r="H36"/>
      <c r="I36"/>
      <c r="J36"/>
      <c r="K36"/>
      <c r="L36"/>
      <c r="M36"/>
      <c r="N36"/>
      <c r="O36"/>
      <c r="P36"/>
      <c r="Q36"/>
    </row>
    <row r="37" spans="1:17" s="143" customFormat="1" ht="14.25" x14ac:dyDescent="0.2">
      <c r="A37" s="1618"/>
      <c r="B37" s="1279" t="s">
        <v>570</v>
      </c>
      <c r="C37" s="1269" t="s">
        <v>912</v>
      </c>
      <c r="E37"/>
      <c r="F37"/>
      <c r="G37"/>
      <c r="H37"/>
      <c r="I37"/>
      <c r="J37"/>
      <c r="K37"/>
      <c r="L37"/>
      <c r="M37"/>
      <c r="N37"/>
      <c r="O37"/>
      <c r="P37"/>
      <c r="Q37"/>
    </row>
    <row r="38" spans="1:17" s="143" customFormat="1" x14ac:dyDescent="0.2">
      <c r="A38" s="1272"/>
      <c r="E38"/>
      <c r="F38"/>
      <c r="G38"/>
      <c r="H38"/>
      <c r="I38"/>
      <c r="J38"/>
      <c r="K38"/>
      <c r="L38"/>
      <c r="M38"/>
      <c r="N38"/>
      <c r="O38"/>
      <c r="P38"/>
      <c r="Q38"/>
    </row>
    <row r="39" spans="1:17" s="143" customFormat="1" ht="14.25" x14ac:dyDescent="0.2">
      <c r="A39" s="1617" t="s">
        <v>364</v>
      </c>
      <c r="B39" s="1275" t="s">
        <v>423</v>
      </c>
      <c r="C39" s="1267" t="s">
        <v>497</v>
      </c>
      <c r="E39"/>
      <c r="F39"/>
      <c r="G39"/>
      <c r="H39"/>
      <c r="I39"/>
      <c r="J39"/>
      <c r="K39"/>
      <c r="L39"/>
      <c r="M39"/>
      <c r="N39"/>
      <c r="O39"/>
      <c r="P39"/>
      <c r="Q39"/>
    </row>
    <row r="40" spans="1:17" s="143" customFormat="1" ht="14.25" x14ac:dyDescent="0.2">
      <c r="A40" s="1619"/>
      <c r="B40" s="1277" t="s">
        <v>424</v>
      </c>
      <c r="C40" s="1268" t="s">
        <v>498</v>
      </c>
      <c r="E40"/>
      <c r="F40"/>
      <c r="G40"/>
      <c r="H40"/>
      <c r="I40"/>
      <c r="J40"/>
      <c r="K40"/>
      <c r="L40"/>
      <c r="M40"/>
      <c r="N40"/>
      <c r="O40"/>
      <c r="P40"/>
      <c r="Q40"/>
    </row>
    <row r="41" spans="1:17" s="143" customFormat="1" ht="14.25" x14ac:dyDescent="0.2">
      <c r="A41" s="1619"/>
      <c r="B41" s="1277" t="s">
        <v>425</v>
      </c>
      <c r="C41" s="1268" t="s">
        <v>511</v>
      </c>
      <c r="E41"/>
      <c r="F41"/>
      <c r="G41"/>
      <c r="H41"/>
      <c r="I41"/>
      <c r="J41"/>
      <c r="K41"/>
      <c r="L41"/>
      <c r="M41"/>
      <c r="N41"/>
      <c r="O41"/>
      <c r="P41"/>
      <c r="Q41"/>
    </row>
    <row r="42" spans="1:17" s="143" customFormat="1" ht="14.25" x14ac:dyDescent="0.2">
      <c r="A42" s="1619"/>
      <c r="B42" s="1277" t="s">
        <v>426</v>
      </c>
      <c r="C42" s="1268" t="s">
        <v>499</v>
      </c>
      <c r="E42"/>
      <c r="F42"/>
      <c r="G42"/>
      <c r="H42"/>
      <c r="I42"/>
      <c r="J42"/>
      <c r="K42"/>
      <c r="L42"/>
      <c r="M42"/>
      <c r="N42"/>
      <c r="O42"/>
      <c r="P42"/>
      <c r="Q42"/>
    </row>
    <row r="43" spans="1:17" s="143" customFormat="1" ht="14.25" x14ac:dyDescent="0.2">
      <c r="A43" s="1619"/>
      <c r="B43" s="1277" t="s">
        <v>427</v>
      </c>
      <c r="C43" s="1268" t="s">
        <v>500</v>
      </c>
      <c r="E43"/>
      <c r="F43"/>
      <c r="G43"/>
      <c r="H43"/>
      <c r="I43"/>
      <c r="J43"/>
      <c r="K43"/>
      <c r="L43"/>
      <c r="M43"/>
      <c r="N43"/>
      <c r="O43"/>
      <c r="P43"/>
      <c r="Q43"/>
    </row>
    <row r="44" spans="1:17" s="143" customFormat="1" ht="14.25" x14ac:dyDescent="0.2">
      <c r="A44" s="1619"/>
      <c r="B44" s="1277" t="s">
        <v>428</v>
      </c>
      <c r="C44" s="1268" t="s">
        <v>501</v>
      </c>
      <c r="E44"/>
      <c r="F44"/>
      <c r="G44"/>
      <c r="H44"/>
      <c r="I44"/>
      <c r="J44"/>
      <c r="K44"/>
      <c r="L44"/>
      <c r="M44"/>
      <c r="N44"/>
      <c r="O44"/>
      <c r="P44"/>
      <c r="Q44"/>
    </row>
    <row r="45" spans="1:17" s="143" customFormat="1" ht="14.25" x14ac:dyDescent="0.2">
      <c r="A45" s="1619"/>
      <c r="B45" s="1277" t="s">
        <v>571</v>
      </c>
      <c r="C45" s="1268" t="s">
        <v>1063</v>
      </c>
      <c r="E45"/>
      <c r="F45"/>
      <c r="G45"/>
      <c r="H45"/>
      <c r="I45"/>
      <c r="J45"/>
      <c r="K45"/>
      <c r="L45"/>
      <c r="M45"/>
      <c r="N45"/>
      <c r="O45"/>
      <c r="P45"/>
      <c r="Q45"/>
    </row>
    <row r="46" spans="1:17" s="143" customFormat="1" ht="14.25" x14ac:dyDescent="0.2">
      <c r="A46" s="1619"/>
      <c r="B46" s="1277" t="s">
        <v>572</v>
      </c>
      <c r="C46" s="1268" t="s">
        <v>1061</v>
      </c>
      <c r="E46"/>
      <c r="F46"/>
      <c r="G46"/>
      <c r="H46"/>
      <c r="I46"/>
      <c r="J46"/>
      <c r="K46"/>
      <c r="L46"/>
      <c r="M46"/>
      <c r="N46"/>
      <c r="O46"/>
      <c r="P46"/>
      <c r="Q46"/>
    </row>
    <row r="47" spans="1:17" s="143" customFormat="1" ht="14.25" x14ac:dyDescent="0.2">
      <c r="A47" s="1619"/>
      <c r="B47" s="1277" t="s">
        <v>573</v>
      </c>
      <c r="C47" s="1268" t="s">
        <v>1062</v>
      </c>
      <c r="E47"/>
      <c r="F47"/>
      <c r="G47"/>
      <c r="H47"/>
      <c r="I47"/>
      <c r="J47"/>
      <c r="K47"/>
      <c r="L47"/>
      <c r="M47"/>
      <c r="N47"/>
      <c r="O47"/>
      <c r="P47"/>
      <c r="Q47"/>
    </row>
    <row r="48" spans="1:17" s="143" customFormat="1" ht="14.25" x14ac:dyDescent="0.2">
      <c r="A48" s="1619"/>
      <c r="B48" s="1277" t="s">
        <v>574</v>
      </c>
      <c r="C48" s="1268" t="s">
        <v>1064</v>
      </c>
      <c r="E48"/>
      <c r="F48"/>
      <c r="G48"/>
      <c r="H48"/>
      <c r="I48"/>
      <c r="J48"/>
      <c r="K48"/>
      <c r="L48"/>
      <c r="M48"/>
      <c r="N48"/>
      <c r="O48"/>
      <c r="P48"/>
      <c r="Q48"/>
    </row>
    <row r="49" spans="1:17" s="143" customFormat="1" ht="14.25" x14ac:dyDescent="0.2">
      <c r="A49" s="1618"/>
      <c r="B49" s="1279" t="s">
        <v>575</v>
      </c>
      <c r="C49" s="1269" t="s">
        <v>911</v>
      </c>
      <c r="E49"/>
      <c r="F49"/>
      <c r="G49"/>
      <c r="H49"/>
      <c r="I49"/>
      <c r="J49"/>
      <c r="K49"/>
      <c r="L49"/>
      <c r="M49"/>
      <c r="N49"/>
      <c r="O49"/>
      <c r="P49"/>
      <c r="Q49"/>
    </row>
    <row r="50" spans="1:17" s="143" customFormat="1" x14ac:dyDescent="0.2">
      <c r="A50" s="1272"/>
      <c r="E50"/>
      <c r="F50"/>
      <c r="G50"/>
      <c r="H50"/>
      <c r="I50"/>
      <c r="J50"/>
      <c r="K50"/>
      <c r="L50"/>
      <c r="M50"/>
      <c r="N50"/>
      <c r="O50"/>
      <c r="P50"/>
      <c r="Q50"/>
    </row>
    <row r="51" spans="1:17" s="143" customFormat="1" ht="14.25" x14ac:dyDescent="0.2">
      <c r="A51" s="1617" t="s">
        <v>141</v>
      </c>
      <c r="B51" s="1275" t="s">
        <v>429</v>
      </c>
      <c r="C51" s="1267" t="s">
        <v>502</v>
      </c>
      <c r="E51"/>
      <c r="F51"/>
      <c r="G51"/>
      <c r="H51"/>
      <c r="I51"/>
      <c r="J51"/>
      <c r="K51"/>
      <c r="L51"/>
      <c r="M51"/>
      <c r="N51"/>
      <c r="O51"/>
      <c r="P51"/>
      <c r="Q51"/>
    </row>
    <row r="52" spans="1:17" s="143" customFormat="1" ht="14.25" x14ac:dyDescent="0.2">
      <c r="A52" s="1619"/>
      <c r="B52" s="1277" t="s">
        <v>430</v>
      </c>
      <c r="C52" s="1268" t="s">
        <v>503</v>
      </c>
      <c r="E52"/>
      <c r="F52"/>
      <c r="G52"/>
      <c r="H52"/>
      <c r="I52"/>
      <c r="J52"/>
      <c r="K52"/>
      <c r="L52"/>
      <c r="M52"/>
      <c r="N52"/>
      <c r="O52"/>
      <c r="P52"/>
      <c r="Q52"/>
    </row>
    <row r="53" spans="1:17" s="143" customFormat="1" ht="14.25" x14ac:dyDescent="0.2">
      <c r="A53" s="1619"/>
      <c r="B53" s="1277" t="s">
        <v>431</v>
      </c>
      <c r="C53" s="1268" t="s">
        <v>504</v>
      </c>
      <c r="E53"/>
      <c r="F53"/>
      <c r="G53"/>
      <c r="H53"/>
      <c r="I53"/>
      <c r="J53"/>
      <c r="K53"/>
      <c r="L53"/>
      <c r="M53"/>
      <c r="N53"/>
      <c r="O53"/>
      <c r="P53"/>
      <c r="Q53"/>
    </row>
    <row r="54" spans="1:17" s="143" customFormat="1" ht="14.25" x14ac:dyDescent="0.2">
      <c r="A54" s="1619"/>
      <c r="B54" s="1277" t="s">
        <v>432</v>
      </c>
      <c r="C54" s="1268" t="s">
        <v>505</v>
      </c>
      <c r="E54"/>
      <c r="F54"/>
      <c r="G54"/>
      <c r="H54"/>
      <c r="I54"/>
      <c r="J54"/>
      <c r="K54"/>
      <c r="L54"/>
      <c r="M54"/>
      <c r="N54"/>
      <c r="O54"/>
      <c r="P54"/>
      <c r="Q54"/>
    </row>
    <row r="55" spans="1:17" s="143" customFormat="1" ht="14.25" x14ac:dyDescent="0.2">
      <c r="A55" s="1619"/>
      <c r="B55" s="1277" t="s">
        <v>433</v>
      </c>
      <c r="C55" s="1268" t="s">
        <v>506</v>
      </c>
      <c r="E55"/>
      <c r="F55"/>
      <c r="G55"/>
      <c r="H55"/>
      <c r="I55"/>
      <c r="J55"/>
      <c r="K55"/>
      <c r="L55"/>
      <c r="M55"/>
      <c r="N55"/>
      <c r="O55"/>
      <c r="P55"/>
      <c r="Q55"/>
    </row>
    <row r="56" spans="1:17" s="143" customFormat="1" ht="14.25" x14ac:dyDescent="0.2">
      <c r="A56" s="1618"/>
      <c r="B56" s="1279" t="s">
        <v>576</v>
      </c>
      <c r="C56" s="1269" t="s">
        <v>913</v>
      </c>
      <c r="E56"/>
      <c r="F56"/>
      <c r="G56"/>
      <c r="H56"/>
      <c r="I56"/>
      <c r="J56"/>
      <c r="K56"/>
      <c r="L56"/>
      <c r="M56"/>
      <c r="N56"/>
      <c r="O56"/>
      <c r="P56"/>
      <c r="Q56"/>
    </row>
    <row r="57" spans="1:17" s="143" customFormat="1" x14ac:dyDescent="0.2">
      <c r="A57" s="1272"/>
      <c r="E57"/>
      <c r="F57"/>
      <c r="G57"/>
      <c r="H57"/>
      <c r="I57"/>
      <c r="J57"/>
      <c r="K57"/>
      <c r="L57"/>
      <c r="M57"/>
      <c r="N57"/>
      <c r="O57"/>
      <c r="P57"/>
      <c r="Q57"/>
    </row>
    <row r="58" spans="1:17" s="143" customFormat="1" ht="14.25" x14ac:dyDescent="0.2">
      <c r="A58" s="1617" t="s">
        <v>374</v>
      </c>
      <c r="B58" s="1275" t="s">
        <v>434</v>
      </c>
      <c r="C58" s="1267" t="s">
        <v>509</v>
      </c>
      <c r="E58"/>
      <c r="F58"/>
      <c r="G58"/>
      <c r="H58"/>
      <c r="I58"/>
      <c r="J58"/>
      <c r="K58"/>
      <c r="L58"/>
      <c r="M58"/>
      <c r="N58"/>
      <c r="O58"/>
      <c r="P58"/>
      <c r="Q58"/>
    </row>
    <row r="59" spans="1:17" s="143" customFormat="1" ht="14.25" x14ac:dyDescent="0.2">
      <c r="A59" s="1619"/>
      <c r="B59" s="1277" t="s">
        <v>435</v>
      </c>
      <c r="C59" s="1268" t="s">
        <v>510</v>
      </c>
      <c r="E59"/>
      <c r="F59"/>
      <c r="G59"/>
      <c r="H59"/>
      <c r="I59"/>
      <c r="J59"/>
      <c r="K59"/>
      <c r="L59"/>
      <c r="M59"/>
      <c r="N59"/>
      <c r="O59"/>
      <c r="P59"/>
      <c r="Q59"/>
    </row>
    <row r="60" spans="1:17" s="143" customFormat="1" ht="14.25" x14ac:dyDescent="0.2">
      <c r="A60" s="1619"/>
      <c r="B60" s="1277" t="s">
        <v>436</v>
      </c>
      <c r="C60" s="1268" t="s">
        <v>507</v>
      </c>
      <c r="E60"/>
      <c r="F60"/>
      <c r="G60"/>
      <c r="H60"/>
      <c r="I60"/>
      <c r="J60"/>
      <c r="K60"/>
      <c r="L60"/>
      <c r="M60"/>
      <c r="N60"/>
      <c r="O60"/>
      <c r="P60"/>
      <c r="Q60"/>
    </row>
    <row r="61" spans="1:17" s="143" customFormat="1" ht="14.25" x14ac:dyDescent="0.2">
      <c r="A61" s="1619"/>
      <c r="B61" s="1277" t="s">
        <v>437</v>
      </c>
      <c r="C61" s="1268" t="s">
        <v>508</v>
      </c>
      <c r="E61"/>
      <c r="F61"/>
      <c r="G61"/>
      <c r="H61"/>
      <c r="I61"/>
      <c r="J61"/>
      <c r="K61"/>
      <c r="L61"/>
      <c r="M61"/>
      <c r="N61"/>
      <c r="O61"/>
      <c r="P61"/>
      <c r="Q61"/>
    </row>
    <row r="62" spans="1:17" s="143" customFormat="1" ht="14.25" x14ac:dyDescent="0.2">
      <c r="A62" s="1619"/>
      <c r="B62" s="1598" t="s">
        <v>958</v>
      </c>
      <c r="C62" s="1268" t="s">
        <v>929</v>
      </c>
      <c r="E62"/>
      <c r="F62"/>
      <c r="G62"/>
      <c r="H62"/>
      <c r="I62"/>
      <c r="J62"/>
      <c r="K62"/>
      <c r="L62"/>
      <c r="M62"/>
      <c r="N62"/>
      <c r="O62"/>
      <c r="P62"/>
      <c r="Q62"/>
    </row>
    <row r="63" spans="1:17" s="143" customFormat="1" ht="14.25" x14ac:dyDescent="0.2">
      <c r="A63" s="1619"/>
      <c r="B63" s="1277" t="s">
        <v>577</v>
      </c>
      <c r="C63" s="1268" t="s">
        <v>508</v>
      </c>
      <c r="E63"/>
      <c r="F63"/>
      <c r="G63"/>
      <c r="H63"/>
      <c r="I63"/>
      <c r="J63"/>
      <c r="K63"/>
      <c r="L63"/>
      <c r="M63"/>
      <c r="N63"/>
      <c r="O63"/>
      <c r="P63"/>
      <c r="Q63"/>
    </row>
    <row r="64" spans="1:17" s="143" customFormat="1" ht="14.25" x14ac:dyDescent="0.2">
      <c r="A64" s="1619"/>
      <c r="B64" s="1277" t="s">
        <v>905</v>
      </c>
      <c r="C64" s="1268" t="s">
        <v>929</v>
      </c>
      <c r="E64"/>
      <c r="F64"/>
      <c r="G64"/>
      <c r="H64"/>
      <c r="I64"/>
      <c r="J64"/>
      <c r="K64"/>
      <c r="L64"/>
      <c r="M64"/>
      <c r="N64"/>
      <c r="O64"/>
      <c r="P64"/>
      <c r="Q64"/>
    </row>
    <row r="65" spans="1:17" s="143" customFormat="1" ht="14.25" x14ac:dyDescent="0.2">
      <c r="A65" s="1619"/>
      <c r="B65" s="1277" t="s">
        <v>906</v>
      </c>
      <c r="C65" s="1268" t="s">
        <v>585</v>
      </c>
      <c r="E65"/>
      <c r="F65"/>
      <c r="G65"/>
      <c r="H65"/>
      <c r="I65"/>
      <c r="J65"/>
      <c r="K65"/>
      <c r="L65"/>
      <c r="M65"/>
      <c r="N65"/>
      <c r="O65"/>
      <c r="P65"/>
      <c r="Q65"/>
    </row>
    <row r="66" spans="1:17" s="143" customFormat="1" ht="14.25" x14ac:dyDescent="0.2">
      <c r="A66" s="1618"/>
      <c r="B66" s="1279" t="s">
        <v>907</v>
      </c>
      <c r="C66" s="1269" t="s">
        <v>586</v>
      </c>
      <c r="E66"/>
      <c r="F66"/>
      <c r="G66"/>
      <c r="H66"/>
      <c r="I66"/>
      <c r="J66"/>
      <c r="K66"/>
      <c r="L66"/>
      <c r="M66"/>
      <c r="N66"/>
      <c r="O66"/>
      <c r="P66"/>
      <c r="Q66"/>
    </row>
    <row r="67" spans="1:17" s="143" customFormat="1" x14ac:dyDescent="0.2">
      <c r="A67" s="1272"/>
      <c r="E67"/>
      <c r="F67"/>
      <c r="G67"/>
      <c r="H67"/>
      <c r="I67"/>
      <c r="J67"/>
      <c r="K67"/>
      <c r="L67"/>
      <c r="M67"/>
      <c r="N67"/>
      <c r="O67"/>
      <c r="P67"/>
      <c r="Q67"/>
    </row>
    <row r="68" spans="1:17" s="143" customFormat="1" ht="14.25" x14ac:dyDescent="0.2">
      <c r="A68" s="1617" t="s">
        <v>142</v>
      </c>
      <c r="B68" s="1275" t="s">
        <v>438</v>
      </c>
      <c r="C68" s="1267" t="s">
        <v>512</v>
      </c>
      <c r="E68"/>
      <c r="F68"/>
      <c r="G68"/>
      <c r="H68"/>
      <c r="I68"/>
      <c r="J68"/>
      <c r="K68"/>
      <c r="L68"/>
      <c r="M68"/>
      <c r="N68"/>
      <c r="O68"/>
      <c r="P68"/>
      <c r="Q68"/>
    </row>
    <row r="69" spans="1:17" s="143" customFormat="1" ht="14.25" x14ac:dyDescent="0.2">
      <c r="A69" s="1619"/>
      <c r="B69" s="1277" t="s">
        <v>439</v>
      </c>
      <c r="C69" s="1268" t="s">
        <v>513</v>
      </c>
      <c r="E69"/>
      <c r="F69"/>
      <c r="G69"/>
      <c r="H69"/>
      <c r="I69"/>
      <c r="J69"/>
      <c r="K69"/>
      <c r="L69"/>
      <c r="M69"/>
      <c r="N69"/>
      <c r="O69"/>
      <c r="P69"/>
      <c r="Q69"/>
    </row>
    <row r="70" spans="1:17" s="143" customFormat="1" ht="14.25" x14ac:dyDescent="0.2">
      <c r="A70" s="1619"/>
      <c r="B70" s="1277" t="s">
        <v>440</v>
      </c>
      <c r="C70" s="1268" t="s">
        <v>515</v>
      </c>
      <c r="E70"/>
      <c r="F70"/>
      <c r="G70"/>
      <c r="H70"/>
      <c r="I70"/>
      <c r="J70"/>
      <c r="K70"/>
      <c r="L70"/>
      <c r="M70"/>
      <c r="N70"/>
      <c r="O70"/>
      <c r="P70"/>
      <c r="Q70"/>
    </row>
    <row r="71" spans="1:17" s="143" customFormat="1" ht="14.25" x14ac:dyDescent="0.2">
      <c r="A71" s="1619"/>
      <c r="B71" s="1277" t="s">
        <v>441</v>
      </c>
      <c r="C71" s="1268" t="s">
        <v>514</v>
      </c>
      <c r="E71"/>
      <c r="F71"/>
      <c r="G71"/>
      <c r="H71"/>
      <c r="I71"/>
      <c r="J71"/>
      <c r="K71"/>
      <c r="L71"/>
      <c r="M71"/>
      <c r="N71"/>
      <c r="O71"/>
      <c r="P71"/>
      <c r="Q71"/>
    </row>
    <row r="72" spans="1:17" s="143" customFormat="1" ht="14.25" x14ac:dyDescent="0.2">
      <c r="A72" s="1619"/>
      <c r="B72" s="1277" t="s">
        <v>442</v>
      </c>
      <c r="C72" s="1268" t="s">
        <v>516</v>
      </c>
      <c r="E72"/>
      <c r="F72"/>
      <c r="G72"/>
      <c r="H72"/>
      <c r="I72"/>
      <c r="J72"/>
      <c r="K72"/>
      <c r="L72"/>
      <c r="M72"/>
      <c r="N72"/>
      <c r="O72"/>
      <c r="P72"/>
      <c r="Q72"/>
    </row>
    <row r="73" spans="1:17" s="143" customFormat="1" ht="14.25" x14ac:dyDescent="0.2">
      <c r="A73" s="1619"/>
      <c r="B73" s="1277" t="s">
        <v>443</v>
      </c>
      <c r="C73" s="1268" t="s">
        <v>518</v>
      </c>
      <c r="E73"/>
      <c r="F73"/>
      <c r="G73"/>
      <c r="H73"/>
      <c r="I73"/>
      <c r="J73"/>
      <c r="K73"/>
      <c r="L73"/>
      <c r="M73"/>
      <c r="N73"/>
      <c r="O73"/>
      <c r="P73"/>
      <c r="Q73"/>
    </row>
    <row r="74" spans="1:17" s="143" customFormat="1" ht="14.25" x14ac:dyDescent="0.2">
      <c r="A74" s="1619"/>
      <c r="B74" s="1277" t="s">
        <v>444</v>
      </c>
      <c r="C74" s="1268" t="s">
        <v>519</v>
      </c>
      <c r="E74"/>
      <c r="F74"/>
      <c r="G74"/>
      <c r="H74"/>
      <c r="I74"/>
      <c r="J74"/>
      <c r="K74"/>
      <c r="L74"/>
      <c r="M74"/>
      <c r="N74"/>
      <c r="O74"/>
      <c r="P74"/>
      <c r="Q74"/>
    </row>
    <row r="75" spans="1:17" s="143" customFormat="1" ht="14.25" x14ac:dyDescent="0.2">
      <c r="A75" s="1619"/>
      <c r="B75" s="1277" t="s">
        <v>445</v>
      </c>
      <c r="C75" s="1268" t="s">
        <v>517</v>
      </c>
      <c r="E75"/>
      <c r="F75"/>
      <c r="G75"/>
      <c r="H75"/>
      <c r="I75"/>
      <c r="J75"/>
      <c r="K75"/>
      <c r="L75"/>
      <c r="M75"/>
      <c r="N75"/>
      <c r="O75"/>
      <c r="P75"/>
      <c r="Q75"/>
    </row>
    <row r="76" spans="1:17" s="143" customFormat="1" ht="14.25" x14ac:dyDescent="0.2">
      <c r="A76" s="1619"/>
      <c r="B76" s="1277" t="s">
        <v>908</v>
      </c>
      <c r="C76" s="1268" t="s">
        <v>581</v>
      </c>
      <c r="E76"/>
      <c r="F76"/>
      <c r="G76"/>
      <c r="H76"/>
      <c r="I76"/>
      <c r="J76"/>
      <c r="K76"/>
      <c r="L76"/>
      <c r="M76"/>
      <c r="N76"/>
      <c r="O76"/>
      <c r="P76"/>
      <c r="Q76"/>
    </row>
    <row r="77" spans="1:17" s="143" customFormat="1" ht="14.25" x14ac:dyDescent="0.2">
      <c r="A77" s="1619"/>
      <c r="B77" s="1277" t="s">
        <v>909</v>
      </c>
      <c r="C77" s="1268" t="s">
        <v>582</v>
      </c>
      <c r="E77"/>
      <c r="F77"/>
      <c r="G77"/>
      <c r="H77"/>
      <c r="I77"/>
      <c r="J77"/>
      <c r="K77"/>
      <c r="L77"/>
      <c r="M77"/>
      <c r="N77"/>
      <c r="O77"/>
      <c r="P77"/>
      <c r="Q77"/>
    </row>
    <row r="78" spans="1:17" s="143" customFormat="1" ht="14.25" x14ac:dyDescent="0.2">
      <c r="A78" s="1619"/>
      <c r="B78" s="1277" t="s">
        <v>910</v>
      </c>
      <c r="C78" s="1268" t="s">
        <v>583</v>
      </c>
      <c r="E78"/>
      <c r="F78"/>
      <c r="G78"/>
      <c r="H78"/>
      <c r="I78"/>
      <c r="J78"/>
      <c r="K78"/>
      <c r="L78"/>
      <c r="M78"/>
      <c r="N78"/>
      <c r="O78"/>
      <c r="P78"/>
      <c r="Q78"/>
    </row>
    <row r="79" spans="1:17" s="143" customFormat="1" ht="14.25" x14ac:dyDescent="0.2">
      <c r="A79" s="1618"/>
      <c r="B79" s="1279" t="s">
        <v>1067</v>
      </c>
      <c r="C79" s="1269" t="s">
        <v>517</v>
      </c>
      <c r="E79"/>
      <c r="F79"/>
      <c r="G79"/>
      <c r="H79"/>
      <c r="I79"/>
      <c r="J79"/>
      <c r="K79"/>
      <c r="L79"/>
      <c r="M79"/>
      <c r="N79"/>
      <c r="O79"/>
      <c r="P79"/>
      <c r="Q79"/>
    </row>
    <row r="80" spans="1:17" s="143" customFormat="1" x14ac:dyDescent="0.2">
      <c r="A80" s="1272"/>
      <c r="E80"/>
      <c r="F80"/>
      <c r="G80"/>
      <c r="H80"/>
      <c r="I80"/>
      <c r="J80"/>
      <c r="K80"/>
      <c r="L80"/>
      <c r="M80"/>
      <c r="N80"/>
      <c r="O80"/>
      <c r="P80"/>
      <c r="Q80"/>
    </row>
    <row r="81" spans="1:17" s="143" customFormat="1" ht="14.25" x14ac:dyDescent="0.2">
      <c r="A81" s="1617" t="s">
        <v>368</v>
      </c>
      <c r="B81" s="1275" t="s">
        <v>446</v>
      </c>
      <c r="C81" s="1267" t="s">
        <v>520</v>
      </c>
      <c r="E81"/>
      <c r="F81"/>
      <c r="G81"/>
      <c r="H81"/>
      <c r="I81"/>
      <c r="J81"/>
      <c r="K81"/>
      <c r="L81"/>
      <c r="M81"/>
      <c r="N81"/>
      <c r="O81"/>
      <c r="P81"/>
      <c r="Q81"/>
    </row>
    <row r="82" spans="1:17" s="143" customFormat="1" ht="14.25" x14ac:dyDescent="0.2">
      <c r="A82" s="1619"/>
      <c r="B82" s="1277" t="s">
        <v>447</v>
      </c>
      <c r="C82" s="1268" t="s">
        <v>521</v>
      </c>
      <c r="E82"/>
      <c r="F82"/>
      <c r="G82"/>
      <c r="H82"/>
      <c r="I82"/>
      <c r="J82"/>
      <c r="K82"/>
      <c r="L82"/>
      <c r="M82"/>
      <c r="N82"/>
      <c r="O82"/>
      <c r="P82"/>
      <c r="Q82"/>
    </row>
    <row r="83" spans="1:17" s="143" customFormat="1" ht="14.25" x14ac:dyDescent="0.2">
      <c r="A83" s="1619"/>
      <c r="B83" s="1277" t="s">
        <v>448</v>
      </c>
      <c r="C83" s="1268" t="s">
        <v>522</v>
      </c>
      <c r="E83"/>
      <c r="F83"/>
      <c r="G83"/>
      <c r="H83"/>
      <c r="I83"/>
      <c r="J83"/>
      <c r="K83"/>
      <c r="L83"/>
      <c r="M83"/>
      <c r="N83"/>
      <c r="O83"/>
      <c r="P83"/>
      <c r="Q83"/>
    </row>
    <row r="84" spans="1:17" s="143" customFormat="1" ht="14.25" x14ac:dyDescent="0.2">
      <c r="A84" s="1619"/>
      <c r="B84" s="1277" t="s">
        <v>449</v>
      </c>
      <c r="C84" s="1268" t="s">
        <v>523</v>
      </c>
      <c r="E84"/>
      <c r="F84"/>
      <c r="G84"/>
      <c r="H84"/>
      <c r="I84"/>
      <c r="J84"/>
      <c r="K84"/>
      <c r="L84"/>
      <c r="M84"/>
      <c r="N84"/>
      <c r="O84"/>
      <c r="P84"/>
      <c r="Q84"/>
    </row>
    <row r="85" spans="1:17" s="143" customFormat="1" ht="14.25" x14ac:dyDescent="0.2">
      <c r="A85" s="1619"/>
      <c r="B85" s="1277" t="s">
        <v>450</v>
      </c>
      <c r="C85" s="1268" t="s">
        <v>524</v>
      </c>
      <c r="E85"/>
      <c r="F85"/>
      <c r="G85"/>
      <c r="H85"/>
      <c r="I85"/>
      <c r="J85"/>
      <c r="K85"/>
      <c r="L85"/>
      <c r="M85"/>
      <c r="N85"/>
      <c r="O85"/>
      <c r="P85"/>
      <c r="Q85"/>
    </row>
    <row r="86" spans="1:17" s="143" customFormat="1" x14ac:dyDescent="0.2">
      <c r="A86" s="1594"/>
      <c r="B86" s="1277" t="s">
        <v>451</v>
      </c>
      <c r="C86" s="1268" t="s">
        <v>525</v>
      </c>
      <c r="E86"/>
      <c r="F86"/>
      <c r="G86"/>
      <c r="H86"/>
      <c r="I86"/>
      <c r="J86"/>
      <c r="K86"/>
      <c r="L86"/>
      <c r="M86"/>
      <c r="N86"/>
      <c r="O86"/>
      <c r="P86"/>
      <c r="Q86"/>
    </row>
    <row r="87" spans="1:17" s="143" customFormat="1" x14ac:dyDescent="0.2">
      <c r="A87" s="1594"/>
      <c r="B87" s="1277" t="s">
        <v>452</v>
      </c>
      <c r="C87" s="1268" t="s">
        <v>526</v>
      </c>
      <c r="E87"/>
      <c r="F87"/>
      <c r="G87"/>
      <c r="H87"/>
      <c r="I87"/>
      <c r="J87"/>
      <c r="K87"/>
      <c r="L87"/>
      <c r="M87"/>
      <c r="N87"/>
      <c r="O87"/>
      <c r="P87"/>
      <c r="Q87"/>
    </row>
    <row r="88" spans="1:17" s="143" customFormat="1" x14ac:dyDescent="0.2">
      <c r="A88" s="1594"/>
      <c r="B88" s="1277" t="s">
        <v>453</v>
      </c>
      <c r="C88" s="1268" t="s">
        <v>527</v>
      </c>
      <c r="E88"/>
      <c r="F88"/>
      <c r="G88"/>
      <c r="H88"/>
      <c r="I88"/>
      <c r="J88"/>
      <c r="K88"/>
      <c r="L88"/>
      <c r="M88"/>
      <c r="N88"/>
      <c r="O88"/>
      <c r="P88"/>
      <c r="Q88"/>
    </row>
    <row r="89" spans="1:17" s="143" customFormat="1" x14ac:dyDescent="0.2">
      <c r="A89" s="1594"/>
      <c r="B89" s="1277" t="s">
        <v>454</v>
      </c>
      <c r="C89" s="1268" t="s">
        <v>528</v>
      </c>
      <c r="E89"/>
      <c r="F89"/>
      <c r="G89"/>
      <c r="H89"/>
      <c r="I89"/>
      <c r="J89"/>
      <c r="K89"/>
      <c r="L89"/>
      <c r="M89"/>
      <c r="N89"/>
      <c r="O89"/>
      <c r="P89"/>
      <c r="Q89"/>
    </row>
    <row r="90" spans="1:17" s="143" customFormat="1" x14ac:dyDescent="0.2">
      <c r="A90" s="1594"/>
      <c r="B90" s="1277" t="s">
        <v>455</v>
      </c>
      <c r="C90" s="1268" t="s">
        <v>529</v>
      </c>
      <c r="E90"/>
      <c r="F90"/>
      <c r="G90"/>
      <c r="H90"/>
      <c r="I90"/>
      <c r="J90"/>
      <c r="K90"/>
      <c r="L90"/>
      <c r="M90"/>
      <c r="N90"/>
      <c r="O90"/>
      <c r="P90"/>
      <c r="Q90"/>
    </row>
    <row r="91" spans="1:17" s="143" customFormat="1" x14ac:dyDescent="0.2">
      <c r="A91" s="1594"/>
      <c r="B91" s="1277" t="s">
        <v>456</v>
      </c>
      <c r="C91" s="1268" t="s">
        <v>530</v>
      </c>
      <c r="E91"/>
      <c r="F91"/>
      <c r="G91"/>
      <c r="H91"/>
      <c r="I91"/>
      <c r="J91"/>
      <c r="K91"/>
      <c r="L91"/>
      <c r="M91"/>
      <c r="N91"/>
      <c r="O91"/>
      <c r="P91"/>
      <c r="Q91"/>
    </row>
    <row r="92" spans="1:17" s="143" customFormat="1" x14ac:dyDescent="0.2">
      <c r="A92" s="1594"/>
      <c r="B92" s="1277" t="s">
        <v>457</v>
      </c>
      <c r="C92" s="1268" t="s">
        <v>531</v>
      </c>
      <c r="E92"/>
      <c r="F92"/>
      <c r="G92"/>
      <c r="H92"/>
      <c r="I92"/>
      <c r="J92"/>
      <c r="K92"/>
      <c r="L92"/>
      <c r="M92"/>
      <c r="N92"/>
      <c r="O92"/>
      <c r="P92"/>
      <c r="Q92"/>
    </row>
    <row r="93" spans="1:17" s="143" customFormat="1" x14ac:dyDescent="0.2">
      <c r="A93" s="1594"/>
      <c r="B93" s="1277" t="s">
        <v>458</v>
      </c>
      <c r="C93" s="1268" t="s">
        <v>532</v>
      </c>
      <c r="E93"/>
      <c r="F93"/>
      <c r="G93"/>
      <c r="H93"/>
      <c r="I93"/>
      <c r="J93"/>
      <c r="K93"/>
      <c r="L93"/>
      <c r="M93"/>
      <c r="N93"/>
      <c r="O93"/>
      <c r="P93"/>
      <c r="Q93"/>
    </row>
    <row r="94" spans="1:17" s="143" customFormat="1" x14ac:dyDescent="0.2">
      <c r="A94" s="1594"/>
      <c r="B94" s="1277" t="s">
        <v>459</v>
      </c>
      <c r="C94" s="1268" t="s">
        <v>533</v>
      </c>
      <c r="E94"/>
      <c r="F94"/>
      <c r="G94"/>
      <c r="H94"/>
      <c r="I94"/>
      <c r="J94"/>
      <c r="K94"/>
      <c r="L94"/>
      <c r="M94"/>
      <c r="N94"/>
      <c r="O94"/>
      <c r="P94"/>
      <c r="Q94"/>
    </row>
    <row r="95" spans="1:17" s="143" customFormat="1" x14ac:dyDescent="0.2">
      <c r="A95" s="1594"/>
      <c r="B95" s="1277" t="s">
        <v>460</v>
      </c>
      <c r="C95" s="1268" t="s">
        <v>534</v>
      </c>
      <c r="E95"/>
      <c r="F95"/>
      <c r="G95"/>
      <c r="H95"/>
      <c r="I95"/>
      <c r="J95"/>
      <c r="K95"/>
      <c r="L95"/>
      <c r="M95"/>
      <c r="N95"/>
      <c r="O95"/>
      <c r="P95"/>
      <c r="Q95"/>
    </row>
    <row r="96" spans="1:17" s="143" customFormat="1" x14ac:dyDescent="0.2">
      <c r="A96" s="1594"/>
      <c r="B96" s="1277" t="s">
        <v>461</v>
      </c>
      <c r="C96" s="1268" t="s">
        <v>535</v>
      </c>
      <c r="E96"/>
      <c r="F96"/>
      <c r="G96"/>
      <c r="H96"/>
      <c r="I96"/>
      <c r="J96"/>
      <c r="K96"/>
      <c r="L96"/>
      <c r="M96"/>
      <c r="N96"/>
      <c r="O96"/>
      <c r="P96"/>
      <c r="Q96"/>
    </row>
    <row r="97" spans="1:17" s="143" customFormat="1" x14ac:dyDescent="0.2">
      <c r="A97" s="1594"/>
      <c r="B97" s="1277" t="s">
        <v>462</v>
      </c>
      <c r="C97" s="1268" t="s">
        <v>536</v>
      </c>
      <c r="E97"/>
      <c r="F97"/>
      <c r="G97"/>
      <c r="H97"/>
      <c r="I97"/>
      <c r="J97"/>
      <c r="K97"/>
      <c r="L97"/>
      <c r="M97"/>
      <c r="N97"/>
      <c r="O97"/>
      <c r="P97"/>
      <c r="Q97"/>
    </row>
    <row r="98" spans="1:17" s="143" customFormat="1" x14ac:dyDescent="0.2">
      <c r="A98" s="1594"/>
      <c r="B98" s="1277" t="s">
        <v>463</v>
      </c>
      <c r="C98" s="1268" t="s">
        <v>537</v>
      </c>
      <c r="E98"/>
      <c r="F98"/>
      <c r="G98"/>
      <c r="H98"/>
      <c r="I98"/>
      <c r="J98"/>
      <c r="K98"/>
      <c r="L98"/>
      <c r="M98"/>
      <c r="N98"/>
      <c r="O98"/>
      <c r="P98"/>
      <c r="Q98"/>
    </row>
    <row r="99" spans="1:17" s="143" customFormat="1" x14ac:dyDescent="0.2">
      <c r="A99" s="1594"/>
      <c r="B99" s="1277" t="s">
        <v>464</v>
      </c>
      <c r="C99" s="1268" t="s">
        <v>538</v>
      </c>
      <c r="E99"/>
      <c r="F99"/>
      <c r="G99"/>
      <c r="H99"/>
      <c r="I99"/>
      <c r="J99"/>
      <c r="K99"/>
      <c r="L99"/>
      <c r="M99"/>
      <c r="N99"/>
      <c r="O99"/>
      <c r="P99"/>
      <c r="Q99"/>
    </row>
    <row r="100" spans="1:17" s="143" customFormat="1" x14ac:dyDescent="0.2">
      <c r="A100" s="1594"/>
      <c r="B100" s="1277" t="s">
        <v>465</v>
      </c>
      <c r="C100" s="1268" t="s">
        <v>539</v>
      </c>
      <c r="E100"/>
      <c r="F100"/>
      <c r="G100"/>
      <c r="H100"/>
      <c r="I100"/>
      <c r="J100"/>
      <c r="K100"/>
      <c r="L100"/>
      <c r="M100"/>
      <c r="N100"/>
      <c r="O100"/>
      <c r="P100"/>
      <c r="Q100"/>
    </row>
    <row r="101" spans="1:17" s="143" customFormat="1" x14ac:dyDescent="0.2">
      <c r="A101" s="1594"/>
      <c r="B101" s="1277" t="s">
        <v>466</v>
      </c>
      <c r="C101" s="1268" t="s">
        <v>540</v>
      </c>
      <c r="E101"/>
      <c r="F101"/>
      <c r="G101"/>
      <c r="H101"/>
      <c r="I101"/>
      <c r="J101"/>
      <c r="K101"/>
      <c r="L101"/>
      <c r="M101"/>
      <c r="N101"/>
      <c r="O101"/>
      <c r="P101"/>
      <c r="Q101"/>
    </row>
    <row r="102" spans="1:17" s="143" customFormat="1" x14ac:dyDescent="0.2">
      <c r="A102" s="1594"/>
      <c r="B102" s="1277" t="s">
        <v>467</v>
      </c>
      <c r="C102" s="1268" t="s">
        <v>542</v>
      </c>
      <c r="E102"/>
      <c r="F102"/>
      <c r="G102"/>
      <c r="H102"/>
      <c r="I102"/>
      <c r="J102"/>
      <c r="K102"/>
      <c r="L102"/>
      <c r="M102"/>
      <c r="N102"/>
      <c r="O102"/>
      <c r="P102"/>
      <c r="Q102"/>
    </row>
    <row r="103" spans="1:17" s="143" customFormat="1" x14ac:dyDescent="0.2">
      <c r="A103" s="1594"/>
      <c r="B103" s="1277" t="s">
        <v>468</v>
      </c>
      <c r="C103" s="1268" t="s">
        <v>541</v>
      </c>
      <c r="E103"/>
      <c r="F103"/>
      <c r="G103"/>
      <c r="H103"/>
      <c r="I103"/>
      <c r="J103"/>
      <c r="K103"/>
      <c r="L103"/>
      <c r="M103"/>
      <c r="N103"/>
      <c r="O103"/>
      <c r="P103"/>
      <c r="Q103"/>
    </row>
    <row r="104" spans="1:17" s="143" customFormat="1" x14ac:dyDescent="0.2">
      <c r="A104" s="1593"/>
      <c r="B104" s="1279" t="s">
        <v>1068</v>
      </c>
      <c r="C104" s="1269" t="s">
        <v>914</v>
      </c>
      <c r="E104"/>
      <c r="F104"/>
      <c r="G104"/>
      <c r="H104"/>
      <c r="I104"/>
      <c r="J104"/>
      <c r="K104"/>
      <c r="L104"/>
      <c r="M104"/>
      <c r="N104"/>
      <c r="O104"/>
      <c r="P104"/>
      <c r="Q104"/>
    </row>
    <row r="105" spans="1:17" s="143" customFormat="1" x14ac:dyDescent="0.2">
      <c r="A105" s="1272"/>
      <c r="E105"/>
      <c r="F105"/>
      <c r="G105"/>
      <c r="H105"/>
      <c r="I105"/>
      <c r="J105"/>
      <c r="K105"/>
      <c r="L105"/>
      <c r="M105"/>
      <c r="N105"/>
      <c r="O105"/>
      <c r="P105"/>
      <c r="Q105"/>
    </row>
    <row r="106" spans="1:17" s="143" customFormat="1" ht="14.25" x14ac:dyDescent="0.2">
      <c r="A106" s="1617" t="s">
        <v>372</v>
      </c>
      <c r="B106" s="1275" t="s">
        <v>469</v>
      </c>
      <c r="C106" s="1267" t="s">
        <v>543</v>
      </c>
      <c r="E106"/>
      <c r="F106"/>
      <c r="G106"/>
      <c r="H106"/>
      <c r="I106"/>
      <c r="J106"/>
      <c r="K106"/>
      <c r="L106"/>
      <c r="M106"/>
      <c r="N106"/>
      <c r="O106"/>
      <c r="P106"/>
      <c r="Q106"/>
    </row>
    <row r="107" spans="1:17" s="143" customFormat="1" ht="14.25" x14ac:dyDescent="0.2">
      <c r="A107" s="1619"/>
      <c r="B107" s="1277" t="s">
        <v>470</v>
      </c>
      <c r="C107" s="1268" t="s">
        <v>544</v>
      </c>
      <c r="E107"/>
      <c r="F107"/>
      <c r="G107"/>
      <c r="H107"/>
      <c r="I107"/>
      <c r="J107"/>
      <c r="K107"/>
      <c r="L107"/>
      <c r="M107"/>
      <c r="N107"/>
      <c r="O107"/>
      <c r="P107"/>
      <c r="Q107"/>
    </row>
    <row r="108" spans="1:17" s="143" customFormat="1" ht="14.25" x14ac:dyDescent="0.2">
      <c r="A108" s="1618"/>
      <c r="B108" s="1279" t="s">
        <v>471</v>
      </c>
      <c r="C108" s="1269" t="s">
        <v>545</v>
      </c>
      <c r="E108"/>
      <c r="F108"/>
      <c r="G108"/>
      <c r="H108"/>
      <c r="I108"/>
      <c r="J108"/>
      <c r="K108"/>
      <c r="L108"/>
      <c r="M108"/>
      <c r="N108"/>
      <c r="O108"/>
      <c r="P108"/>
      <c r="Q108"/>
    </row>
    <row r="109" spans="1:17" s="143" customFormat="1" x14ac:dyDescent="0.2">
      <c r="A109" s="1272"/>
      <c r="E109"/>
      <c r="F109"/>
      <c r="G109"/>
      <c r="H109"/>
      <c r="I109"/>
      <c r="J109"/>
      <c r="K109"/>
      <c r="L109"/>
      <c r="M109"/>
      <c r="N109"/>
      <c r="O109"/>
      <c r="P109"/>
      <c r="Q109"/>
    </row>
    <row r="110" spans="1:17" s="143" customFormat="1" ht="14.25" x14ac:dyDescent="0.2">
      <c r="A110" s="1617" t="s">
        <v>376</v>
      </c>
      <c r="B110" s="1275" t="s">
        <v>472</v>
      </c>
      <c r="C110" s="1267" t="s">
        <v>546</v>
      </c>
      <c r="E110"/>
      <c r="F110"/>
      <c r="G110"/>
      <c r="H110"/>
      <c r="I110"/>
      <c r="J110"/>
      <c r="K110"/>
      <c r="L110"/>
      <c r="M110"/>
      <c r="N110"/>
      <c r="O110"/>
      <c r="P110"/>
      <c r="Q110"/>
    </row>
    <row r="111" spans="1:17" s="143" customFormat="1" ht="14.25" x14ac:dyDescent="0.2">
      <c r="A111" s="1619"/>
      <c r="B111" s="1277" t="s">
        <v>473</v>
      </c>
      <c r="C111" s="1268" t="s">
        <v>547</v>
      </c>
      <c r="E111"/>
      <c r="F111"/>
      <c r="G111"/>
      <c r="H111"/>
      <c r="I111"/>
      <c r="J111"/>
      <c r="K111"/>
      <c r="L111"/>
      <c r="M111"/>
      <c r="N111"/>
      <c r="O111"/>
      <c r="P111"/>
      <c r="Q111"/>
    </row>
    <row r="112" spans="1:17" s="143" customFormat="1" ht="14.25" x14ac:dyDescent="0.2">
      <c r="A112" s="1619"/>
      <c r="B112" s="1277" t="s">
        <v>474</v>
      </c>
      <c r="C112" s="1268" t="s">
        <v>548</v>
      </c>
      <c r="E112"/>
      <c r="F112"/>
      <c r="G112"/>
      <c r="H112"/>
      <c r="I112"/>
      <c r="J112"/>
      <c r="K112"/>
      <c r="L112"/>
      <c r="M112"/>
      <c r="N112"/>
      <c r="O112"/>
      <c r="P112"/>
      <c r="Q112"/>
    </row>
    <row r="113" spans="1:17" s="143" customFormat="1" ht="14.25" x14ac:dyDescent="0.2">
      <c r="A113" s="1619"/>
      <c r="B113" s="1277" t="s">
        <v>475</v>
      </c>
      <c r="C113" s="1268" t="s">
        <v>549</v>
      </c>
      <c r="E113"/>
      <c r="F113"/>
      <c r="G113"/>
      <c r="H113"/>
      <c r="I113"/>
      <c r="J113"/>
      <c r="K113"/>
      <c r="L113"/>
      <c r="M113"/>
      <c r="N113"/>
      <c r="O113"/>
      <c r="P113"/>
      <c r="Q113"/>
    </row>
    <row r="114" spans="1:17" s="143" customFormat="1" ht="14.25" x14ac:dyDescent="0.2">
      <c r="A114" s="1618"/>
      <c r="B114" s="1279" t="s">
        <v>1069</v>
      </c>
      <c r="C114" s="1269" t="s">
        <v>923</v>
      </c>
      <c r="E114"/>
      <c r="F114"/>
      <c r="G114"/>
      <c r="H114"/>
      <c r="I114"/>
      <c r="J114"/>
      <c r="K114"/>
      <c r="L114"/>
      <c r="M114"/>
      <c r="N114"/>
      <c r="O114"/>
      <c r="P114"/>
      <c r="Q114"/>
    </row>
    <row r="115" spans="1:17" s="143" customFormat="1" x14ac:dyDescent="0.2">
      <c r="A115" s="1272"/>
      <c r="E115"/>
      <c r="F115"/>
      <c r="G115"/>
      <c r="H115"/>
      <c r="I115"/>
      <c r="J115"/>
      <c r="K115"/>
      <c r="L115"/>
      <c r="M115"/>
      <c r="N115"/>
      <c r="O115"/>
      <c r="P115"/>
      <c r="Q115"/>
    </row>
    <row r="116" spans="1:17" s="143" customFormat="1" ht="14.25" x14ac:dyDescent="0.2">
      <c r="A116" s="1617" t="s">
        <v>373</v>
      </c>
      <c r="B116" s="1275" t="s">
        <v>476</v>
      </c>
      <c r="C116" s="1267" t="s">
        <v>550</v>
      </c>
      <c r="E116"/>
      <c r="F116"/>
      <c r="G116"/>
      <c r="H116"/>
      <c r="I116"/>
      <c r="J116"/>
      <c r="K116"/>
      <c r="L116"/>
      <c r="M116"/>
      <c r="N116"/>
      <c r="O116"/>
      <c r="P116"/>
      <c r="Q116"/>
    </row>
    <row r="117" spans="1:17" s="143" customFormat="1" ht="14.25" x14ac:dyDescent="0.2">
      <c r="A117" s="1619"/>
      <c r="B117" s="1277" t="s">
        <v>477</v>
      </c>
      <c r="C117" s="1268" t="s">
        <v>551</v>
      </c>
      <c r="E117"/>
      <c r="F117"/>
      <c r="G117"/>
      <c r="H117"/>
      <c r="I117"/>
      <c r="J117"/>
      <c r="K117"/>
      <c r="L117"/>
      <c r="M117"/>
      <c r="N117"/>
      <c r="O117"/>
      <c r="P117"/>
      <c r="Q117"/>
    </row>
    <row r="118" spans="1:17" s="143" customFormat="1" ht="14.25" x14ac:dyDescent="0.2">
      <c r="A118" s="1619"/>
      <c r="B118" s="1277" t="s">
        <v>478</v>
      </c>
      <c r="C118" s="1268" t="s">
        <v>552</v>
      </c>
      <c r="E118"/>
      <c r="F118"/>
      <c r="G118"/>
      <c r="H118"/>
      <c r="I118"/>
      <c r="J118"/>
      <c r="K118"/>
      <c r="L118"/>
      <c r="M118"/>
      <c r="N118"/>
      <c r="O118"/>
      <c r="P118"/>
      <c r="Q118"/>
    </row>
    <row r="119" spans="1:17" s="143" customFormat="1" ht="14.25" x14ac:dyDescent="0.2">
      <c r="A119" s="1618"/>
      <c r="B119" s="1279" t="s">
        <v>479</v>
      </c>
      <c r="C119" s="1269" t="s">
        <v>553</v>
      </c>
      <c r="E119"/>
      <c r="F119"/>
      <c r="G119"/>
      <c r="H119"/>
      <c r="I119"/>
      <c r="J119"/>
      <c r="K119"/>
      <c r="L119"/>
      <c r="M119"/>
      <c r="N119"/>
      <c r="O119"/>
      <c r="P119"/>
      <c r="Q119"/>
    </row>
    <row r="120" spans="1:17" s="143" customFormat="1" x14ac:dyDescent="0.2">
      <c r="A120" s="1272"/>
      <c r="E120"/>
      <c r="F120"/>
      <c r="G120"/>
      <c r="H120"/>
      <c r="I120"/>
      <c r="J120"/>
      <c r="K120"/>
      <c r="L120"/>
      <c r="M120"/>
      <c r="N120"/>
      <c r="O120"/>
      <c r="P120"/>
      <c r="Q120"/>
    </row>
    <row r="121" spans="1:17" s="143" customFormat="1" ht="14.25" x14ac:dyDescent="0.2">
      <c r="A121" s="1617" t="s">
        <v>377</v>
      </c>
      <c r="B121" s="1275" t="s">
        <v>480</v>
      </c>
      <c r="C121" s="1267" t="s">
        <v>554</v>
      </c>
      <c r="E121"/>
      <c r="F121"/>
      <c r="G121"/>
      <c r="H121"/>
      <c r="I121"/>
      <c r="J121"/>
      <c r="K121"/>
      <c r="L121"/>
      <c r="M121"/>
      <c r="N121"/>
      <c r="O121"/>
      <c r="P121"/>
      <c r="Q121"/>
    </row>
    <row r="122" spans="1:17" s="143" customFormat="1" ht="14.25" x14ac:dyDescent="0.2">
      <c r="A122" s="1619"/>
      <c r="B122" s="1277" t="s">
        <v>481</v>
      </c>
      <c r="C122" s="1268" t="s">
        <v>555</v>
      </c>
      <c r="E122"/>
      <c r="F122"/>
      <c r="G122"/>
      <c r="H122"/>
      <c r="I122"/>
      <c r="J122"/>
      <c r="K122"/>
      <c r="L122"/>
      <c r="M122"/>
      <c r="N122"/>
      <c r="O122"/>
      <c r="P122"/>
      <c r="Q122"/>
    </row>
    <row r="123" spans="1:17" s="143" customFormat="1" ht="14.25" x14ac:dyDescent="0.2">
      <c r="A123" s="1618"/>
      <c r="B123" s="1279" t="s">
        <v>482</v>
      </c>
      <c r="C123" s="1269" t="s">
        <v>556</v>
      </c>
      <c r="E123"/>
      <c r="F123"/>
      <c r="G123"/>
      <c r="H123"/>
      <c r="I123"/>
      <c r="J123"/>
      <c r="K123"/>
      <c r="L123"/>
      <c r="M123"/>
      <c r="N123"/>
      <c r="O123"/>
      <c r="P123"/>
      <c r="Q123"/>
    </row>
    <row r="124" spans="1:17" s="143" customFormat="1" x14ac:dyDescent="0.2">
      <c r="A124" s="1272"/>
      <c r="E124"/>
      <c r="F124"/>
      <c r="G124"/>
      <c r="H124"/>
      <c r="I124"/>
      <c r="J124"/>
      <c r="K124"/>
      <c r="L124"/>
      <c r="M124"/>
      <c r="N124"/>
      <c r="O124"/>
      <c r="P124"/>
      <c r="Q124"/>
    </row>
    <row r="125" spans="1:17" s="143" customFormat="1" ht="14.25" x14ac:dyDescent="0.2">
      <c r="A125" s="1617" t="s">
        <v>375</v>
      </c>
      <c r="B125" s="1275" t="s">
        <v>483</v>
      </c>
      <c r="C125" s="1267" t="s">
        <v>557</v>
      </c>
      <c r="E125"/>
      <c r="F125"/>
      <c r="G125"/>
      <c r="H125"/>
      <c r="I125"/>
      <c r="J125"/>
      <c r="K125"/>
      <c r="L125"/>
      <c r="M125"/>
      <c r="N125"/>
      <c r="O125"/>
      <c r="P125"/>
      <c r="Q125"/>
    </row>
    <row r="126" spans="1:17" s="143" customFormat="1" ht="14.25" x14ac:dyDescent="0.2">
      <c r="A126" s="1619"/>
      <c r="B126" s="1277" t="s">
        <v>484</v>
      </c>
      <c r="C126" s="1268" t="s">
        <v>558</v>
      </c>
      <c r="E126"/>
      <c r="F126"/>
      <c r="G126"/>
      <c r="H126"/>
      <c r="I126"/>
      <c r="J126"/>
      <c r="K126"/>
      <c r="L126"/>
      <c r="M126"/>
      <c r="N126"/>
      <c r="O126"/>
      <c r="P126"/>
      <c r="Q126"/>
    </row>
    <row r="127" spans="1:17" s="143" customFormat="1" ht="14.25" x14ac:dyDescent="0.2">
      <c r="A127" s="1619"/>
      <c r="B127" s="1277" t="s">
        <v>909</v>
      </c>
      <c r="C127" s="1268" t="s">
        <v>915</v>
      </c>
      <c r="E127"/>
      <c r="F127"/>
      <c r="G127"/>
      <c r="H127"/>
      <c r="I127"/>
      <c r="J127"/>
      <c r="K127"/>
      <c r="L127"/>
      <c r="M127"/>
      <c r="N127"/>
      <c r="O127"/>
      <c r="P127"/>
      <c r="Q127"/>
    </row>
    <row r="128" spans="1:17" s="143" customFormat="1" ht="14.25" x14ac:dyDescent="0.2">
      <c r="A128" s="1618"/>
      <c r="B128" s="1279" t="s">
        <v>910</v>
      </c>
      <c r="C128" s="1269" t="s">
        <v>1070</v>
      </c>
      <c r="E128"/>
      <c r="F128"/>
      <c r="G128"/>
      <c r="H128"/>
      <c r="I128"/>
      <c r="J128"/>
      <c r="K128"/>
      <c r="L128"/>
      <c r="M128"/>
      <c r="N128"/>
      <c r="O128"/>
      <c r="P128"/>
      <c r="Q128"/>
    </row>
    <row r="129" spans="1:17" s="143" customFormat="1" x14ac:dyDescent="0.2">
      <c r="A129" s="1600"/>
      <c r="B129" s="1601"/>
      <c r="C129" s="1601"/>
      <c r="E129"/>
      <c r="F129"/>
      <c r="G129"/>
      <c r="H129"/>
      <c r="I129"/>
      <c r="J129"/>
      <c r="K129"/>
      <c r="L129"/>
      <c r="M129"/>
      <c r="N129"/>
      <c r="O129"/>
      <c r="P129"/>
      <c r="Q129"/>
    </row>
    <row r="130" spans="1:17" s="143" customFormat="1" ht="14.25" customHeight="1" x14ac:dyDescent="0.2">
      <c r="A130" s="1617" t="s">
        <v>600</v>
      </c>
      <c r="B130" s="1275" t="s">
        <v>155</v>
      </c>
      <c r="C130" s="1267" t="s">
        <v>601</v>
      </c>
      <c r="E130"/>
      <c r="F130"/>
      <c r="G130"/>
      <c r="H130"/>
      <c r="I130"/>
      <c r="J130"/>
      <c r="K130"/>
      <c r="L130"/>
      <c r="M130"/>
      <c r="N130"/>
      <c r="O130"/>
      <c r="P130"/>
      <c r="Q130"/>
    </row>
    <row r="131" spans="1:17" s="143" customFormat="1" ht="14.25" x14ac:dyDescent="0.2">
      <c r="A131" s="1618"/>
      <c r="B131" s="1279" t="s">
        <v>5</v>
      </c>
      <c r="C131" s="1269" t="s">
        <v>602</v>
      </c>
      <c r="E131"/>
      <c r="F131"/>
      <c r="G131"/>
      <c r="H131"/>
      <c r="I131"/>
      <c r="J131"/>
      <c r="K131"/>
      <c r="L131"/>
      <c r="M131"/>
      <c r="N131"/>
      <c r="O131"/>
      <c r="P131"/>
      <c r="Q131"/>
    </row>
    <row r="132" spans="1:17" s="143" customFormat="1" ht="14.25" x14ac:dyDescent="0.2">
      <c r="A132" s="144"/>
      <c r="E132"/>
      <c r="F132"/>
      <c r="G132"/>
      <c r="H132"/>
      <c r="I132"/>
      <c r="J132"/>
      <c r="K132"/>
      <c r="L132"/>
      <c r="M132"/>
      <c r="N132"/>
      <c r="O132"/>
      <c r="P132"/>
      <c r="Q132"/>
    </row>
    <row r="133" spans="1:17" x14ac:dyDescent="0.2">
      <c r="A133"/>
      <c r="B133"/>
      <c r="C133"/>
      <c r="D133"/>
    </row>
    <row r="134" spans="1:17" x14ac:dyDescent="0.2">
      <c r="A134"/>
      <c r="B134"/>
      <c r="C134"/>
      <c r="D134"/>
    </row>
    <row r="135" spans="1:17" x14ac:dyDescent="0.2">
      <c r="A135"/>
      <c r="B135"/>
      <c r="C135"/>
      <c r="D135"/>
    </row>
    <row r="136" spans="1:17" x14ac:dyDescent="0.2">
      <c r="A136"/>
      <c r="B136"/>
      <c r="C136"/>
      <c r="D136"/>
    </row>
    <row r="137" spans="1:17" x14ac:dyDescent="0.2">
      <c r="A137"/>
      <c r="B137"/>
      <c r="C137"/>
      <c r="D137"/>
    </row>
    <row r="138" spans="1:17" x14ac:dyDescent="0.2">
      <c r="A138"/>
      <c r="B138"/>
      <c r="C138"/>
      <c r="D138"/>
    </row>
    <row r="139" spans="1:17" x14ac:dyDescent="0.2">
      <c r="A139"/>
      <c r="B139"/>
      <c r="C139"/>
      <c r="D139"/>
    </row>
    <row r="140" spans="1:17" x14ac:dyDescent="0.2">
      <c r="A140"/>
      <c r="B140"/>
      <c r="C140"/>
      <c r="D140"/>
    </row>
    <row r="141" spans="1:17" x14ac:dyDescent="0.2">
      <c r="A141"/>
      <c r="B141"/>
      <c r="C141"/>
      <c r="D141"/>
    </row>
    <row r="142" spans="1:17" x14ac:dyDescent="0.2">
      <c r="A142"/>
      <c r="B142"/>
      <c r="C142"/>
      <c r="D142"/>
    </row>
    <row r="143" spans="1:17" x14ac:dyDescent="0.2">
      <c r="A143"/>
      <c r="B143"/>
      <c r="C143"/>
      <c r="D143"/>
    </row>
    <row r="144" spans="1:17" x14ac:dyDescent="0.2">
      <c r="A144"/>
      <c r="B144"/>
      <c r="C144"/>
      <c r="D144"/>
    </row>
    <row r="145" spans="1:4" x14ac:dyDescent="0.2">
      <c r="A145"/>
      <c r="B145"/>
      <c r="C145"/>
      <c r="D145"/>
    </row>
  </sheetData>
  <sheetProtection algorithmName="SHA-512" hashValue="JGMZAs3o/Byix76wCoR4fJrdyEAMBje7bQ3/yofGWdLKJubq0mqYDTF+GxaIwhvvihAXSC3lK+kWjG+dZa+uUQ==" saltValue="gIJAZNw9wUGSr8T3b2/hFg==" spinCount="100000" sheet="1" objects="1" scenarios="1"/>
  <mergeCells count="14">
    <mergeCell ref="A130:A131"/>
    <mergeCell ref="A81:A85"/>
    <mergeCell ref="A68:A79"/>
    <mergeCell ref="A12:A18"/>
    <mergeCell ref="A20:A26"/>
    <mergeCell ref="A39:A49"/>
    <mergeCell ref="A28:A37"/>
    <mergeCell ref="A51:A56"/>
    <mergeCell ref="A58:A66"/>
    <mergeCell ref="A106:A108"/>
    <mergeCell ref="A121:A123"/>
    <mergeCell ref="A110:A114"/>
    <mergeCell ref="A116:A119"/>
    <mergeCell ref="A125:A128"/>
  </mergeCells>
  <hyperlinks>
    <hyperlink ref="B12" location="Table1" display="Table 1" xr:uid="{00000000-0004-0000-0100-000000000000}"/>
    <hyperlink ref="B13" location="Table1a" display="Table 1a" xr:uid="{00000000-0004-0000-0100-000001000000}"/>
    <hyperlink ref="B20" location="Table2" display="Table 2" xr:uid="{00000000-0004-0000-0100-000002000000}"/>
    <hyperlink ref="B21" location="'2 2a 2b'!Table2a" display="Table 2a" xr:uid="{00000000-0004-0000-0100-000003000000}"/>
    <hyperlink ref="B22" location="'2 2a 2b'!Table2b" display="Table 2b" xr:uid="{00000000-0004-0000-0100-000004000000}"/>
    <hyperlink ref="B23" location="Table3" display="Table 3" xr:uid="{00000000-0004-0000-0100-000005000000}"/>
    <hyperlink ref="B24" location="Table3a" display="Table 3a" xr:uid="{00000000-0004-0000-0100-000006000000}"/>
    <hyperlink ref="B26" location="'Figure 8'!A1" display="Figure 8" xr:uid="{00000000-0004-0000-0100-000007000000}"/>
    <hyperlink ref="B28" location="Table4" display="Table 4" xr:uid="{00000000-0004-0000-0100-000008000000}"/>
    <hyperlink ref="B29" location="Table4a" display="Table 4a" xr:uid="{00000000-0004-0000-0100-000009000000}"/>
    <hyperlink ref="B30" location="Table4b" display="Table 4b" xr:uid="{00000000-0004-0000-0100-00000A000000}"/>
    <hyperlink ref="B32" location="Table4d" display="Table 4d" xr:uid="{00000000-0004-0000-0100-00000B000000}"/>
    <hyperlink ref="B33" location="Table4e" display="Table 4e" xr:uid="{00000000-0004-0000-0100-00000C000000}"/>
    <hyperlink ref="B34" location="Table5" display="Table 5" xr:uid="{00000000-0004-0000-0100-00000D000000}"/>
    <hyperlink ref="B39" location="Table6" display="Table 6" xr:uid="{00000000-0004-0000-0100-00000E000000}"/>
    <hyperlink ref="B40" location="Table6a" display="Table 6a" xr:uid="{00000000-0004-0000-0100-00000F000000}"/>
    <hyperlink ref="B41" location="'6b'!A1" display="Table 6b" xr:uid="{00000000-0004-0000-0100-000010000000}"/>
    <hyperlink ref="B42" location="Table6c" display="Table 6c" xr:uid="{00000000-0004-0000-0100-000011000000}"/>
    <hyperlink ref="B43" location="'6c 6d'!A17" display="Table 6d" xr:uid="{00000000-0004-0000-0100-000012000000}"/>
    <hyperlink ref="B51" location="Table8" display="Table 8" xr:uid="{00000000-0004-0000-0100-000013000000}"/>
    <hyperlink ref="B52" location="Table8a" display="Table 8a" xr:uid="{00000000-0004-0000-0100-000014000000}"/>
    <hyperlink ref="B53" location="Table9" display="Table 9" xr:uid="{00000000-0004-0000-0100-000015000000}"/>
    <hyperlink ref="B54" location="Table9a" display="Table 9a" xr:uid="{00000000-0004-0000-0100-000016000000}"/>
    <hyperlink ref="B58" location="Table10" display="Table 10" xr:uid="{00000000-0004-0000-0100-000017000000}"/>
    <hyperlink ref="B59" location="Table10a" display="Table 10a" xr:uid="{00000000-0004-0000-0100-000018000000}"/>
    <hyperlink ref="B60" location="Table10b" display="Table 10b" xr:uid="{00000000-0004-0000-0100-000019000000}"/>
    <hyperlink ref="B68" location="Table11" display="Table 11" xr:uid="{00000000-0004-0000-0100-00001A000000}"/>
    <hyperlink ref="B69" location="Table11a" display="Table 11a" xr:uid="{00000000-0004-0000-0100-00001B000000}"/>
    <hyperlink ref="B70" location="Table11b" display="Table 11b" xr:uid="{00000000-0004-0000-0100-00001C000000}"/>
    <hyperlink ref="B71" location="Table12" display="Table 12" xr:uid="{00000000-0004-0000-0100-00001D000000}"/>
    <hyperlink ref="B72" location="Table12a" display="Table 12a" xr:uid="{00000000-0004-0000-0100-00001E000000}"/>
    <hyperlink ref="B73" location="Table13" display="Table 13" xr:uid="{00000000-0004-0000-0100-00001F000000}"/>
    <hyperlink ref="B74" location="Table13a" display="Table 13a" xr:uid="{00000000-0004-0000-0100-000020000000}"/>
    <hyperlink ref="B81" location="Table14" display="Table 14" xr:uid="{00000000-0004-0000-0100-000021000000}"/>
    <hyperlink ref="B82" location="Table14a" display="Table 14a" xr:uid="{00000000-0004-0000-0100-000022000000}"/>
    <hyperlink ref="B83" location="Table14b" display="Table 14b" xr:uid="{00000000-0004-0000-0100-000023000000}"/>
    <hyperlink ref="B84" location="Table14c" display="Table 14c" xr:uid="{00000000-0004-0000-0100-000024000000}"/>
    <hyperlink ref="B85" location="Table14d" display="Table 14d" xr:uid="{00000000-0004-0000-0100-000025000000}"/>
    <hyperlink ref="B86" location="Table14e" display="Table 14e" xr:uid="{00000000-0004-0000-0100-000026000000}"/>
    <hyperlink ref="B87" location="Table14f" display="Table 14f" xr:uid="{00000000-0004-0000-0100-000027000000}"/>
    <hyperlink ref="B88" location="Table14g" display="Table 14g" xr:uid="{00000000-0004-0000-0100-000028000000}"/>
    <hyperlink ref="B89" location="Table15" display="Table 15" xr:uid="{00000000-0004-0000-0100-000029000000}"/>
    <hyperlink ref="B90" location="Table15a" display="Table 15a" xr:uid="{00000000-0004-0000-0100-00002A000000}"/>
    <hyperlink ref="B91" location="Table15b" display="Table 15b" xr:uid="{00000000-0004-0000-0100-00002B000000}"/>
    <hyperlink ref="B92" location="Table15c" display="Table 15c" xr:uid="{00000000-0004-0000-0100-00002C000000}"/>
    <hyperlink ref="B93" location="Table15d" display="Table 15d" xr:uid="{00000000-0004-0000-0100-00002D000000}"/>
    <hyperlink ref="B94" location="Table16" display="Table 16" xr:uid="{00000000-0004-0000-0100-00002E000000}"/>
    <hyperlink ref="B95" location="Table16a" display="Table 16a" xr:uid="{00000000-0004-0000-0100-00002F000000}"/>
    <hyperlink ref="B96" location="Table16b" display="Table 16b" xr:uid="{00000000-0004-0000-0100-000030000000}"/>
    <hyperlink ref="B97" location="Table16c" display="Table 16c" xr:uid="{00000000-0004-0000-0100-000031000000}"/>
    <hyperlink ref="B98" location="Table16d" display="Table 16d" xr:uid="{00000000-0004-0000-0100-000032000000}"/>
    <hyperlink ref="B99" location="Table17" display="Table 17" xr:uid="{00000000-0004-0000-0100-000033000000}"/>
    <hyperlink ref="B100" location="'17 17a'!A24" display="Table 17a" xr:uid="{00000000-0004-0000-0100-000034000000}"/>
    <hyperlink ref="B101" location="'17b 17c 17d'!A1" display="Table 17b" xr:uid="{00000000-0004-0000-0100-000035000000}"/>
    <hyperlink ref="B102" location="Table17c" display="Table 17c" xr:uid="{00000000-0004-0000-0100-000036000000}"/>
    <hyperlink ref="B106" location="Table18" display="Table 18" xr:uid="{00000000-0004-0000-0100-000037000000}"/>
    <hyperlink ref="B107" location="Table18a" display="Table 18a" xr:uid="{00000000-0004-0000-0100-000038000000}"/>
    <hyperlink ref="B108" location="Table18b" display="Table 18b" xr:uid="{00000000-0004-0000-0100-000039000000}"/>
    <hyperlink ref="B110" location="Table19" display="Table 19" xr:uid="{00000000-0004-0000-0100-00003A000000}"/>
    <hyperlink ref="B111" location="Table19a" display="Table 19a" xr:uid="{00000000-0004-0000-0100-00003B000000}"/>
    <hyperlink ref="B112" location="Table19b" display="Table 19b" xr:uid="{00000000-0004-0000-0100-00003C000000}"/>
    <hyperlink ref="B114" location="'Figure 26'!A1" display="Figure 26" xr:uid="{00000000-0004-0000-0100-00003D000000}"/>
    <hyperlink ref="B116" location="Table21" display="Table 21" xr:uid="{00000000-0004-0000-0100-00003E000000}"/>
    <hyperlink ref="B117" location="Table21a" display="Table 21a" xr:uid="{00000000-0004-0000-0100-00003F000000}"/>
    <hyperlink ref="B118" location="Table21b" display="Table 21b" xr:uid="{00000000-0004-0000-0100-000040000000}"/>
    <hyperlink ref="B119" location="Table21c" display="Table 21c" xr:uid="{00000000-0004-0000-0100-000041000000}"/>
    <hyperlink ref="B121" location="Table22" display="Table 22" xr:uid="{00000000-0004-0000-0100-000042000000}"/>
    <hyperlink ref="B122" location="Table23" display="Table 23" xr:uid="{00000000-0004-0000-0100-000043000000}"/>
    <hyperlink ref="B123" location="Table23a" display="Table 23a" xr:uid="{00000000-0004-0000-0100-000044000000}"/>
    <hyperlink ref="B125" location="Table24" display="Table 24" xr:uid="{00000000-0004-0000-0100-000045000000}"/>
    <hyperlink ref="B63" location="'Figure 17'!A1" display="Figure 12" xr:uid="{00000000-0004-0000-0100-000046000000}"/>
    <hyperlink ref="B64" location="'Figure 18'!A1" display="Figure 13" xr:uid="{00000000-0004-0000-0100-000047000000}"/>
    <hyperlink ref="B36" location="Figure15" display="Figure 15" xr:uid="{00000000-0004-0000-0100-000048000000}"/>
    <hyperlink ref="B130" location="PopulationPage" display="Population" xr:uid="{00000000-0004-0000-0100-000049000000}"/>
    <hyperlink ref="B131" location="DwellingsPage" display="Dwellings" xr:uid="{00000000-0004-0000-0100-00004A000000}"/>
    <hyperlink ref="B37" location="'Figure 10'!A1" display="Figure 10" xr:uid="{00000000-0004-0000-0100-00004B000000}"/>
    <hyperlink ref="B129" location="Figure17" display="Figure 17" xr:uid="{00000000-0004-0000-0100-00004C000000}"/>
    <hyperlink ref="B61" location="Table10c" display="Table 10c" xr:uid="{00000000-0004-0000-0100-00004D000000}"/>
    <hyperlink ref="B4" location="Table0" display="Long-Term" xr:uid="{00000000-0004-0000-0100-00004E000000}"/>
    <hyperlink ref="B5" location="'Figure Long-Term Trend'!A1" display="Figure Long-Term Trend" xr:uid="{00000000-0004-0000-0100-00004F000000}"/>
    <hyperlink ref="B9" location="Figure2" display="Figure 2" xr:uid="{00000000-0004-0000-0100-000050000000}"/>
    <hyperlink ref="B8" location="Figure1" display="Figure 1" xr:uid="{00000000-0004-0000-0100-000051000000}"/>
    <hyperlink ref="B14" location="'1 1a 1b'!Table1b" display="Table 1b" xr:uid="{00000000-0004-0000-0100-000052000000}"/>
    <hyperlink ref="B15" location="Figure4" display="Figure 4" xr:uid="{00000000-0004-0000-0100-000053000000}"/>
    <hyperlink ref="B16" location="Figure5" display="Figure 5" xr:uid="{00000000-0004-0000-0100-000054000000}"/>
    <hyperlink ref="B18" location="'Figure 7'!A1" display="Figure 7" xr:uid="{00000000-0004-0000-0100-000055000000}"/>
    <hyperlink ref="B17" location="'Figure 6'!A1" display="Figure 6" xr:uid="{00000000-0004-0000-0100-000056000000}"/>
    <hyperlink ref="B10" location="Figure3" display="Figure 3" xr:uid="{00000000-0004-0000-0100-000057000000}"/>
    <hyperlink ref="B6" location="Figure11" display="Figure 11" xr:uid="{00000000-0004-0000-0100-000058000000}"/>
    <hyperlink ref="B7" location="'Figure Non-fatal Casualties'!A1" display="Figure Fatal Casualties" xr:uid="{00000000-0004-0000-0100-000059000000}"/>
    <hyperlink ref="B25" location="Table3b" display="Table 3b" xr:uid="{00000000-0004-0000-0100-00005A000000}"/>
    <hyperlink ref="B35" location="Table5a" display="Table 5a" xr:uid="{00000000-0004-0000-0100-00005B000000}"/>
    <hyperlink ref="B44" location="Table7" display="Table 7" xr:uid="{00000000-0004-0000-0100-00005C000000}"/>
    <hyperlink ref="B45" location="'Figure 11'!A1" display="Figure 11" xr:uid="{00000000-0004-0000-0100-00005D000000}"/>
    <hyperlink ref="B46" location="'Figure 12'!A1" display="Figure 12" xr:uid="{00000000-0004-0000-0100-00005E000000}"/>
    <hyperlink ref="B47" location="'Figure 13'!A1" display="Figure 13" xr:uid="{00000000-0004-0000-0100-00005F000000}"/>
    <hyperlink ref="B48" location="'Figure 14'!A1" display="Figure 14" xr:uid="{00000000-0004-0000-0100-000060000000}"/>
    <hyperlink ref="B49" location="'Figure 15'!A1" display="Figure 15" xr:uid="{00000000-0004-0000-0100-000061000000}"/>
    <hyperlink ref="B55" location="Table9b" display="Table 9b" xr:uid="{00000000-0004-0000-0100-000062000000}"/>
    <hyperlink ref="B56" location="'Figure 16'!A1" display="Figure 16" xr:uid="{00000000-0004-0000-0100-000063000000}"/>
    <hyperlink ref="B2" location="Introduction!A1" display="Introduction Page" xr:uid="{00000000-0004-0000-0100-000064000000}"/>
    <hyperlink ref="B62" location="'10b 10c 10d'!A45" display="Table 10d" xr:uid="{00000000-0004-0000-0100-000065000000}"/>
    <hyperlink ref="B65" location="'Figure 19'!A1" display="Figure 13" xr:uid="{00000000-0004-0000-0100-000066000000}"/>
    <hyperlink ref="B66" location="'Figure 20'!A1" display="Figure 14" xr:uid="{00000000-0004-0000-0100-000067000000}"/>
    <hyperlink ref="B75" location="Table13b" display="Table 13b" xr:uid="{00000000-0004-0000-0100-000068000000}"/>
    <hyperlink ref="B79" location="Figure8" display="Figure 8" xr:uid="{00000000-0004-0000-0100-000069000000}"/>
    <hyperlink ref="B77" location="Figure9" display="Figure 9" xr:uid="{00000000-0004-0000-0100-00006A000000}"/>
    <hyperlink ref="B78" location="Figure10" display="Figure 10" xr:uid="{00000000-0004-0000-0100-00006B000000}"/>
    <hyperlink ref="B76" location="Figure7" display="Figure 7" xr:uid="{00000000-0004-0000-0100-00006C000000}"/>
    <hyperlink ref="B103" location="Table17d" display="Table 17d" xr:uid="{00000000-0004-0000-0100-00006D000000}"/>
    <hyperlink ref="B104" location="'Figure 25'!A1" display="Figure 25" xr:uid="{00000000-0004-0000-0100-00006E000000}"/>
    <hyperlink ref="B113" location="Table20" display="Table 20" xr:uid="{00000000-0004-0000-0100-00006F000000}"/>
    <hyperlink ref="B126" location="Table25" display="Table 25" xr:uid="{00000000-0004-0000-0100-000070000000}"/>
    <hyperlink ref="B127" location="'Figure 27'!A1" display="Figure 22" xr:uid="{00000000-0004-0000-0100-000071000000}"/>
    <hyperlink ref="B128" location="'Figure 28'!A1" display="Figure 23" xr:uid="{00000000-0004-0000-0100-000072000000}"/>
    <hyperlink ref="B31" location="'4c 4d 4e'!A1" display="Table 4c" xr:uid="{00000000-0004-0000-0100-000073000000}"/>
  </hyperlinks>
  <pageMargins left="0.70866141732283472" right="0.70866141732283472" top="0.74803149606299213" bottom="0.74803149606299213" header="0.31496062992125984" footer="0.31496062992125984"/>
  <pageSetup paperSize="9" scale="49" fitToHeight="0" orientation="portrait" r:id="rId1"/>
  <headerFooter>
    <oddFooter>&amp;L&amp;P&amp;C&amp;A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2"/>
  <dimension ref="A2:E37"/>
  <sheetViews>
    <sheetView workbookViewId="0">
      <selection activeCell="G24" sqref="G24"/>
    </sheetView>
  </sheetViews>
  <sheetFormatPr defaultRowHeight="12.75" x14ac:dyDescent="0.2"/>
  <cols>
    <col min="1" max="1" width="20.28515625" bestFit="1" customWidth="1"/>
    <col min="2" max="2" width="17.85546875" bestFit="1" customWidth="1"/>
    <col min="3" max="3" width="17.5703125" bestFit="1" customWidth="1"/>
    <col min="4" max="4" width="11.7109375" bestFit="1" customWidth="1"/>
    <col min="5" max="5" width="17" bestFit="1" customWidth="1"/>
  </cols>
  <sheetData>
    <row r="2" spans="1:5" x14ac:dyDescent="0.2">
      <c r="A2" s="1300" t="s">
        <v>4</v>
      </c>
      <c r="B2" t="s">
        <v>603</v>
      </c>
    </row>
    <row r="4" spans="1:5" x14ac:dyDescent="0.2">
      <c r="A4" s="1300" t="s">
        <v>658</v>
      </c>
      <c r="B4" t="s">
        <v>660</v>
      </c>
      <c r="C4" t="s">
        <v>683</v>
      </c>
      <c r="D4" t="s">
        <v>688</v>
      </c>
      <c r="E4" t="s">
        <v>686</v>
      </c>
    </row>
    <row r="5" spans="1:5" x14ac:dyDescent="0.2">
      <c r="A5" s="1301" t="s">
        <v>23</v>
      </c>
      <c r="B5">
        <v>277</v>
      </c>
      <c r="C5">
        <v>240</v>
      </c>
      <c r="D5">
        <v>37</v>
      </c>
      <c r="E5">
        <v>116821</v>
      </c>
    </row>
    <row r="6" spans="1:5" x14ac:dyDescent="0.2">
      <c r="A6" s="1301" t="s">
        <v>24</v>
      </c>
      <c r="B6">
        <v>168</v>
      </c>
      <c r="C6">
        <v>163</v>
      </c>
      <c r="D6">
        <v>5</v>
      </c>
      <c r="E6">
        <v>117363</v>
      </c>
    </row>
    <row r="7" spans="1:5" x14ac:dyDescent="0.2">
      <c r="A7" s="1301" t="s">
        <v>25</v>
      </c>
      <c r="B7">
        <v>81</v>
      </c>
      <c r="C7">
        <v>78</v>
      </c>
      <c r="D7">
        <v>3</v>
      </c>
      <c r="E7">
        <v>56135</v>
      </c>
    </row>
    <row r="8" spans="1:5" x14ac:dyDescent="0.2">
      <c r="A8" s="1301" t="s">
        <v>26</v>
      </c>
      <c r="B8">
        <v>86</v>
      </c>
      <c r="C8">
        <v>76</v>
      </c>
      <c r="D8">
        <v>10</v>
      </c>
      <c r="E8">
        <v>47884</v>
      </c>
    </row>
    <row r="9" spans="1:5" x14ac:dyDescent="0.2">
      <c r="A9" s="1301" t="s">
        <v>27</v>
      </c>
      <c r="B9">
        <v>51</v>
      </c>
      <c r="C9">
        <v>47</v>
      </c>
      <c r="D9">
        <v>4</v>
      </c>
      <c r="E9">
        <v>24377</v>
      </c>
    </row>
    <row r="10" spans="1:5" x14ac:dyDescent="0.2">
      <c r="A10" s="1301" t="s">
        <v>28</v>
      </c>
      <c r="B10">
        <v>104</v>
      </c>
      <c r="C10">
        <v>91</v>
      </c>
      <c r="D10">
        <v>13</v>
      </c>
      <c r="E10">
        <v>74687</v>
      </c>
    </row>
    <row r="11" spans="1:5" x14ac:dyDescent="0.2">
      <c r="A11" s="1301" t="s">
        <v>29</v>
      </c>
      <c r="B11">
        <v>214</v>
      </c>
      <c r="C11">
        <v>196</v>
      </c>
      <c r="D11">
        <v>18</v>
      </c>
      <c r="E11">
        <v>74354</v>
      </c>
    </row>
    <row r="12" spans="1:5" x14ac:dyDescent="0.2">
      <c r="A12" s="1301" t="s">
        <v>30</v>
      </c>
      <c r="B12">
        <v>87</v>
      </c>
      <c r="C12">
        <v>76</v>
      </c>
      <c r="D12">
        <v>11</v>
      </c>
      <c r="E12">
        <v>58158</v>
      </c>
    </row>
    <row r="13" spans="1:5" x14ac:dyDescent="0.2">
      <c r="A13" s="1301" t="s">
        <v>31</v>
      </c>
      <c r="B13">
        <v>67</v>
      </c>
      <c r="C13">
        <v>65</v>
      </c>
      <c r="D13">
        <v>2</v>
      </c>
      <c r="E13">
        <v>46430</v>
      </c>
    </row>
    <row r="14" spans="1:5" x14ac:dyDescent="0.2">
      <c r="A14" s="1301" t="s">
        <v>32</v>
      </c>
      <c r="B14">
        <v>76</v>
      </c>
      <c r="C14">
        <v>69</v>
      </c>
      <c r="D14">
        <v>7</v>
      </c>
      <c r="E14">
        <v>47407</v>
      </c>
    </row>
    <row r="15" spans="1:5" x14ac:dyDescent="0.2">
      <c r="A15" s="1301" t="s">
        <v>33</v>
      </c>
      <c r="B15">
        <v>84</v>
      </c>
      <c r="C15">
        <v>79</v>
      </c>
      <c r="D15">
        <v>5</v>
      </c>
      <c r="E15">
        <v>38677</v>
      </c>
    </row>
    <row r="16" spans="1:5" x14ac:dyDescent="0.2">
      <c r="A16" s="1301" t="s">
        <v>665</v>
      </c>
      <c r="B16">
        <v>523</v>
      </c>
      <c r="C16">
        <v>460</v>
      </c>
      <c r="D16">
        <v>63</v>
      </c>
      <c r="E16">
        <v>246818</v>
      </c>
    </row>
    <row r="17" spans="1:5" x14ac:dyDescent="0.2">
      <c r="A17" s="1301" t="s">
        <v>34</v>
      </c>
      <c r="B17">
        <v>122</v>
      </c>
      <c r="C17">
        <v>106</v>
      </c>
      <c r="D17">
        <v>16</v>
      </c>
      <c r="E17">
        <v>74361</v>
      </c>
    </row>
    <row r="18" spans="1:5" x14ac:dyDescent="0.2">
      <c r="A18" s="1301" t="s">
        <v>35</v>
      </c>
      <c r="B18">
        <v>302</v>
      </c>
      <c r="C18">
        <v>286</v>
      </c>
      <c r="D18">
        <v>16</v>
      </c>
      <c r="E18">
        <v>175915</v>
      </c>
    </row>
    <row r="19" spans="1:5" x14ac:dyDescent="0.2">
      <c r="A19" s="1301" t="s">
        <v>36</v>
      </c>
      <c r="B19">
        <v>962</v>
      </c>
      <c r="C19">
        <v>847</v>
      </c>
      <c r="D19">
        <v>115</v>
      </c>
      <c r="E19">
        <v>308293</v>
      </c>
    </row>
    <row r="20" spans="1:5" x14ac:dyDescent="0.2">
      <c r="A20" s="1301" t="s">
        <v>37</v>
      </c>
      <c r="B20">
        <v>153</v>
      </c>
      <c r="C20">
        <v>146</v>
      </c>
      <c r="D20">
        <v>7</v>
      </c>
      <c r="E20">
        <v>117291</v>
      </c>
    </row>
    <row r="21" spans="1:5" x14ac:dyDescent="0.2">
      <c r="A21" s="1301" t="s">
        <v>38</v>
      </c>
      <c r="B21">
        <v>103</v>
      </c>
      <c r="C21">
        <v>84</v>
      </c>
      <c r="D21">
        <v>19</v>
      </c>
      <c r="E21">
        <v>38848</v>
      </c>
    </row>
    <row r="22" spans="1:5" x14ac:dyDescent="0.2">
      <c r="A22" s="1301" t="s">
        <v>39</v>
      </c>
      <c r="B22">
        <v>70</v>
      </c>
      <c r="C22">
        <v>60</v>
      </c>
      <c r="D22">
        <v>10</v>
      </c>
      <c r="E22">
        <v>39937</v>
      </c>
    </row>
    <row r="23" spans="1:5" x14ac:dyDescent="0.2">
      <c r="A23" s="1301" t="s">
        <v>40</v>
      </c>
      <c r="B23">
        <v>39</v>
      </c>
      <c r="C23">
        <v>35</v>
      </c>
      <c r="D23">
        <v>4</v>
      </c>
      <c r="E23">
        <v>44838</v>
      </c>
    </row>
    <row r="24" spans="1:5" x14ac:dyDescent="0.2">
      <c r="A24" s="1301" t="s">
        <v>393</v>
      </c>
      <c r="B24">
        <v>17</v>
      </c>
      <c r="C24">
        <v>16</v>
      </c>
      <c r="D24">
        <v>1</v>
      </c>
      <c r="E24">
        <v>14714</v>
      </c>
    </row>
    <row r="25" spans="1:5" x14ac:dyDescent="0.2">
      <c r="A25" s="1301" t="s">
        <v>41</v>
      </c>
      <c r="B25">
        <v>162</v>
      </c>
      <c r="C25">
        <v>147</v>
      </c>
      <c r="D25">
        <v>15</v>
      </c>
      <c r="E25">
        <v>67960</v>
      </c>
    </row>
    <row r="26" spans="1:5" x14ac:dyDescent="0.2">
      <c r="A26" s="1301" t="s">
        <v>42</v>
      </c>
      <c r="B26">
        <v>307</v>
      </c>
      <c r="C26">
        <v>262</v>
      </c>
      <c r="D26">
        <v>45</v>
      </c>
      <c r="E26">
        <v>154286</v>
      </c>
    </row>
    <row r="27" spans="1:5" x14ac:dyDescent="0.2">
      <c r="A27" s="1301" t="s">
        <v>43</v>
      </c>
      <c r="B27">
        <v>7</v>
      </c>
      <c r="C27">
        <v>7</v>
      </c>
      <c r="D27">
        <v>0</v>
      </c>
      <c r="E27">
        <v>11192</v>
      </c>
    </row>
    <row r="28" spans="1:5" x14ac:dyDescent="0.2">
      <c r="A28" s="1301" t="s">
        <v>44</v>
      </c>
      <c r="B28">
        <v>116</v>
      </c>
      <c r="C28">
        <v>113</v>
      </c>
      <c r="D28">
        <v>3</v>
      </c>
      <c r="E28">
        <v>71810</v>
      </c>
    </row>
    <row r="29" spans="1:5" x14ac:dyDescent="0.2">
      <c r="A29" s="1301" t="s">
        <v>45</v>
      </c>
      <c r="B29">
        <v>223</v>
      </c>
      <c r="C29">
        <v>191</v>
      </c>
      <c r="D29">
        <v>32</v>
      </c>
      <c r="E29">
        <v>86449</v>
      </c>
    </row>
    <row r="30" spans="1:5" x14ac:dyDescent="0.2">
      <c r="A30" s="1301" t="s">
        <v>46</v>
      </c>
      <c r="B30">
        <v>100</v>
      </c>
      <c r="C30">
        <v>92</v>
      </c>
      <c r="D30">
        <v>8</v>
      </c>
      <c r="E30">
        <v>58167</v>
      </c>
    </row>
    <row r="31" spans="1:5" x14ac:dyDescent="0.2">
      <c r="A31" s="1301" t="s">
        <v>47</v>
      </c>
      <c r="B31">
        <v>13</v>
      </c>
      <c r="C31">
        <v>12</v>
      </c>
      <c r="D31">
        <v>1</v>
      </c>
      <c r="E31">
        <v>11180</v>
      </c>
    </row>
    <row r="32" spans="1:5" x14ac:dyDescent="0.2">
      <c r="A32" s="1301" t="s">
        <v>48</v>
      </c>
      <c r="B32">
        <v>105</v>
      </c>
      <c r="C32">
        <v>95</v>
      </c>
      <c r="D32">
        <v>10</v>
      </c>
      <c r="E32">
        <v>55252</v>
      </c>
    </row>
    <row r="33" spans="1:5" x14ac:dyDescent="0.2">
      <c r="A33" s="1301" t="s">
        <v>49</v>
      </c>
      <c r="B33">
        <v>278</v>
      </c>
      <c r="C33">
        <v>244</v>
      </c>
      <c r="D33">
        <v>34</v>
      </c>
      <c r="E33">
        <v>149972</v>
      </c>
    </row>
    <row r="34" spans="1:5" x14ac:dyDescent="0.2">
      <c r="A34" s="1301" t="s">
        <v>50</v>
      </c>
      <c r="B34">
        <v>86</v>
      </c>
      <c r="C34">
        <v>79</v>
      </c>
      <c r="D34">
        <v>7</v>
      </c>
      <c r="E34">
        <v>41250</v>
      </c>
    </row>
    <row r="35" spans="1:5" x14ac:dyDescent="0.2">
      <c r="A35" s="1301" t="s">
        <v>51</v>
      </c>
      <c r="B35">
        <v>158</v>
      </c>
      <c r="C35">
        <v>141</v>
      </c>
      <c r="D35">
        <v>17</v>
      </c>
      <c r="E35">
        <v>45093</v>
      </c>
    </row>
    <row r="36" spans="1:5" x14ac:dyDescent="0.2">
      <c r="A36" s="1301" t="s">
        <v>52</v>
      </c>
      <c r="B36">
        <v>169</v>
      </c>
      <c r="C36">
        <v>149</v>
      </c>
      <c r="D36">
        <v>20</v>
      </c>
      <c r="E36">
        <v>79112</v>
      </c>
    </row>
    <row r="37" spans="1:5" x14ac:dyDescent="0.2">
      <c r="A37" s="1301" t="s">
        <v>666</v>
      </c>
      <c r="B37">
        <v>5310</v>
      </c>
      <c r="C37">
        <v>4752</v>
      </c>
      <c r="D37">
        <v>558</v>
      </c>
      <c r="E37">
        <v>2595031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4"/>
    <pageSetUpPr fitToPage="1"/>
  </sheetPr>
  <dimension ref="A1:U44"/>
  <sheetViews>
    <sheetView showGridLines="0" zoomScaleNormal="100" workbookViewId="0">
      <selection activeCell="M9" sqref="M9"/>
    </sheetView>
  </sheetViews>
  <sheetFormatPr defaultRowHeight="12.75" x14ac:dyDescent="0.2"/>
  <cols>
    <col min="1" max="1" width="24.28515625" style="1" customWidth="1"/>
    <col min="2" max="2" width="20.28515625" style="1" customWidth="1"/>
    <col min="3" max="3" width="8.5703125" customWidth="1"/>
    <col min="4" max="4" width="11.85546875" style="1" customWidth="1"/>
    <col min="5" max="5" width="12.140625" style="1" customWidth="1"/>
    <col min="6" max="6" width="7.140625" style="1" customWidth="1"/>
    <col min="7" max="7" width="11.28515625" style="1" customWidth="1"/>
    <col min="8" max="8" width="12.140625" style="1" customWidth="1"/>
    <col min="9" max="9" width="7.140625" style="1" customWidth="1"/>
    <col min="10" max="10" width="11.42578125" style="1" customWidth="1"/>
    <col min="11" max="11" width="12.140625" style="1" customWidth="1"/>
    <col min="12" max="12" width="4" style="1" customWidth="1"/>
    <col min="13" max="16384" width="9.140625" style="1"/>
  </cols>
  <sheetData>
    <row r="1" spans="1:21" ht="38.25" customHeight="1" x14ac:dyDescent="0.2">
      <c r="A1" s="1655" t="s">
        <v>687</v>
      </c>
      <c r="B1" s="1655"/>
      <c r="C1" s="1655"/>
      <c r="D1" s="1655"/>
      <c r="E1" s="1655"/>
      <c r="F1" s="1655"/>
      <c r="G1" s="1655"/>
      <c r="H1" s="467"/>
      <c r="I1" s="467"/>
      <c r="J1" s="467"/>
      <c r="K1" s="467"/>
      <c r="L1" s="467"/>
    </row>
    <row r="2" spans="1:21" x14ac:dyDescent="0.2">
      <c r="G2" s="1664"/>
      <c r="H2" s="1667"/>
      <c r="I2" s="1667"/>
      <c r="J2" s="1664"/>
      <c r="K2" s="1664"/>
      <c r="N2"/>
      <c r="O2"/>
      <c r="P2"/>
      <c r="Q2"/>
      <c r="R2"/>
      <c r="S2"/>
      <c r="T2"/>
      <c r="U2"/>
    </row>
    <row r="3" spans="1:21" s="103" customFormat="1" ht="39.75" customHeight="1" x14ac:dyDescent="0.2">
      <c r="A3" s="52" t="s">
        <v>22</v>
      </c>
      <c r="B3" s="1017" t="s">
        <v>367</v>
      </c>
      <c r="C3" s="770"/>
      <c r="D3" s="117" t="s">
        <v>59</v>
      </c>
      <c r="E3" s="229" t="s">
        <v>63</v>
      </c>
      <c r="F3" s="771"/>
      <c r="G3" s="117" t="s">
        <v>166</v>
      </c>
      <c r="H3" s="229" t="s">
        <v>63</v>
      </c>
      <c r="I3" s="564"/>
      <c r="J3" s="765" t="s">
        <v>128</v>
      </c>
      <c r="K3" s="765" t="s">
        <v>63</v>
      </c>
      <c r="L3" s="190"/>
      <c r="N3"/>
      <c r="O3"/>
      <c r="P3"/>
      <c r="Q3"/>
      <c r="R3"/>
      <c r="S3"/>
      <c r="T3"/>
      <c r="U3"/>
    </row>
    <row r="4" spans="1:21" ht="18.75" customHeight="1" x14ac:dyDescent="0.2">
      <c r="A4" s="153" t="s">
        <v>23</v>
      </c>
      <c r="B4" s="1031">
        <f>T_03b!E5</f>
        <v>116821</v>
      </c>
      <c r="C4" s="331"/>
      <c r="D4" s="322">
        <f>T_03b!C5</f>
        <v>240</v>
      </c>
      <c r="E4" s="1220">
        <f>D4/B4*100000</f>
        <v>205.4425146163789</v>
      </c>
      <c r="F4" s="164"/>
      <c r="G4" s="326">
        <f>T_03b!D5</f>
        <v>37</v>
      </c>
      <c r="H4" s="1220">
        <f>G4/B4*100000</f>
        <v>31.672387670025078</v>
      </c>
      <c r="I4" s="164"/>
      <c r="J4" s="326">
        <f>T_03b!B5</f>
        <v>277</v>
      </c>
      <c r="K4" s="329">
        <f>J4/B4*100000</f>
        <v>237.114902286404</v>
      </c>
      <c r="L4" s="164"/>
      <c r="N4"/>
      <c r="O4"/>
      <c r="P4"/>
      <c r="Q4"/>
      <c r="R4"/>
      <c r="S4"/>
      <c r="T4"/>
      <c r="U4"/>
    </row>
    <row r="5" spans="1:21" ht="13.5" customHeight="1" x14ac:dyDescent="0.2">
      <c r="A5" s="152" t="s">
        <v>24</v>
      </c>
      <c r="B5" s="1034">
        <f>T_03b!E6</f>
        <v>117363</v>
      </c>
      <c r="C5" s="331"/>
      <c r="D5" s="320">
        <f>T_03b!C6</f>
        <v>163</v>
      </c>
      <c r="E5" s="310">
        <f t="shared" ref="E5:E35" si="0">D5/B5*100000</f>
        <v>138.88533865017084</v>
      </c>
      <c r="F5" s="188"/>
      <c r="G5" s="327">
        <f>T_03b!D6</f>
        <v>5</v>
      </c>
      <c r="H5" s="310">
        <f t="shared" ref="H5:H35" si="1">G5/B5*100000</f>
        <v>4.260286461661682</v>
      </c>
      <c r="I5" s="164"/>
      <c r="J5" s="327">
        <f>T_03b!B6</f>
        <v>168</v>
      </c>
      <c r="K5" s="330">
        <f t="shared" ref="K5:K35" si="2">J5/B5*100000</f>
        <v>143.14562511183252</v>
      </c>
      <c r="L5" s="164"/>
      <c r="N5"/>
      <c r="O5"/>
      <c r="P5"/>
      <c r="Q5"/>
      <c r="R5"/>
      <c r="S5"/>
      <c r="T5"/>
      <c r="U5"/>
    </row>
    <row r="6" spans="1:21" ht="13.5" customHeight="1" x14ac:dyDescent="0.2">
      <c r="A6" s="153" t="s">
        <v>25</v>
      </c>
      <c r="B6" s="1032">
        <f>T_03b!E7</f>
        <v>56135</v>
      </c>
      <c r="C6" s="331"/>
      <c r="D6" s="322">
        <f>T_03b!C7</f>
        <v>78</v>
      </c>
      <c r="E6" s="312">
        <f t="shared" si="0"/>
        <v>138.950743742763</v>
      </c>
      <c r="F6" s="188"/>
      <c r="G6" s="328">
        <f>T_03b!D7</f>
        <v>3</v>
      </c>
      <c r="H6" s="312">
        <f t="shared" si="1"/>
        <v>5.3442593747216538</v>
      </c>
      <c r="I6" s="164"/>
      <c r="J6" s="328">
        <f>T_03b!B7</f>
        <v>81</v>
      </c>
      <c r="K6" s="191">
        <f t="shared" si="2"/>
        <v>144.29500311748464</v>
      </c>
      <c r="L6" s="164"/>
      <c r="N6"/>
      <c r="O6"/>
      <c r="P6"/>
      <c r="Q6"/>
      <c r="R6"/>
      <c r="S6"/>
      <c r="T6"/>
      <c r="U6"/>
    </row>
    <row r="7" spans="1:21" ht="13.5" customHeight="1" x14ac:dyDescent="0.2">
      <c r="A7" s="152" t="s">
        <v>26</v>
      </c>
      <c r="B7" s="1034">
        <f>T_03b!E8</f>
        <v>47884</v>
      </c>
      <c r="C7" s="331"/>
      <c r="D7" s="320">
        <f>T_03b!C8</f>
        <v>76</v>
      </c>
      <c r="E7" s="310">
        <f t="shared" si="0"/>
        <v>158.71689917300142</v>
      </c>
      <c r="F7" s="188"/>
      <c r="G7" s="327">
        <f>T_03b!D8</f>
        <v>10</v>
      </c>
      <c r="H7" s="310">
        <f t="shared" si="1"/>
        <v>20.883802522763343</v>
      </c>
      <c r="I7" s="164"/>
      <c r="J7" s="327">
        <f>T_03b!B8</f>
        <v>86</v>
      </c>
      <c r="K7" s="330">
        <f t="shared" si="2"/>
        <v>179.60070169576477</v>
      </c>
      <c r="L7" s="164"/>
      <c r="N7"/>
      <c r="O7"/>
      <c r="P7"/>
      <c r="Q7"/>
      <c r="R7"/>
      <c r="S7"/>
      <c r="T7"/>
      <c r="U7"/>
    </row>
    <row r="8" spans="1:21" ht="13.5" customHeight="1" x14ac:dyDescent="0.2">
      <c r="A8" s="153" t="s">
        <v>27</v>
      </c>
      <c r="B8" s="1032">
        <f>T_03b!E9</f>
        <v>24377</v>
      </c>
      <c r="C8" s="331"/>
      <c r="D8" s="322">
        <f>T_03b!C9</f>
        <v>47</v>
      </c>
      <c r="E8" s="312">
        <f t="shared" si="0"/>
        <v>192.80469294827091</v>
      </c>
      <c r="F8" s="188"/>
      <c r="G8" s="328">
        <f>T_03b!D9</f>
        <v>4</v>
      </c>
      <c r="H8" s="312">
        <f t="shared" si="1"/>
        <v>16.408910038150715</v>
      </c>
      <c r="I8" s="164"/>
      <c r="J8" s="328">
        <f>T_03b!B9</f>
        <v>51</v>
      </c>
      <c r="K8" s="191">
        <f t="shared" si="2"/>
        <v>209.21360298642162</v>
      </c>
      <c r="L8" s="164"/>
      <c r="N8"/>
      <c r="O8"/>
      <c r="P8"/>
      <c r="Q8"/>
      <c r="R8"/>
      <c r="S8"/>
      <c r="T8"/>
      <c r="U8"/>
    </row>
    <row r="9" spans="1:21" ht="13.5" customHeight="1" x14ac:dyDescent="0.2">
      <c r="A9" s="152" t="s">
        <v>28</v>
      </c>
      <c r="B9" s="1034">
        <f>T_03b!E10</f>
        <v>74687</v>
      </c>
      <c r="C9" s="331"/>
      <c r="D9" s="320">
        <f>T_03b!C10</f>
        <v>91</v>
      </c>
      <c r="E9" s="310">
        <f t="shared" si="0"/>
        <v>121.84181986155556</v>
      </c>
      <c r="F9" s="188"/>
      <c r="G9" s="327">
        <f>T_03b!D10</f>
        <v>13</v>
      </c>
      <c r="H9" s="310">
        <f t="shared" si="1"/>
        <v>17.405974265936507</v>
      </c>
      <c r="I9" s="164"/>
      <c r="J9" s="327">
        <f>T_03b!B10</f>
        <v>104</v>
      </c>
      <c r="K9" s="330">
        <f t="shared" si="2"/>
        <v>139.24779412749206</v>
      </c>
      <c r="L9" s="164"/>
      <c r="N9"/>
      <c r="O9"/>
      <c r="P9"/>
      <c r="Q9"/>
      <c r="R9"/>
      <c r="S9"/>
      <c r="T9"/>
      <c r="U9"/>
    </row>
    <row r="10" spans="1:21" ht="13.5" customHeight="1" x14ac:dyDescent="0.2">
      <c r="A10" s="153" t="s">
        <v>29</v>
      </c>
      <c r="B10" s="1032">
        <f>T_03b!E11</f>
        <v>74354</v>
      </c>
      <c r="C10" s="331"/>
      <c r="D10" s="322">
        <f>T_03b!C11</f>
        <v>196</v>
      </c>
      <c r="E10" s="312">
        <f t="shared" si="0"/>
        <v>263.6038410845415</v>
      </c>
      <c r="F10" s="188"/>
      <c r="G10" s="328">
        <f>T_03b!D11</f>
        <v>18</v>
      </c>
      <c r="H10" s="312">
        <f t="shared" si="1"/>
        <v>24.208516017968101</v>
      </c>
      <c r="I10" s="164"/>
      <c r="J10" s="328">
        <f>T_03b!B11</f>
        <v>214</v>
      </c>
      <c r="K10" s="191">
        <f t="shared" si="2"/>
        <v>287.81235710250962</v>
      </c>
      <c r="L10" s="164"/>
      <c r="N10"/>
      <c r="O10"/>
      <c r="P10"/>
      <c r="Q10"/>
      <c r="R10"/>
      <c r="S10"/>
      <c r="T10"/>
      <c r="U10"/>
    </row>
    <row r="11" spans="1:21" ht="13.5" customHeight="1" x14ac:dyDescent="0.2">
      <c r="A11" s="152" t="s">
        <v>30</v>
      </c>
      <c r="B11" s="1034">
        <f>T_03b!E12</f>
        <v>58158</v>
      </c>
      <c r="C11" s="331"/>
      <c r="D11" s="320">
        <f>T_03b!C12</f>
        <v>76</v>
      </c>
      <c r="E11" s="310">
        <f t="shared" si="0"/>
        <v>130.67849650950856</v>
      </c>
      <c r="F11" s="188"/>
      <c r="G11" s="327">
        <f>T_03b!D12</f>
        <v>11</v>
      </c>
      <c r="H11" s="310">
        <f t="shared" si="1"/>
        <v>18.913992915849924</v>
      </c>
      <c r="I11" s="164"/>
      <c r="J11" s="327">
        <f>T_03b!B12</f>
        <v>87</v>
      </c>
      <c r="K11" s="330">
        <f t="shared" si="2"/>
        <v>149.59248942535851</v>
      </c>
      <c r="L11" s="164"/>
      <c r="N11"/>
      <c r="O11"/>
      <c r="P11"/>
      <c r="Q11"/>
      <c r="R11"/>
      <c r="S11"/>
      <c r="T11"/>
      <c r="U11"/>
    </row>
    <row r="12" spans="1:21" ht="13.5" customHeight="1" x14ac:dyDescent="0.2">
      <c r="A12" s="153" t="s">
        <v>31</v>
      </c>
      <c r="B12" s="1032">
        <f>T_03b!E13</f>
        <v>46430</v>
      </c>
      <c r="C12" s="331"/>
      <c r="D12" s="322">
        <f>T_03b!C13</f>
        <v>65</v>
      </c>
      <c r="E12" s="312">
        <f t="shared" si="0"/>
        <v>139.9956924402326</v>
      </c>
      <c r="F12" s="188"/>
      <c r="G12" s="328">
        <f>T_03b!D13</f>
        <v>2</v>
      </c>
      <c r="H12" s="312">
        <f t="shared" si="1"/>
        <v>4.3075597673917727</v>
      </c>
      <c r="I12" s="164"/>
      <c r="J12" s="328">
        <f>T_03b!B13</f>
        <v>67</v>
      </c>
      <c r="K12" s="191">
        <f t="shared" si="2"/>
        <v>144.30325220762438</v>
      </c>
      <c r="L12" s="164"/>
      <c r="N12"/>
      <c r="O12"/>
      <c r="P12"/>
      <c r="Q12"/>
      <c r="R12"/>
      <c r="S12"/>
      <c r="T12"/>
      <c r="U12"/>
    </row>
    <row r="13" spans="1:21" ht="13.5" customHeight="1" x14ac:dyDescent="0.2">
      <c r="A13" s="152" t="s">
        <v>32</v>
      </c>
      <c r="B13" s="1034">
        <f>T_03b!E14</f>
        <v>47407</v>
      </c>
      <c r="C13" s="331"/>
      <c r="D13" s="320">
        <f>T_03b!C14</f>
        <v>69</v>
      </c>
      <c r="E13" s="310">
        <f t="shared" si="0"/>
        <v>145.54812580420614</v>
      </c>
      <c r="F13" s="188"/>
      <c r="G13" s="327">
        <f>T_03b!D14</f>
        <v>7</v>
      </c>
      <c r="H13" s="310">
        <f t="shared" si="1"/>
        <v>14.765751893180333</v>
      </c>
      <c r="I13" s="164"/>
      <c r="J13" s="327">
        <f>T_03b!B14</f>
        <v>76</v>
      </c>
      <c r="K13" s="330">
        <f t="shared" si="2"/>
        <v>160.31387769738646</v>
      </c>
      <c r="L13" s="164"/>
      <c r="N13"/>
      <c r="O13"/>
      <c r="P13"/>
      <c r="Q13"/>
      <c r="R13"/>
      <c r="S13"/>
      <c r="T13"/>
      <c r="U13"/>
    </row>
    <row r="14" spans="1:21" ht="13.5" customHeight="1" x14ac:dyDescent="0.2">
      <c r="A14" s="153" t="s">
        <v>33</v>
      </c>
      <c r="B14" s="1032">
        <f>T_03b!E15</f>
        <v>38677</v>
      </c>
      <c r="C14" s="331"/>
      <c r="D14" s="322">
        <f>T_03b!C15</f>
        <v>79</v>
      </c>
      <c r="E14" s="312">
        <f t="shared" si="0"/>
        <v>204.25575923675569</v>
      </c>
      <c r="F14" s="188"/>
      <c r="G14" s="328">
        <f>T_03b!D15</f>
        <v>5</v>
      </c>
      <c r="H14" s="312">
        <f t="shared" si="1"/>
        <v>12.92757969852884</v>
      </c>
      <c r="I14" s="164"/>
      <c r="J14" s="328">
        <f>T_03b!B15</f>
        <v>84</v>
      </c>
      <c r="K14" s="191">
        <f t="shared" si="2"/>
        <v>217.18333893528452</v>
      </c>
      <c r="L14" s="164"/>
      <c r="M14"/>
      <c r="N14"/>
      <c r="O14"/>
      <c r="P14"/>
      <c r="Q14"/>
      <c r="R14"/>
      <c r="S14"/>
      <c r="T14"/>
      <c r="U14"/>
    </row>
    <row r="15" spans="1:21" ht="13.5" customHeight="1" x14ac:dyDescent="0.2">
      <c r="A15" s="152" t="s">
        <v>137</v>
      </c>
      <c r="B15" s="1034">
        <f>T_03b!E16</f>
        <v>246818</v>
      </c>
      <c r="C15" s="331"/>
      <c r="D15" s="320">
        <f>T_03b!C16</f>
        <v>460</v>
      </c>
      <c r="E15" s="310">
        <f t="shared" si="0"/>
        <v>186.3721446571968</v>
      </c>
      <c r="F15" s="188"/>
      <c r="G15" s="327">
        <f>T_03b!D16</f>
        <v>63</v>
      </c>
      <c r="H15" s="310">
        <f t="shared" si="1"/>
        <v>25.524880681311735</v>
      </c>
      <c r="I15" s="164"/>
      <c r="J15" s="327">
        <f>T_03b!B16</f>
        <v>523</v>
      </c>
      <c r="K15" s="330">
        <f t="shared" si="2"/>
        <v>211.89702533850854</v>
      </c>
      <c r="L15" s="164"/>
      <c r="N15"/>
      <c r="O15"/>
      <c r="P15"/>
      <c r="Q15"/>
      <c r="R15"/>
      <c r="S15"/>
      <c r="T15"/>
      <c r="U15"/>
    </row>
    <row r="16" spans="1:21" ht="13.5" customHeight="1" x14ac:dyDescent="0.2">
      <c r="A16" s="153" t="s">
        <v>34</v>
      </c>
      <c r="B16" s="1032">
        <f>T_03b!E17</f>
        <v>74361</v>
      </c>
      <c r="C16" s="331"/>
      <c r="D16" s="322">
        <f>T_03b!C17</f>
        <v>106</v>
      </c>
      <c r="E16" s="312">
        <f t="shared" si="0"/>
        <v>142.54784093812617</v>
      </c>
      <c r="F16" s="188"/>
      <c r="G16" s="328">
        <f>T_03b!D17</f>
        <v>16</v>
      </c>
      <c r="H16" s="312">
        <f t="shared" si="1"/>
        <v>21.516655235943574</v>
      </c>
      <c r="I16" s="164"/>
      <c r="J16" s="328">
        <f>T_03b!B17</f>
        <v>122</v>
      </c>
      <c r="K16" s="191">
        <f t="shared" si="2"/>
        <v>164.06449617406975</v>
      </c>
      <c r="L16" s="164"/>
      <c r="N16"/>
      <c r="O16"/>
      <c r="P16"/>
      <c r="Q16"/>
      <c r="R16"/>
      <c r="S16"/>
      <c r="T16"/>
      <c r="U16"/>
    </row>
    <row r="17" spans="1:21" ht="13.5" customHeight="1" x14ac:dyDescent="0.2">
      <c r="A17" s="152" t="s">
        <v>35</v>
      </c>
      <c r="B17" s="1034">
        <f>T_03b!E18</f>
        <v>175915</v>
      </c>
      <c r="C17" s="331"/>
      <c r="D17" s="320">
        <f>T_03b!C18</f>
        <v>286</v>
      </c>
      <c r="E17" s="310">
        <f t="shared" si="0"/>
        <v>162.57851803427792</v>
      </c>
      <c r="F17" s="188"/>
      <c r="G17" s="327">
        <f>T_03b!D18</f>
        <v>16</v>
      </c>
      <c r="H17" s="310">
        <f t="shared" si="1"/>
        <v>9.0953017082113519</v>
      </c>
      <c r="I17" s="164"/>
      <c r="J17" s="327">
        <f>T_03b!B18</f>
        <v>302</v>
      </c>
      <c r="K17" s="330">
        <f t="shared" si="2"/>
        <v>171.67381974248926</v>
      </c>
      <c r="L17" s="164"/>
      <c r="N17"/>
      <c r="O17"/>
      <c r="P17"/>
      <c r="Q17"/>
      <c r="R17"/>
      <c r="S17"/>
      <c r="T17"/>
      <c r="U17"/>
    </row>
    <row r="18" spans="1:21" ht="13.5" customHeight="1" x14ac:dyDescent="0.2">
      <c r="A18" s="153" t="s">
        <v>36</v>
      </c>
      <c r="B18" s="1032">
        <f>T_03b!E19</f>
        <v>308293</v>
      </c>
      <c r="C18" s="331"/>
      <c r="D18" s="322">
        <f>T_03b!C19</f>
        <v>847</v>
      </c>
      <c r="E18" s="312">
        <f t="shared" si="0"/>
        <v>274.73864148715671</v>
      </c>
      <c r="F18" s="188"/>
      <c r="G18" s="328">
        <f>T_03b!D19</f>
        <v>115</v>
      </c>
      <c r="H18" s="312">
        <f t="shared" si="1"/>
        <v>37.302176825292818</v>
      </c>
      <c r="I18" s="164"/>
      <c r="J18" s="328">
        <f>T_03b!B19</f>
        <v>962</v>
      </c>
      <c r="K18" s="191">
        <f t="shared" si="2"/>
        <v>312.04081831244952</v>
      </c>
      <c r="L18" s="164"/>
      <c r="N18"/>
      <c r="O18"/>
      <c r="P18"/>
      <c r="Q18"/>
      <c r="R18"/>
      <c r="S18"/>
      <c r="T18"/>
      <c r="U18"/>
    </row>
    <row r="19" spans="1:21" ht="13.5" customHeight="1" x14ac:dyDescent="0.2">
      <c r="A19" s="152" t="s">
        <v>37</v>
      </c>
      <c r="B19" s="1034">
        <f>T_03b!E20</f>
        <v>117291</v>
      </c>
      <c r="C19" s="331"/>
      <c r="D19" s="320">
        <f>T_03b!C20</f>
        <v>146</v>
      </c>
      <c r="E19" s="310">
        <f t="shared" si="0"/>
        <v>124.47672881977303</v>
      </c>
      <c r="F19" s="188"/>
      <c r="G19" s="327">
        <f>T_03b!D20</f>
        <v>7</v>
      </c>
      <c r="H19" s="310">
        <f t="shared" si="1"/>
        <v>5.9680623406740496</v>
      </c>
      <c r="I19" s="164"/>
      <c r="J19" s="327">
        <f>T_03b!B20</f>
        <v>153</v>
      </c>
      <c r="K19" s="330">
        <f t="shared" si="2"/>
        <v>130.4447911604471</v>
      </c>
      <c r="L19" s="164"/>
      <c r="N19"/>
      <c r="O19"/>
      <c r="P19"/>
      <c r="Q19"/>
      <c r="R19"/>
      <c r="S19"/>
      <c r="T19"/>
      <c r="U19"/>
    </row>
    <row r="20" spans="1:21" ht="13.5" customHeight="1" x14ac:dyDescent="0.2">
      <c r="A20" s="153" t="s">
        <v>38</v>
      </c>
      <c r="B20" s="1032">
        <f>T_03b!E21</f>
        <v>38848</v>
      </c>
      <c r="C20" s="331"/>
      <c r="D20" s="322">
        <f>T_03b!C21</f>
        <v>84</v>
      </c>
      <c r="E20" s="312">
        <f t="shared" si="0"/>
        <v>216.22734761120262</v>
      </c>
      <c r="F20" s="188"/>
      <c r="G20" s="328">
        <f>T_03b!D21</f>
        <v>19</v>
      </c>
      <c r="H20" s="312">
        <f t="shared" si="1"/>
        <v>48.90856672158155</v>
      </c>
      <c r="I20" s="164"/>
      <c r="J20" s="328">
        <f>T_03b!B21</f>
        <v>103</v>
      </c>
      <c r="K20" s="191">
        <f t="shared" si="2"/>
        <v>265.13591433278418</v>
      </c>
      <c r="L20" s="164"/>
      <c r="N20"/>
      <c r="O20"/>
      <c r="P20"/>
      <c r="Q20"/>
      <c r="R20"/>
      <c r="S20"/>
      <c r="T20"/>
      <c r="U20"/>
    </row>
    <row r="21" spans="1:21" ht="13.5" customHeight="1" x14ac:dyDescent="0.2">
      <c r="A21" s="152" t="s">
        <v>39</v>
      </c>
      <c r="B21" s="1034">
        <f>T_03b!E22</f>
        <v>39937</v>
      </c>
      <c r="C21" s="331"/>
      <c r="D21" s="320">
        <f>T_03b!C22</f>
        <v>60</v>
      </c>
      <c r="E21" s="310">
        <f t="shared" si="0"/>
        <v>150.23662268072215</v>
      </c>
      <c r="F21" s="188"/>
      <c r="G21" s="327">
        <f>T_03b!D22</f>
        <v>10</v>
      </c>
      <c r="H21" s="310">
        <f t="shared" si="1"/>
        <v>25.039437113453687</v>
      </c>
      <c r="I21" s="164"/>
      <c r="J21" s="327">
        <f>T_03b!B22</f>
        <v>70</v>
      </c>
      <c r="K21" s="330">
        <f t="shared" si="2"/>
        <v>175.27605979417584</v>
      </c>
      <c r="L21" s="164"/>
      <c r="N21"/>
      <c r="O21"/>
      <c r="P21"/>
      <c r="Q21"/>
      <c r="R21"/>
      <c r="S21"/>
      <c r="T21"/>
      <c r="U21"/>
    </row>
    <row r="22" spans="1:21" ht="13.5" customHeight="1" x14ac:dyDescent="0.2">
      <c r="A22" s="153" t="s">
        <v>40</v>
      </c>
      <c r="B22" s="1032">
        <f>T_03b!E23</f>
        <v>44838</v>
      </c>
      <c r="C22" s="331"/>
      <c r="D22" s="322">
        <f>T_03b!C23</f>
        <v>35</v>
      </c>
      <c r="E22" s="312">
        <f t="shared" si="0"/>
        <v>78.058789419688651</v>
      </c>
      <c r="F22" s="188"/>
      <c r="G22" s="328">
        <f>T_03b!D23</f>
        <v>4</v>
      </c>
      <c r="H22" s="312">
        <f t="shared" si="1"/>
        <v>8.9210045051072751</v>
      </c>
      <c r="I22" s="164"/>
      <c r="J22" s="328">
        <f>T_03b!B23</f>
        <v>39</v>
      </c>
      <c r="K22" s="191">
        <f t="shared" si="2"/>
        <v>86.979793924795928</v>
      </c>
      <c r="L22" s="164"/>
      <c r="N22"/>
      <c r="O22"/>
      <c r="P22"/>
      <c r="Q22"/>
      <c r="R22"/>
      <c r="S22"/>
      <c r="T22"/>
      <c r="U22"/>
    </row>
    <row r="23" spans="1:21" ht="13.5" customHeight="1" x14ac:dyDescent="0.2">
      <c r="A23" s="152" t="s">
        <v>393</v>
      </c>
      <c r="B23" s="1034">
        <f>T_03b!E24</f>
        <v>14714</v>
      </c>
      <c r="C23" s="331"/>
      <c r="D23" s="320">
        <f>T_03b!C24</f>
        <v>16</v>
      </c>
      <c r="E23" s="310">
        <f t="shared" si="0"/>
        <v>108.73997553350551</v>
      </c>
      <c r="F23" s="188"/>
      <c r="G23" s="327">
        <f>T_03b!D24</f>
        <v>1</v>
      </c>
      <c r="H23" s="310">
        <f t="shared" si="1"/>
        <v>6.7962484708440947</v>
      </c>
      <c r="I23" s="164"/>
      <c r="J23" s="327">
        <f>T_03b!B24</f>
        <v>17</v>
      </c>
      <c r="K23" s="330">
        <f t="shared" si="2"/>
        <v>115.53622400434959</v>
      </c>
      <c r="L23" s="164"/>
      <c r="N23"/>
      <c r="O23"/>
      <c r="P23"/>
      <c r="Q23"/>
      <c r="R23"/>
      <c r="S23"/>
      <c r="T23"/>
      <c r="U23"/>
    </row>
    <row r="24" spans="1:21" ht="13.5" customHeight="1" x14ac:dyDescent="0.2">
      <c r="A24" s="153" t="s">
        <v>41</v>
      </c>
      <c r="B24" s="1032">
        <f>T_03b!E25</f>
        <v>67960</v>
      </c>
      <c r="C24" s="331"/>
      <c r="D24" s="322">
        <f>T_03b!C25</f>
        <v>147</v>
      </c>
      <c r="E24" s="312">
        <f t="shared" si="0"/>
        <v>216.3037080635668</v>
      </c>
      <c r="F24" s="188"/>
      <c r="G24" s="328">
        <f>T_03b!D25</f>
        <v>15</v>
      </c>
      <c r="H24" s="312">
        <f t="shared" si="1"/>
        <v>22.071806945261919</v>
      </c>
      <c r="I24" s="164"/>
      <c r="J24" s="328">
        <f>T_03b!B25</f>
        <v>162</v>
      </c>
      <c r="K24" s="191">
        <f t="shared" si="2"/>
        <v>238.37551500882873</v>
      </c>
      <c r="L24" s="164"/>
      <c r="N24"/>
      <c r="O24"/>
      <c r="P24"/>
      <c r="Q24"/>
      <c r="R24"/>
      <c r="S24"/>
      <c r="T24"/>
      <c r="U24"/>
    </row>
    <row r="25" spans="1:21" ht="13.5" customHeight="1" x14ac:dyDescent="0.2">
      <c r="A25" s="152" t="s">
        <v>42</v>
      </c>
      <c r="B25" s="1034">
        <f>T_03b!E26</f>
        <v>154286</v>
      </c>
      <c r="C25" s="331"/>
      <c r="D25" s="320">
        <f>T_03b!C26</f>
        <v>262</v>
      </c>
      <c r="E25" s="310">
        <f t="shared" si="0"/>
        <v>169.81450034351789</v>
      </c>
      <c r="F25" s="188"/>
      <c r="G25" s="327">
        <f>T_03b!D26</f>
        <v>45</v>
      </c>
      <c r="H25" s="310">
        <f t="shared" si="1"/>
        <v>29.166612654421012</v>
      </c>
      <c r="I25" s="164"/>
      <c r="J25" s="327">
        <f>T_03b!B26</f>
        <v>307</v>
      </c>
      <c r="K25" s="330">
        <f t="shared" si="2"/>
        <v>198.98111299793891</v>
      </c>
      <c r="L25" s="164"/>
      <c r="N25"/>
      <c r="O25"/>
      <c r="P25"/>
      <c r="Q25"/>
      <c r="R25"/>
      <c r="S25"/>
      <c r="T25"/>
      <c r="U25"/>
    </row>
    <row r="26" spans="1:21" ht="13.5" customHeight="1" x14ac:dyDescent="0.2">
      <c r="A26" s="153" t="s">
        <v>43</v>
      </c>
      <c r="B26" s="1032">
        <f>T_03b!E27</f>
        <v>11192</v>
      </c>
      <c r="C26" s="331"/>
      <c r="D26" s="322">
        <f>T_03b!C27</f>
        <v>7</v>
      </c>
      <c r="E26" s="312">
        <f t="shared" si="0"/>
        <v>62.544674767691212</v>
      </c>
      <c r="F26" s="188"/>
      <c r="G26" s="328">
        <f>T_03b!D27</f>
        <v>0</v>
      </c>
      <c r="H26" s="312">
        <f t="shared" si="1"/>
        <v>0</v>
      </c>
      <c r="I26" s="164"/>
      <c r="J26" s="328">
        <f>T_03b!B27</f>
        <v>7</v>
      </c>
      <c r="K26" s="191">
        <f t="shared" si="2"/>
        <v>62.544674767691212</v>
      </c>
      <c r="L26" s="164"/>
      <c r="N26"/>
      <c r="O26"/>
      <c r="P26"/>
      <c r="Q26"/>
      <c r="R26"/>
      <c r="S26"/>
      <c r="T26"/>
      <c r="U26"/>
    </row>
    <row r="27" spans="1:21" ht="13.5" customHeight="1" x14ac:dyDescent="0.2">
      <c r="A27" s="152" t="s">
        <v>44</v>
      </c>
      <c r="B27" s="1034">
        <f>T_03b!E28</f>
        <v>71810</v>
      </c>
      <c r="C27" s="331"/>
      <c r="D27" s="320">
        <f>T_03b!C28</f>
        <v>113</v>
      </c>
      <c r="E27" s="310">
        <f t="shared" si="0"/>
        <v>157.3596992062387</v>
      </c>
      <c r="F27" s="188"/>
      <c r="G27" s="327">
        <f>T_03b!D28</f>
        <v>3</v>
      </c>
      <c r="H27" s="310">
        <f t="shared" si="1"/>
        <v>4.177691129369169</v>
      </c>
      <c r="I27" s="164"/>
      <c r="J27" s="327">
        <f>T_03b!B28</f>
        <v>116</v>
      </c>
      <c r="K27" s="330">
        <f t="shared" si="2"/>
        <v>161.53739033560785</v>
      </c>
      <c r="L27" s="164"/>
      <c r="N27"/>
      <c r="O27"/>
      <c r="P27"/>
      <c r="Q27"/>
      <c r="R27"/>
      <c r="S27"/>
      <c r="T27"/>
      <c r="U27"/>
    </row>
    <row r="28" spans="1:21" ht="13.5" customHeight="1" x14ac:dyDescent="0.2">
      <c r="A28" s="153" t="s">
        <v>45</v>
      </c>
      <c r="B28" s="1032">
        <f>T_03b!E29</f>
        <v>86449</v>
      </c>
      <c r="C28" s="331"/>
      <c r="D28" s="322">
        <f>T_03b!C29</f>
        <v>191</v>
      </c>
      <c r="E28" s="312">
        <f t="shared" si="0"/>
        <v>220.9395134703698</v>
      </c>
      <c r="F28" s="188"/>
      <c r="G28" s="328">
        <f>T_03b!D29</f>
        <v>32</v>
      </c>
      <c r="H28" s="312">
        <f t="shared" si="1"/>
        <v>37.016044141632634</v>
      </c>
      <c r="I28" s="164"/>
      <c r="J28" s="328">
        <f>T_03b!B29</f>
        <v>223</v>
      </c>
      <c r="K28" s="191">
        <f t="shared" si="2"/>
        <v>257.95555761200245</v>
      </c>
      <c r="L28" s="164"/>
      <c r="N28"/>
      <c r="O28"/>
      <c r="P28"/>
      <c r="Q28"/>
      <c r="R28"/>
      <c r="S28"/>
      <c r="T28"/>
      <c r="U28"/>
    </row>
    <row r="29" spans="1:21" ht="13.5" customHeight="1" x14ac:dyDescent="0.2">
      <c r="A29" s="152" t="s">
        <v>46</v>
      </c>
      <c r="B29" s="1034">
        <f>T_03b!E30</f>
        <v>58167</v>
      </c>
      <c r="C29" s="331"/>
      <c r="D29" s="320">
        <f>T_03b!C30</f>
        <v>92</v>
      </c>
      <c r="E29" s="310">
        <f t="shared" si="0"/>
        <v>158.16528272044286</v>
      </c>
      <c r="F29" s="188"/>
      <c r="G29" s="327">
        <f>T_03b!D30</f>
        <v>8</v>
      </c>
      <c r="H29" s="310">
        <f t="shared" si="1"/>
        <v>13.753502845255902</v>
      </c>
      <c r="I29" s="164"/>
      <c r="J29" s="327">
        <f>T_03b!B30</f>
        <v>100</v>
      </c>
      <c r="K29" s="330">
        <f t="shared" si="2"/>
        <v>171.91878556569876</v>
      </c>
      <c r="L29" s="164"/>
      <c r="N29"/>
      <c r="O29"/>
      <c r="P29"/>
      <c r="Q29"/>
      <c r="R29"/>
      <c r="S29"/>
      <c r="T29"/>
      <c r="U29"/>
    </row>
    <row r="30" spans="1:21" ht="13.5" customHeight="1" x14ac:dyDescent="0.2">
      <c r="A30" s="153" t="s">
        <v>47</v>
      </c>
      <c r="B30" s="1032">
        <f>T_03b!E31</f>
        <v>11180</v>
      </c>
      <c r="C30" s="331"/>
      <c r="D30" s="322">
        <f>T_03b!C31</f>
        <v>12</v>
      </c>
      <c r="E30" s="312">
        <f t="shared" si="0"/>
        <v>107.3345259391771</v>
      </c>
      <c r="F30" s="188"/>
      <c r="G30" s="328">
        <f>T_03b!D31</f>
        <v>1</v>
      </c>
      <c r="H30" s="312">
        <f t="shared" si="1"/>
        <v>8.9445438282647576</v>
      </c>
      <c r="I30" s="164"/>
      <c r="J30" s="328">
        <f>T_03b!B31</f>
        <v>13</v>
      </c>
      <c r="K30" s="191">
        <f t="shared" si="2"/>
        <v>116.27906976744185</v>
      </c>
      <c r="L30" s="164"/>
      <c r="N30"/>
      <c r="O30"/>
      <c r="P30"/>
      <c r="Q30"/>
      <c r="R30"/>
      <c r="S30"/>
      <c r="T30"/>
      <c r="U30"/>
    </row>
    <row r="31" spans="1:21" ht="13.5" customHeight="1" x14ac:dyDescent="0.2">
      <c r="A31" s="152" t="s">
        <v>48</v>
      </c>
      <c r="B31" s="1034">
        <f>T_03b!E32</f>
        <v>55252</v>
      </c>
      <c r="C31" s="331"/>
      <c r="D31" s="320">
        <f>T_03b!C32</f>
        <v>95</v>
      </c>
      <c r="E31" s="310">
        <f t="shared" si="0"/>
        <v>171.93947730398898</v>
      </c>
      <c r="F31" s="188"/>
      <c r="G31" s="327">
        <f>T_03b!D32</f>
        <v>10</v>
      </c>
      <c r="H31" s="310">
        <f t="shared" si="1"/>
        <v>18.098892347788315</v>
      </c>
      <c r="I31" s="164"/>
      <c r="J31" s="327">
        <f>T_03b!B32</f>
        <v>105</v>
      </c>
      <c r="K31" s="330">
        <f t="shared" si="2"/>
        <v>190.03836965177732</v>
      </c>
      <c r="L31" s="164"/>
      <c r="N31"/>
      <c r="O31"/>
      <c r="P31"/>
      <c r="Q31"/>
      <c r="R31"/>
      <c r="S31"/>
      <c r="T31"/>
      <c r="U31"/>
    </row>
    <row r="32" spans="1:21" ht="13.5" customHeight="1" x14ac:dyDescent="0.2">
      <c r="A32" s="153" t="s">
        <v>49</v>
      </c>
      <c r="B32" s="1032">
        <f>T_03b!E33</f>
        <v>149972</v>
      </c>
      <c r="C32" s="331"/>
      <c r="D32" s="322">
        <f>T_03b!C33</f>
        <v>244</v>
      </c>
      <c r="E32" s="312">
        <f t="shared" si="0"/>
        <v>162.69703678019897</v>
      </c>
      <c r="F32" s="188"/>
      <c r="G32" s="328">
        <f>T_03b!D33</f>
        <v>34</v>
      </c>
      <c r="H32" s="312">
        <f t="shared" si="1"/>
        <v>22.670898567732642</v>
      </c>
      <c r="I32" s="164"/>
      <c r="J32" s="328">
        <f>T_03b!B33</f>
        <v>278</v>
      </c>
      <c r="K32" s="191">
        <f t="shared" si="2"/>
        <v>185.36793534793162</v>
      </c>
      <c r="L32" s="164"/>
      <c r="N32"/>
      <c r="O32"/>
      <c r="P32"/>
      <c r="Q32"/>
      <c r="R32"/>
      <c r="S32"/>
      <c r="T32"/>
      <c r="U32"/>
    </row>
    <row r="33" spans="1:21" ht="13.5" customHeight="1" x14ac:dyDescent="0.2">
      <c r="A33" s="152" t="s">
        <v>50</v>
      </c>
      <c r="B33" s="1034">
        <f>T_03b!E34</f>
        <v>41250</v>
      </c>
      <c r="C33" s="331"/>
      <c r="D33" s="320">
        <f>T_03b!C34</f>
        <v>79</v>
      </c>
      <c r="E33" s="310">
        <f t="shared" si="0"/>
        <v>191.5151515151515</v>
      </c>
      <c r="F33" s="188"/>
      <c r="G33" s="327">
        <f>T_03b!D34</f>
        <v>7</v>
      </c>
      <c r="H33" s="310">
        <f t="shared" si="1"/>
        <v>16.969696969696969</v>
      </c>
      <c r="I33" s="164"/>
      <c r="J33" s="327">
        <f>T_03b!B34</f>
        <v>86</v>
      </c>
      <c r="K33" s="330">
        <f t="shared" si="2"/>
        <v>208.4848484848485</v>
      </c>
      <c r="L33" s="164"/>
      <c r="N33"/>
      <c r="O33"/>
      <c r="P33"/>
      <c r="Q33"/>
      <c r="R33"/>
      <c r="S33"/>
      <c r="T33"/>
      <c r="U33"/>
    </row>
    <row r="34" spans="1:21" ht="13.5" customHeight="1" x14ac:dyDescent="0.2">
      <c r="A34" s="153" t="s">
        <v>51</v>
      </c>
      <c r="B34" s="1032">
        <f>T_03b!E35</f>
        <v>45093</v>
      </c>
      <c r="C34" s="331"/>
      <c r="D34" s="322">
        <f>T_03b!C35</f>
        <v>141</v>
      </c>
      <c r="E34" s="312">
        <f t="shared" si="0"/>
        <v>312.6871132991817</v>
      </c>
      <c r="F34" s="188"/>
      <c r="G34" s="328">
        <f>T_03b!D35</f>
        <v>17</v>
      </c>
      <c r="H34" s="312">
        <f t="shared" si="1"/>
        <v>37.699864724014809</v>
      </c>
      <c r="I34" s="164"/>
      <c r="J34" s="328">
        <f>T_03b!B35</f>
        <v>158</v>
      </c>
      <c r="K34" s="191">
        <f t="shared" si="2"/>
        <v>350.38697802319649</v>
      </c>
      <c r="L34" s="164"/>
      <c r="N34"/>
      <c r="O34"/>
      <c r="P34"/>
      <c r="Q34"/>
      <c r="R34"/>
      <c r="S34"/>
      <c r="T34"/>
      <c r="U34"/>
    </row>
    <row r="35" spans="1:21" ht="13.5" customHeight="1" x14ac:dyDescent="0.2">
      <c r="A35" s="152" t="s">
        <v>52</v>
      </c>
      <c r="B35" s="1034">
        <f>T_03b!E36</f>
        <v>79112</v>
      </c>
      <c r="C35" s="331"/>
      <c r="D35" s="320">
        <f>T_03b!C36</f>
        <v>149</v>
      </c>
      <c r="E35" s="310">
        <f t="shared" si="0"/>
        <v>188.34058044291638</v>
      </c>
      <c r="F35" s="188"/>
      <c r="G35" s="327">
        <f>T_03b!D36</f>
        <v>20</v>
      </c>
      <c r="H35" s="310">
        <f t="shared" si="1"/>
        <v>25.280614824552533</v>
      </c>
      <c r="I35" s="164"/>
      <c r="J35" s="327">
        <f>T_03b!B36</f>
        <v>169</v>
      </c>
      <c r="K35" s="330">
        <f t="shared" si="2"/>
        <v>213.62119526746889</v>
      </c>
      <c r="L35" s="164"/>
      <c r="N35"/>
      <c r="O35"/>
      <c r="P35"/>
      <c r="Q35"/>
      <c r="R35"/>
      <c r="S35"/>
      <c r="T35"/>
      <c r="U35"/>
    </row>
    <row r="36" spans="1:21" x14ac:dyDescent="0.2">
      <c r="A36" s="183"/>
      <c r="B36" s="1033"/>
      <c r="C36" s="332"/>
      <c r="D36" s="324"/>
      <c r="E36" s="1221"/>
      <c r="F36" s="188"/>
      <c r="G36" s="324"/>
      <c r="H36" s="1221"/>
      <c r="I36" s="164"/>
      <c r="J36" s="328"/>
      <c r="K36" s="958"/>
      <c r="L36" s="164"/>
      <c r="N36"/>
      <c r="O36"/>
      <c r="P36"/>
      <c r="Q36"/>
      <c r="R36"/>
      <c r="S36"/>
      <c r="T36"/>
      <c r="U36"/>
    </row>
    <row r="37" spans="1:21" s="101" customFormat="1" ht="30" customHeight="1" x14ac:dyDescent="0.2">
      <c r="A37" s="171" t="s">
        <v>159</v>
      </c>
      <c r="B37" s="147">
        <f>SUM(B4:B35)</f>
        <v>2595031</v>
      </c>
      <c r="C37" s="166"/>
      <c r="D37" s="97">
        <f>SUM(D4:D36)</f>
        <v>4752</v>
      </c>
      <c r="E37" s="1219">
        <f>D37/B37*100000</f>
        <v>183.1191997321034</v>
      </c>
      <c r="F37" s="104"/>
      <c r="G37" s="97">
        <f>SUM(G4:G36)</f>
        <v>558</v>
      </c>
      <c r="H37" s="1219">
        <f>G37/B37*100000</f>
        <v>21.502633301875779</v>
      </c>
      <c r="I37" s="105"/>
      <c r="J37" s="97">
        <f>SUM(J4:J36)</f>
        <v>5310</v>
      </c>
      <c r="K37" s="957">
        <f>J37/B37*100000</f>
        <v>204.62183303397919</v>
      </c>
      <c r="L37" s="167"/>
      <c r="N37"/>
      <c r="O37"/>
      <c r="P37"/>
      <c r="Q37"/>
      <c r="R37"/>
      <c r="S37"/>
      <c r="T37"/>
      <c r="U37"/>
    </row>
    <row r="38" spans="1:21" ht="12.75" customHeight="1" x14ac:dyDescent="0.2">
      <c r="N38"/>
      <c r="O38"/>
      <c r="P38"/>
      <c r="Q38"/>
      <c r="R38"/>
      <c r="S38"/>
      <c r="T38"/>
      <c r="U38"/>
    </row>
    <row r="39" spans="1:21" ht="12.75" customHeight="1" x14ac:dyDescent="0.2">
      <c r="A39" s="13" t="s">
        <v>162</v>
      </c>
      <c r="N39"/>
      <c r="O39"/>
      <c r="P39"/>
      <c r="Q39"/>
      <c r="R39"/>
      <c r="S39"/>
      <c r="T39"/>
      <c r="U39"/>
    </row>
    <row r="40" spans="1:21" ht="12.75" customHeight="1" x14ac:dyDescent="0.2">
      <c r="A40" s="1" t="s">
        <v>963</v>
      </c>
      <c r="B40" s="71"/>
      <c r="C40" s="136"/>
      <c r="N40"/>
      <c r="O40"/>
      <c r="P40"/>
      <c r="Q40"/>
      <c r="R40"/>
      <c r="S40"/>
      <c r="T40"/>
      <c r="U40"/>
    </row>
    <row r="41" spans="1:21" ht="12.75" customHeight="1" x14ac:dyDescent="0.2">
      <c r="A41" s="1" t="s">
        <v>974</v>
      </c>
    </row>
    <row r="42" spans="1:21" ht="12.75" customHeight="1" x14ac:dyDescent="0.2">
      <c r="A42" s="1541" t="s">
        <v>689</v>
      </c>
      <c r="B42" s="550"/>
      <c r="C42" s="550"/>
      <c r="D42" s="550"/>
      <c r="E42" s="550"/>
      <c r="F42" s="550"/>
      <c r="G42" s="550"/>
      <c r="H42" s="550"/>
      <c r="I42" s="550"/>
      <c r="J42" s="550"/>
      <c r="K42" s="550"/>
    </row>
    <row r="43" spans="1:21" ht="12.75" customHeight="1" x14ac:dyDescent="0.2">
      <c r="A43" s="334"/>
      <c r="B43" s="334"/>
      <c r="C43" s="334"/>
      <c r="D43" s="334"/>
      <c r="E43" s="334"/>
      <c r="F43" s="334"/>
      <c r="G43" s="334"/>
      <c r="H43" s="334"/>
      <c r="I43" s="334"/>
      <c r="J43" s="334"/>
      <c r="K43" s="334"/>
    </row>
    <row r="44" spans="1:21" ht="12.75" customHeight="1" x14ac:dyDescent="0.2">
      <c r="A44" s="51" t="s">
        <v>136</v>
      </c>
      <c r="B44" s="51"/>
      <c r="C44" s="333"/>
    </row>
  </sheetData>
  <sheetProtection algorithmName="SHA-512" hashValue="G3gaxKHxEwnvQO1riNPDsKlzhUuhiSUEGgmOAkB94sUzspIqjOPW8ZwyMqyczoMtlGPhh42IsB0dMOLg2Hwiog==" saltValue="7CGPiW1QClQxRpFD2LX8PQ==" spinCount="100000" sheet="1" objects="1" scenarios="1"/>
  <mergeCells count="2">
    <mergeCell ref="G2:K2"/>
    <mergeCell ref="A1:G1"/>
  </mergeCells>
  <hyperlinks>
    <hyperlink ref="A44" location="Contents!A1" display="Return to contents " xr:uid="{00000000-0004-0000-1400-000000000000}"/>
    <hyperlink ref="A42" r:id="rId1" xr:uid="{00000000-0004-0000-1400-000001000000}"/>
  </hyperlinks>
  <pageMargins left="0.70866141732283472" right="0.70866141732283472" top="0.74803149606299213" bottom="0.74803149606299213" header="0.31496062992125984" footer="0.31496062992125984"/>
  <pageSetup paperSize="9" scale="62"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3">
    <tabColor rgb="FF960000"/>
    <pageSetUpPr fitToPage="1"/>
  </sheetPr>
  <dimension ref="A1:C13"/>
  <sheetViews>
    <sheetView showGridLines="0" zoomScaleNormal="100" workbookViewId="0"/>
  </sheetViews>
  <sheetFormatPr defaultRowHeight="12.75" x14ac:dyDescent="0.2"/>
  <cols>
    <col min="2" max="2" width="16.140625" bestFit="1" customWidth="1"/>
  </cols>
  <sheetData>
    <row r="1" spans="1:3" ht="38.25" customHeight="1" x14ac:dyDescent="0.35">
      <c r="A1" s="1259" t="str">
        <f>"Choropleth Map and Cartogram of Accidental Dwelling Fire Rates per 100,000 Dwellings by Local Authority, " &amp; ThisYear</f>
        <v>Choropleth Map and Cartogram of Accidental Dwelling Fire Rates per 100,000 Dwellings by Local Authority, 2017-18</v>
      </c>
    </row>
    <row r="3" spans="1:3" x14ac:dyDescent="0.2">
      <c r="A3" s="386"/>
    </row>
    <row r="9" spans="1:3" x14ac:dyDescent="0.2">
      <c r="C9" s="768"/>
    </row>
    <row r="10" spans="1:3" x14ac:dyDescent="0.2">
      <c r="C10" s="768"/>
    </row>
    <row r="11" spans="1:3" x14ac:dyDescent="0.2">
      <c r="C11" s="768"/>
    </row>
    <row r="12" spans="1:3" x14ac:dyDescent="0.2">
      <c r="C12" s="768"/>
    </row>
    <row r="13" spans="1:3" x14ac:dyDescent="0.2">
      <c r="C13" s="768"/>
    </row>
  </sheetData>
  <sheetProtection algorithmName="SHA-512" hashValue="ibISfRPCoYHNU8q/JSc/Zpud+Op6V4LEe5G6dT+uIKQYxrG/7UcGzQ6Q45P7axaQtGhOx2T0BEpCanYR5KDV8w==" saltValue="ih3sLEiY6EVLA11f9u9K5Q==" spinCount="100000" sheet="1" objects="1" scenarios="1"/>
  <pageMargins left="0.25" right="0.25" top="0.75" bottom="0.75" header="0.3" footer="0.3"/>
  <pageSetup paperSize="9" scale="8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4"/>
    <pageSetUpPr fitToPage="1"/>
  </sheetPr>
  <dimension ref="A1:K102"/>
  <sheetViews>
    <sheetView showGridLines="0" zoomScaleNormal="100" workbookViewId="0">
      <selection sqref="A1:J1"/>
    </sheetView>
  </sheetViews>
  <sheetFormatPr defaultRowHeight="12.75" x14ac:dyDescent="0.2"/>
  <cols>
    <col min="1" max="1" width="23.140625" style="1" customWidth="1"/>
    <col min="2" max="2" width="12.7109375" style="1" customWidth="1"/>
    <col min="3" max="3" width="4.5703125" style="1" customWidth="1"/>
    <col min="4" max="4" width="10" style="1" customWidth="1"/>
    <col min="5" max="5" width="11.42578125" style="1" customWidth="1"/>
    <col min="6" max="6" width="9.28515625" style="1" customWidth="1"/>
    <col min="7" max="7" width="4" style="1" customWidth="1"/>
    <col min="8" max="8" width="12.28515625" style="1" customWidth="1"/>
    <col min="9" max="9" width="10.28515625" style="1" customWidth="1"/>
    <col min="10" max="10" width="12.140625" style="1" customWidth="1"/>
    <col min="11" max="11" width="9.140625" style="1"/>
    <col min="12" max="12" width="10.5703125" style="1" customWidth="1"/>
    <col min="13" max="16384" width="9.140625" style="1"/>
  </cols>
  <sheetData>
    <row r="1" spans="1:11" ht="38.25" customHeight="1" x14ac:dyDescent="0.2">
      <c r="A1" s="1655" t="s">
        <v>935</v>
      </c>
      <c r="B1" s="1655"/>
      <c r="C1" s="1655"/>
      <c r="D1" s="1655"/>
      <c r="E1" s="1655"/>
      <c r="F1" s="1655"/>
      <c r="G1" s="1655"/>
      <c r="H1" s="1655"/>
      <c r="I1" s="1655"/>
      <c r="J1" s="1655"/>
    </row>
    <row r="2" spans="1:11" ht="15" customHeight="1" x14ac:dyDescent="0.25">
      <c r="F2" s="234" t="s">
        <v>0</v>
      </c>
      <c r="G2" s="253"/>
      <c r="J2" s="145" t="s">
        <v>64</v>
      </c>
    </row>
    <row r="3" spans="1:11" ht="26.25" customHeight="1" x14ac:dyDescent="0.2">
      <c r="A3" s="17" t="s">
        <v>4</v>
      </c>
      <c r="B3" s="670" t="s">
        <v>167</v>
      </c>
      <c r="C3" s="228"/>
      <c r="D3" s="117" t="s">
        <v>151</v>
      </c>
      <c r="E3" s="1115" t="s">
        <v>161</v>
      </c>
      <c r="F3" s="229" t="s">
        <v>153</v>
      </c>
      <c r="G3" s="564"/>
      <c r="H3" s="117" t="s">
        <v>151</v>
      </c>
      <c r="I3" s="1115" t="s">
        <v>161</v>
      </c>
      <c r="J3" s="229" t="s">
        <v>153</v>
      </c>
    </row>
    <row r="4" spans="1:11" ht="18.75" customHeight="1" x14ac:dyDescent="0.2">
      <c r="A4" s="17" t="s">
        <v>16</v>
      </c>
      <c r="B4" s="1053">
        <f>SUM(D4:F4)</f>
        <v>54433</v>
      </c>
      <c r="C4" s="34"/>
      <c r="D4" s="575">
        <v>4783</v>
      </c>
      <c r="E4" s="576">
        <v>35056</v>
      </c>
      <c r="F4" s="1082">
        <v>14594</v>
      </c>
      <c r="G4" s="34"/>
      <c r="H4" s="948">
        <f t="shared" ref="H4:H14" si="0">D4/B4*100</f>
        <v>8.7869490933808532</v>
      </c>
      <c r="I4" s="949">
        <f t="shared" ref="I4:I14" si="1">E4/B4*100</f>
        <v>64.402109014752085</v>
      </c>
      <c r="J4" s="950">
        <f t="shared" ref="J4:J14" si="2">F4/B4*100</f>
        <v>26.810941891867067</v>
      </c>
    </row>
    <row r="5" spans="1:11" ht="13.5" customHeight="1" x14ac:dyDescent="0.2">
      <c r="A5" s="5" t="s">
        <v>18</v>
      </c>
      <c r="B5" s="8">
        <f t="shared" ref="B5:B11" si="3">SUM(D5:F5)</f>
        <v>53235</v>
      </c>
      <c r="C5" s="34"/>
      <c r="D5" s="70">
        <v>3895</v>
      </c>
      <c r="E5" s="72">
        <v>37063</v>
      </c>
      <c r="F5" s="132">
        <v>12277</v>
      </c>
      <c r="G5" s="34"/>
      <c r="H5" s="273">
        <f t="shared" si="0"/>
        <v>7.3166150089227013</v>
      </c>
      <c r="I5" s="274">
        <f t="shared" si="1"/>
        <v>69.621489621489616</v>
      </c>
      <c r="J5" s="275">
        <f t="shared" si="2"/>
        <v>23.061895369587678</v>
      </c>
    </row>
    <row r="6" spans="1:11" ht="13.5" customHeight="1" x14ac:dyDescent="0.2">
      <c r="A6" s="30" t="s">
        <v>19</v>
      </c>
      <c r="B6" s="8">
        <f t="shared" si="3"/>
        <v>52048</v>
      </c>
      <c r="C6" s="34"/>
      <c r="D6" s="70">
        <v>2935</v>
      </c>
      <c r="E6" s="72">
        <v>36277</v>
      </c>
      <c r="F6" s="132">
        <v>12836</v>
      </c>
      <c r="G6" s="34"/>
      <c r="H6" s="273">
        <f t="shared" si="0"/>
        <v>5.6390255149093145</v>
      </c>
      <c r="I6" s="274">
        <f t="shared" si="1"/>
        <v>69.699123885644028</v>
      </c>
      <c r="J6" s="275">
        <f t="shared" si="2"/>
        <v>24.661850599446662</v>
      </c>
    </row>
    <row r="7" spans="1:11" ht="13.5" customHeight="1" x14ac:dyDescent="0.2">
      <c r="A7" s="30" t="s">
        <v>20</v>
      </c>
      <c r="B7" s="8">
        <f t="shared" si="3"/>
        <v>49813</v>
      </c>
      <c r="C7" s="34"/>
      <c r="D7" s="70">
        <v>2753</v>
      </c>
      <c r="E7" s="72">
        <v>35235</v>
      </c>
      <c r="F7" s="132">
        <v>11825</v>
      </c>
      <c r="G7" s="34"/>
      <c r="H7" s="273">
        <f t="shared" si="0"/>
        <v>5.5266697448457229</v>
      </c>
      <c r="I7" s="274">
        <f t="shared" si="1"/>
        <v>70.734547206552506</v>
      </c>
      <c r="J7" s="275">
        <f t="shared" si="2"/>
        <v>23.738783048601768</v>
      </c>
    </row>
    <row r="8" spans="1:11" ht="13.5" customHeight="1" x14ac:dyDescent="0.2">
      <c r="A8" s="30" t="s">
        <v>13</v>
      </c>
      <c r="B8" s="8">
        <f t="shared" si="3"/>
        <v>47917</v>
      </c>
      <c r="C8" s="34"/>
      <c r="D8" s="70">
        <v>2621</v>
      </c>
      <c r="E8" s="72">
        <v>34935</v>
      </c>
      <c r="F8" s="132">
        <v>10361</v>
      </c>
      <c r="G8" s="34"/>
      <c r="H8" s="273">
        <f t="shared" si="0"/>
        <v>5.4698749921739678</v>
      </c>
      <c r="I8" s="274">
        <f t="shared" si="1"/>
        <v>72.90731890560761</v>
      </c>
      <c r="J8" s="275">
        <f t="shared" si="2"/>
        <v>21.622806102218419</v>
      </c>
    </row>
    <row r="9" spans="1:11" ht="13.5" customHeight="1" x14ac:dyDescent="0.2">
      <c r="A9" s="30" t="s">
        <v>15</v>
      </c>
      <c r="B9" s="8">
        <f t="shared" si="3"/>
        <v>47288</v>
      </c>
      <c r="C9" s="34"/>
      <c r="D9" s="70">
        <v>2308</v>
      </c>
      <c r="E9" s="72">
        <v>35107</v>
      </c>
      <c r="F9" s="132">
        <v>9873</v>
      </c>
      <c r="G9" s="34"/>
      <c r="H9" s="273">
        <f t="shared" si="0"/>
        <v>4.8807308408052776</v>
      </c>
      <c r="I9" s="274">
        <f t="shared" si="1"/>
        <v>74.240822195905949</v>
      </c>
      <c r="J9" s="275">
        <f t="shared" si="2"/>
        <v>20.878446963288784</v>
      </c>
    </row>
    <row r="10" spans="1:11" ht="13.5" customHeight="1" x14ac:dyDescent="0.2">
      <c r="A10" s="30" t="s">
        <v>17</v>
      </c>
      <c r="B10" s="8">
        <f t="shared" si="3"/>
        <v>47220</v>
      </c>
      <c r="C10" s="34"/>
      <c r="D10" s="70">
        <v>2366</v>
      </c>
      <c r="E10" s="72">
        <v>35236</v>
      </c>
      <c r="F10" s="132">
        <v>9618</v>
      </c>
      <c r="G10" s="34"/>
      <c r="H10" s="273">
        <f t="shared" si="0"/>
        <v>5.010588733587463</v>
      </c>
      <c r="I10" s="274">
        <f t="shared" si="1"/>
        <v>74.620923337568826</v>
      </c>
      <c r="J10" s="275">
        <f t="shared" si="2"/>
        <v>20.36848792884371</v>
      </c>
    </row>
    <row r="11" spans="1:11" ht="13.5" customHeight="1" x14ac:dyDescent="0.2">
      <c r="A11" s="30" t="s">
        <v>147</v>
      </c>
      <c r="B11" s="8">
        <f t="shared" si="3"/>
        <v>48668</v>
      </c>
      <c r="C11" s="34"/>
      <c r="D11" s="70">
        <v>2056</v>
      </c>
      <c r="E11" s="72">
        <v>37355</v>
      </c>
      <c r="F11" s="132">
        <v>9257</v>
      </c>
      <c r="G11" s="34"/>
      <c r="H11" s="273">
        <f t="shared" si="0"/>
        <v>4.2245417933755238</v>
      </c>
      <c r="I11" s="274">
        <f t="shared" si="1"/>
        <v>76.754746445302871</v>
      </c>
      <c r="J11" s="275">
        <f t="shared" si="2"/>
        <v>19.020711761321607</v>
      </c>
    </row>
    <row r="12" spans="1:11" s="71" customFormat="1" ht="13.5" customHeight="1" x14ac:dyDescent="0.2">
      <c r="A12" s="30" t="str">
        <f>'T04'!$A$5</f>
        <v>2015-16</v>
      </c>
      <c r="B12" s="8">
        <f>'T04'!$B$5</f>
        <v>48845</v>
      </c>
      <c r="C12" s="72" t="s">
        <v>145</v>
      </c>
      <c r="D12" s="70">
        <f>'T04'!$E$5</f>
        <v>2375</v>
      </c>
      <c r="E12" s="72">
        <f>'T04'!$C$5</f>
        <v>37621</v>
      </c>
      <c r="F12" s="132">
        <f>'T04'!$D$5</f>
        <v>8849</v>
      </c>
      <c r="G12" s="72" t="s">
        <v>145</v>
      </c>
      <c r="H12" s="273">
        <f t="shared" si="0"/>
        <v>4.8623195823523391</v>
      </c>
      <c r="I12" s="274">
        <f t="shared" si="1"/>
        <v>77.021189476916774</v>
      </c>
      <c r="J12" s="275">
        <f t="shared" si="2"/>
        <v>18.116490940730884</v>
      </c>
      <c r="K12" s="72" t="s">
        <v>145</v>
      </c>
    </row>
    <row r="13" spans="1:11" s="71" customFormat="1" ht="13.5" customHeight="1" x14ac:dyDescent="0.2">
      <c r="A13" s="30" t="str">
        <f>'T04'!$A$6</f>
        <v>2016-17</v>
      </c>
      <c r="B13" s="8">
        <f>'T04'!$B$6</f>
        <v>50863</v>
      </c>
      <c r="C13" s="72" t="s">
        <v>145</v>
      </c>
      <c r="D13" s="70">
        <f>'T04'!$E$6</f>
        <v>2281</v>
      </c>
      <c r="E13" s="72">
        <f>'T04'!$C$6</f>
        <v>39626</v>
      </c>
      <c r="F13" s="132">
        <f>'T04'!$D$6</f>
        <v>8956</v>
      </c>
      <c r="G13" s="72" t="s">
        <v>145</v>
      </c>
      <c r="H13" s="273">
        <f>D13/B13*100</f>
        <v>4.4845958751941488</v>
      </c>
      <c r="I13" s="274">
        <f t="shared" si="1"/>
        <v>77.907319662623124</v>
      </c>
      <c r="J13" s="275">
        <f t="shared" si="2"/>
        <v>17.608084462182727</v>
      </c>
      <c r="K13" s="72" t="s">
        <v>145</v>
      </c>
    </row>
    <row r="14" spans="1:11" s="71" customFormat="1" ht="13.5" customHeight="1" x14ac:dyDescent="0.2">
      <c r="A14" s="1261" t="str">
        <f>'T04'!$A$7</f>
        <v>2017-18</v>
      </c>
      <c r="B14" s="1052">
        <f>'T04'!$B$7</f>
        <v>51787</v>
      </c>
      <c r="C14" s="72" t="s">
        <v>143</v>
      </c>
      <c r="D14" s="81">
        <f>'T04'!$E$7</f>
        <v>2338</v>
      </c>
      <c r="E14" s="75">
        <f>'T04'!$C$7</f>
        <v>40359</v>
      </c>
      <c r="F14" s="82">
        <f>'T04'!$D$7</f>
        <v>9090</v>
      </c>
      <c r="G14" s="1304" t="s">
        <v>143</v>
      </c>
      <c r="H14" s="288">
        <f t="shared" si="0"/>
        <v>4.514646532913666</v>
      </c>
      <c r="I14" s="289">
        <f t="shared" si="1"/>
        <v>77.932685809179915</v>
      </c>
      <c r="J14" s="290">
        <f t="shared" si="2"/>
        <v>17.552667657906422</v>
      </c>
      <c r="K14" s="1304" t="s">
        <v>143</v>
      </c>
    </row>
    <row r="15" spans="1:11" x14ac:dyDescent="0.2">
      <c r="D15" s="24"/>
      <c r="E15" s="24"/>
      <c r="F15" s="24"/>
    </row>
    <row r="16" spans="1:11" x14ac:dyDescent="0.2">
      <c r="A16" s="2" t="s">
        <v>162</v>
      </c>
      <c r="B16" s="85"/>
      <c r="C16" s="85"/>
    </row>
    <row r="17" spans="1:10" x14ac:dyDescent="0.2">
      <c r="A17" s="71" t="s">
        <v>975</v>
      </c>
      <c r="B17" s="71"/>
      <c r="C17" s="71"/>
    </row>
    <row r="18" spans="1:10" x14ac:dyDescent="0.2">
      <c r="A18" s="71" t="s">
        <v>971</v>
      </c>
      <c r="B18" s="71"/>
      <c r="C18" s="71"/>
    </row>
    <row r="19" spans="1:10" x14ac:dyDescent="0.2">
      <c r="A19" s="1655" t="s">
        <v>934</v>
      </c>
      <c r="B19" s="1655"/>
      <c r="C19" s="1655"/>
      <c r="D19" s="1655"/>
    </row>
    <row r="20" spans="1:10" ht="37.5" customHeight="1" x14ac:dyDescent="0.2">
      <c r="A20" s="1655"/>
      <c r="B20" s="1655"/>
      <c r="C20" s="1655"/>
      <c r="D20" s="1655"/>
      <c r="E20" s="467"/>
      <c r="F20" s="467"/>
      <c r="G20" s="467"/>
      <c r="H20" s="467"/>
      <c r="I20" s="467"/>
    </row>
    <row r="21" spans="1:10" ht="13.5" customHeight="1" x14ac:dyDescent="0.25">
      <c r="F21" s="234" t="s">
        <v>0</v>
      </c>
      <c r="G21" s="145"/>
      <c r="J21" s="145" t="s">
        <v>64</v>
      </c>
    </row>
    <row r="22" spans="1:10" ht="26.25" customHeight="1" x14ac:dyDescent="0.2">
      <c r="A22" s="4" t="s">
        <v>22</v>
      </c>
      <c r="B22" s="670" t="s">
        <v>167</v>
      </c>
      <c r="C22" s="228"/>
      <c r="D22" s="117" t="s">
        <v>151</v>
      </c>
      <c r="E22" s="1115" t="s">
        <v>161</v>
      </c>
      <c r="F22" s="229" t="s">
        <v>153</v>
      </c>
      <c r="G22" s="385"/>
      <c r="H22" s="117" t="s">
        <v>151</v>
      </c>
      <c r="I22" s="1115" t="s">
        <v>161</v>
      </c>
      <c r="J22" s="229" t="s">
        <v>153</v>
      </c>
    </row>
    <row r="23" spans="1:10" ht="18.75" customHeight="1" x14ac:dyDescent="0.2">
      <c r="A23" s="343" t="s">
        <v>23</v>
      </c>
      <c r="B23" s="961">
        <f>D23+E23+F23</f>
        <v>2582</v>
      </c>
      <c r="C23" s="1283"/>
      <c r="D23" s="344">
        <f>T_04!C5</f>
        <v>179</v>
      </c>
      <c r="E23" s="345">
        <f>T_04!D5</f>
        <v>2139</v>
      </c>
      <c r="F23" s="346">
        <f>T_04!E5</f>
        <v>264</v>
      </c>
      <c r="G23" s="164"/>
      <c r="H23" s="1364">
        <f t="shared" ref="H23:H54" si="4">D23/B23*100</f>
        <v>6.9326103795507352</v>
      </c>
      <c r="I23" s="1365">
        <f t="shared" ref="I23:I54" si="5">E23/B23*100</f>
        <v>82.84275755228505</v>
      </c>
      <c r="J23" s="1366">
        <f t="shared" ref="J23:J53" si="6">F23/B23*100</f>
        <v>10.224632068164214</v>
      </c>
    </row>
    <row r="24" spans="1:10" ht="13.5" customHeight="1" x14ac:dyDescent="0.2">
      <c r="A24" s="46" t="s">
        <v>24</v>
      </c>
      <c r="B24" s="963">
        <f t="shared" ref="B24:B55" si="7">D24+E24+F24</f>
        <v>1212</v>
      </c>
      <c r="C24" s="1284"/>
      <c r="D24" s="338">
        <f>T_04!C6</f>
        <v>36</v>
      </c>
      <c r="E24" s="337">
        <f>T_04!D6</f>
        <v>922</v>
      </c>
      <c r="F24" s="339">
        <f>T_04!E6</f>
        <v>254</v>
      </c>
      <c r="G24" s="164"/>
      <c r="H24" s="1367">
        <f>D24/B24*100</f>
        <v>2.9702970297029703</v>
      </c>
      <c r="I24" s="1368">
        <f t="shared" si="5"/>
        <v>76.072607260726073</v>
      </c>
      <c r="J24" s="1369">
        <f t="shared" si="6"/>
        <v>20.957095709570957</v>
      </c>
    </row>
    <row r="25" spans="1:10" ht="13.5" customHeight="1" x14ac:dyDescent="0.2">
      <c r="A25" s="343" t="s">
        <v>25</v>
      </c>
      <c r="B25" s="962">
        <f t="shared" si="7"/>
        <v>1003</v>
      </c>
      <c r="C25" s="1283"/>
      <c r="D25" s="347">
        <f>T_04!C7</f>
        <v>40</v>
      </c>
      <c r="E25" s="348">
        <f>T_04!D7</f>
        <v>819</v>
      </c>
      <c r="F25" s="349">
        <f>T_04!E7</f>
        <v>144</v>
      </c>
      <c r="G25" s="164"/>
      <c r="H25" s="1364">
        <f t="shared" si="4"/>
        <v>3.988035892323031</v>
      </c>
      <c r="I25" s="1365">
        <f t="shared" si="5"/>
        <v>81.65503489531406</v>
      </c>
      <c r="J25" s="1366">
        <f t="shared" si="6"/>
        <v>14.356929212362912</v>
      </c>
    </row>
    <row r="26" spans="1:10" ht="13.5" customHeight="1" x14ac:dyDescent="0.2">
      <c r="A26" s="46" t="s">
        <v>26</v>
      </c>
      <c r="B26" s="963">
        <f t="shared" si="7"/>
        <v>1087</v>
      </c>
      <c r="C26" s="1284"/>
      <c r="D26" s="338">
        <f>T_04!C8</f>
        <v>16</v>
      </c>
      <c r="E26" s="337">
        <f>T_04!D8</f>
        <v>933</v>
      </c>
      <c r="F26" s="339">
        <f>T_04!E8</f>
        <v>138</v>
      </c>
      <c r="G26" s="164"/>
      <c r="H26" s="1367">
        <f t="shared" si="4"/>
        <v>1.4719411223551058</v>
      </c>
      <c r="I26" s="1368">
        <f t="shared" si="5"/>
        <v>85.832566697332098</v>
      </c>
      <c r="J26" s="1369">
        <f t="shared" si="6"/>
        <v>12.695492180312787</v>
      </c>
    </row>
    <row r="27" spans="1:10" ht="13.5" customHeight="1" x14ac:dyDescent="0.2">
      <c r="A27" s="343" t="s">
        <v>27</v>
      </c>
      <c r="B27" s="962">
        <f t="shared" si="7"/>
        <v>488</v>
      </c>
      <c r="C27" s="1283"/>
      <c r="D27" s="347">
        <f>T_04!C9</f>
        <v>23</v>
      </c>
      <c r="E27" s="348">
        <f>T_04!D9</f>
        <v>334</v>
      </c>
      <c r="F27" s="349">
        <f>T_04!E9</f>
        <v>131</v>
      </c>
      <c r="G27" s="164"/>
      <c r="H27" s="1364">
        <f t="shared" si="4"/>
        <v>4.7131147540983607</v>
      </c>
      <c r="I27" s="1365">
        <f t="shared" si="5"/>
        <v>68.442622950819683</v>
      </c>
      <c r="J27" s="1366">
        <f t="shared" si="6"/>
        <v>26.844262295081968</v>
      </c>
    </row>
    <row r="28" spans="1:10" ht="13.5" customHeight="1" x14ac:dyDescent="0.2">
      <c r="A28" s="46" t="s">
        <v>28</v>
      </c>
      <c r="B28" s="963">
        <f t="shared" si="7"/>
        <v>1015</v>
      </c>
      <c r="C28" s="1284"/>
      <c r="D28" s="338">
        <f>T_04!C10</f>
        <v>22</v>
      </c>
      <c r="E28" s="337">
        <f>T_04!D10</f>
        <v>749</v>
      </c>
      <c r="F28" s="339">
        <f>T_04!E10</f>
        <v>244</v>
      </c>
      <c r="G28" s="164"/>
      <c r="H28" s="1367">
        <f t="shared" si="4"/>
        <v>2.1674876847290641</v>
      </c>
      <c r="I28" s="1368">
        <f t="shared" si="5"/>
        <v>73.793103448275872</v>
      </c>
      <c r="J28" s="1369">
        <f t="shared" si="6"/>
        <v>24.039408866995075</v>
      </c>
    </row>
    <row r="29" spans="1:10" ht="13.5" customHeight="1" x14ac:dyDescent="0.2">
      <c r="A29" s="343" t="s">
        <v>29</v>
      </c>
      <c r="B29" s="962">
        <f t="shared" si="7"/>
        <v>2211</v>
      </c>
      <c r="C29" s="1283"/>
      <c r="D29" s="347">
        <f>T_04!C11</f>
        <v>139</v>
      </c>
      <c r="E29" s="348">
        <f>T_04!D11</f>
        <v>1823</v>
      </c>
      <c r="F29" s="349">
        <f>T_04!E11</f>
        <v>249</v>
      </c>
      <c r="G29" s="164"/>
      <c r="H29" s="1364">
        <f t="shared" si="4"/>
        <v>6.2867480777928542</v>
      </c>
      <c r="I29" s="1365">
        <f t="shared" si="5"/>
        <v>82.451379466304843</v>
      </c>
      <c r="J29" s="1366">
        <f t="shared" si="6"/>
        <v>11.261872455902306</v>
      </c>
    </row>
    <row r="30" spans="1:10" ht="13.5" customHeight="1" x14ac:dyDescent="0.2">
      <c r="A30" s="46" t="s">
        <v>30</v>
      </c>
      <c r="B30" s="963">
        <f t="shared" si="7"/>
        <v>1197</v>
      </c>
      <c r="C30" s="1284"/>
      <c r="D30" s="338">
        <f>T_04!C12</f>
        <v>28</v>
      </c>
      <c r="E30" s="337">
        <f>T_04!D12</f>
        <v>915</v>
      </c>
      <c r="F30" s="339">
        <f>T_04!E12</f>
        <v>254</v>
      </c>
      <c r="G30" s="164"/>
      <c r="H30" s="1367">
        <f t="shared" si="4"/>
        <v>2.3391812865497075</v>
      </c>
      <c r="I30" s="1368">
        <f t="shared" si="5"/>
        <v>76.441102756892235</v>
      </c>
      <c r="J30" s="1369">
        <f t="shared" si="6"/>
        <v>21.219715956558062</v>
      </c>
    </row>
    <row r="31" spans="1:10" ht="13.5" customHeight="1" x14ac:dyDescent="0.2">
      <c r="A31" s="343" t="s">
        <v>31</v>
      </c>
      <c r="B31" s="962">
        <f t="shared" si="7"/>
        <v>648</v>
      </c>
      <c r="C31" s="1283"/>
      <c r="D31" s="347">
        <f>T_04!C13</f>
        <v>10</v>
      </c>
      <c r="E31" s="348">
        <f>T_04!D13</f>
        <v>507</v>
      </c>
      <c r="F31" s="349">
        <f>T_04!E13</f>
        <v>131</v>
      </c>
      <c r="G31" s="164"/>
      <c r="H31" s="1364">
        <f t="shared" si="4"/>
        <v>1.5432098765432098</v>
      </c>
      <c r="I31" s="1365">
        <f t="shared" si="5"/>
        <v>78.240740740740748</v>
      </c>
      <c r="J31" s="1366">
        <f t="shared" si="6"/>
        <v>20.216049382716051</v>
      </c>
    </row>
    <row r="32" spans="1:10" ht="13.5" customHeight="1" x14ac:dyDescent="0.2">
      <c r="A32" s="46" t="s">
        <v>32</v>
      </c>
      <c r="B32" s="963">
        <f t="shared" si="7"/>
        <v>925</v>
      </c>
      <c r="C32" s="1284"/>
      <c r="D32" s="338">
        <f>T_04!C14</f>
        <v>29</v>
      </c>
      <c r="E32" s="337">
        <f>T_04!D14</f>
        <v>719</v>
      </c>
      <c r="F32" s="339">
        <f>T_04!E14</f>
        <v>177</v>
      </c>
      <c r="G32" s="164"/>
      <c r="H32" s="1367">
        <f t="shared" si="4"/>
        <v>3.1351351351351351</v>
      </c>
      <c r="I32" s="1368">
        <f t="shared" si="5"/>
        <v>77.72972972972974</v>
      </c>
      <c r="J32" s="1369">
        <f t="shared" si="6"/>
        <v>19.135135135135133</v>
      </c>
    </row>
    <row r="33" spans="1:10" ht="13.5" customHeight="1" x14ac:dyDescent="0.2">
      <c r="A33" s="343" t="s">
        <v>33</v>
      </c>
      <c r="B33" s="962">
        <f t="shared" si="7"/>
        <v>630</v>
      </c>
      <c r="C33" s="1283"/>
      <c r="D33" s="347">
        <f>T_04!C15</f>
        <v>18</v>
      </c>
      <c r="E33" s="348">
        <f>T_04!D15</f>
        <v>502</v>
      </c>
      <c r="F33" s="349">
        <f>T_04!E15</f>
        <v>110</v>
      </c>
      <c r="G33" s="164"/>
      <c r="H33" s="1364">
        <f t="shared" si="4"/>
        <v>2.8571428571428572</v>
      </c>
      <c r="I33" s="1365">
        <f t="shared" si="5"/>
        <v>79.682539682539684</v>
      </c>
      <c r="J33" s="1366">
        <f t="shared" si="6"/>
        <v>17.460317460317459</v>
      </c>
    </row>
    <row r="34" spans="1:10" ht="13.5" customHeight="1" x14ac:dyDescent="0.2">
      <c r="A34" s="46" t="s">
        <v>137</v>
      </c>
      <c r="B34" s="963">
        <f t="shared" si="7"/>
        <v>6414</v>
      </c>
      <c r="C34" s="1284"/>
      <c r="D34" s="338">
        <f>T_04!C16</f>
        <v>319</v>
      </c>
      <c r="E34" s="337">
        <f>T_04!D16</f>
        <v>5134</v>
      </c>
      <c r="F34" s="339">
        <f>T_04!E16</f>
        <v>961</v>
      </c>
      <c r="G34" s="164"/>
      <c r="H34" s="1367">
        <f t="shared" si="4"/>
        <v>4.9734954786404737</v>
      </c>
      <c r="I34" s="1368">
        <f t="shared" si="5"/>
        <v>80.043654505768629</v>
      </c>
      <c r="J34" s="1369">
        <f t="shared" si="6"/>
        <v>14.982850015590895</v>
      </c>
    </row>
    <row r="35" spans="1:10" ht="13.5" customHeight="1" x14ac:dyDescent="0.2">
      <c r="A35" s="343" t="s">
        <v>34</v>
      </c>
      <c r="B35" s="962">
        <f t="shared" si="7"/>
        <v>1197</v>
      </c>
      <c r="C35" s="1283"/>
      <c r="D35" s="347">
        <f>T_04!C17</f>
        <v>71</v>
      </c>
      <c r="E35" s="348">
        <f>T_04!D17</f>
        <v>819</v>
      </c>
      <c r="F35" s="349">
        <f>T_04!E17</f>
        <v>307</v>
      </c>
      <c r="G35" s="164"/>
      <c r="H35" s="1364">
        <f t="shared" si="4"/>
        <v>5.9314954051796152</v>
      </c>
      <c r="I35" s="1365">
        <f t="shared" si="5"/>
        <v>68.421052631578945</v>
      </c>
      <c r="J35" s="1366">
        <f t="shared" si="6"/>
        <v>25.647451963241437</v>
      </c>
    </row>
    <row r="36" spans="1:10" ht="13.5" customHeight="1" x14ac:dyDescent="0.2">
      <c r="A36" s="46" t="s">
        <v>35</v>
      </c>
      <c r="B36" s="963">
        <f t="shared" si="7"/>
        <v>2824</v>
      </c>
      <c r="C36" s="1284"/>
      <c r="D36" s="338">
        <f>T_04!C18</f>
        <v>100</v>
      </c>
      <c r="E36" s="337">
        <f>T_04!D18</f>
        <v>2323</v>
      </c>
      <c r="F36" s="339">
        <f>T_04!E18</f>
        <v>401</v>
      </c>
      <c r="G36" s="164"/>
      <c r="H36" s="1367">
        <f t="shared" si="4"/>
        <v>3.5410764872521248</v>
      </c>
      <c r="I36" s="1368">
        <f t="shared" si="5"/>
        <v>82.259206798866856</v>
      </c>
      <c r="J36" s="1369">
        <f t="shared" si="6"/>
        <v>14.199716713881019</v>
      </c>
    </row>
    <row r="37" spans="1:10" ht="13.5" customHeight="1" x14ac:dyDescent="0.2">
      <c r="A37" s="343" t="s">
        <v>36</v>
      </c>
      <c r="B37" s="962">
        <f t="shared" si="7"/>
        <v>8352</v>
      </c>
      <c r="C37" s="1283"/>
      <c r="D37" s="347">
        <f>T_04!C19</f>
        <v>498</v>
      </c>
      <c r="E37" s="348">
        <f>T_04!D19</f>
        <v>6607</v>
      </c>
      <c r="F37" s="349">
        <f>T_04!E19</f>
        <v>1247</v>
      </c>
      <c r="G37" s="164"/>
      <c r="H37" s="1364">
        <f t="shared" si="4"/>
        <v>5.9626436781609193</v>
      </c>
      <c r="I37" s="1365">
        <f t="shared" si="5"/>
        <v>79.106800766283527</v>
      </c>
      <c r="J37" s="1366">
        <f t="shared" si="6"/>
        <v>14.930555555555555</v>
      </c>
    </row>
    <row r="38" spans="1:10" ht="13.5" customHeight="1" x14ac:dyDescent="0.2">
      <c r="A38" s="46" t="s">
        <v>37</v>
      </c>
      <c r="B38" s="963">
        <f t="shared" si="7"/>
        <v>2195</v>
      </c>
      <c r="C38" s="1284"/>
      <c r="D38" s="338">
        <f>T_04!C20</f>
        <v>90</v>
      </c>
      <c r="E38" s="337">
        <f>T_04!D20</f>
        <v>1544</v>
      </c>
      <c r="F38" s="339">
        <f>T_04!E20</f>
        <v>561</v>
      </c>
      <c r="G38" s="164"/>
      <c r="H38" s="1367">
        <f t="shared" si="4"/>
        <v>4.1002277904328022</v>
      </c>
      <c r="I38" s="1368">
        <f t="shared" si="5"/>
        <v>70.341685649202731</v>
      </c>
      <c r="J38" s="1369">
        <f t="shared" si="6"/>
        <v>25.558086560364462</v>
      </c>
    </row>
    <row r="39" spans="1:10" ht="13.5" customHeight="1" x14ac:dyDescent="0.2">
      <c r="A39" s="343" t="s">
        <v>38</v>
      </c>
      <c r="B39" s="962">
        <f t="shared" si="7"/>
        <v>784</v>
      </c>
      <c r="C39" s="1283"/>
      <c r="D39" s="347">
        <f>T_04!C21</f>
        <v>46</v>
      </c>
      <c r="E39" s="348">
        <f>T_04!D21</f>
        <v>556</v>
      </c>
      <c r="F39" s="349">
        <f>T_04!E21</f>
        <v>182</v>
      </c>
      <c r="G39" s="164"/>
      <c r="H39" s="1364">
        <f t="shared" si="4"/>
        <v>5.8673469387755102</v>
      </c>
      <c r="I39" s="1365">
        <f t="shared" si="5"/>
        <v>70.918367346938766</v>
      </c>
      <c r="J39" s="1366">
        <f t="shared" si="6"/>
        <v>23.214285714285715</v>
      </c>
    </row>
    <row r="40" spans="1:10" ht="13.5" customHeight="1" x14ac:dyDescent="0.2">
      <c r="A40" s="46" t="s">
        <v>39</v>
      </c>
      <c r="B40" s="963">
        <f t="shared" si="7"/>
        <v>646</v>
      </c>
      <c r="C40" s="1284"/>
      <c r="D40" s="338">
        <f>T_04!C22</f>
        <v>38</v>
      </c>
      <c r="E40" s="337">
        <f>T_04!D22</f>
        <v>495</v>
      </c>
      <c r="F40" s="339">
        <f>T_04!E22</f>
        <v>113</v>
      </c>
      <c r="G40" s="164"/>
      <c r="H40" s="1367">
        <f t="shared" si="4"/>
        <v>5.8823529411764701</v>
      </c>
      <c r="I40" s="1368">
        <f t="shared" si="5"/>
        <v>76.625386996904027</v>
      </c>
      <c r="J40" s="1369">
        <f t="shared" si="6"/>
        <v>17.492260061919502</v>
      </c>
    </row>
    <row r="41" spans="1:10" ht="13.5" customHeight="1" x14ac:dyDescent="0.2">
      <c r="A41" s="343" t="s">
        <v>40</v>
      </c>
      <c r="B41" s="962">
        <f t="shared" si="7"/>
        <v>571</v>
      </c>
      <c r="C41" s="1283"/>
      <c r="D41" s="347">
        <f>T_04!C23</f>
        <v>16</v>
      </c>
      <c r="E41" s="348">
        <f>T_04!D23</f>
        <v>470</v>
      </c>
      <c r="F41" s="349">
        <f>T_04!E23</f>
        <v>85</v>
      </c>
      <c r="G41" s="164"/>
      <c r="H41" s="1364">
        <f t="shared" si="4"/>
        <v>2.8021015761821366</v>
      </c>
      <c r="I41" s="1365">
        <f t="shared" si="5"/>
        <v>82.311733800350268</v>
      </c>
      <c r="J41" s="1366">
        <f t="shared" si="6"/>
        <v>14.886164623467602</v>
      </c>
    </row>
    <row r="42" spans="1:10" ht="13.5" customHeight="1" x14ac:dyDescent="0.2">
      <c r="A42" s="46" t="s">
        <v>393</v>
      </c>
      <c r="B42" s="963">
        <f t="shared" si="7"/>
        <v>233</v>
      </c>
      <c r="C42" s="1284"/>
      <c r="D42" s="338">
        <f>T_04!C24</f>
        <v>2</v>
      </c>
      <c r="E42" s="337">
        <f>T_04!D24</f>
        <v>176</v>
      </c>
      <c r="F42" s="339">
        <f>T_04!E24</f>
        <v>55</v>
      </c>
      <c r="G42" s="164"/>
      <c r="H42" s="1367">
        <f t="shared" si="4"/>
        <v>0.85836909871244638</v>
      </c>
      <c r="I42" s="1368">
        <f t="shared" si="5"/>
        <v>75.536480686695285</v>
      </c>
      <c r="J42" s="1369">
        <f t="shared" si="6"/>
        <v>23.605150214592275</v>
      </c>
    </row>
    <row r="43" spans="1:10" ht="13.5" customHeight="1" x14ac:dyDescent="0.2">
      <c r="A43" s="343" t="s">
        <v>41</v>
      </c>
      <c r="B43" s="962">
        <f t="shared" si="7"/>
        <v>1296</v>
      </c>
      <c r="C43" s="1283"/>
      <c r="D43" s="347">
        <f>T_04!C25</f>
        <v>45</v>
      </c>
      <c r="E43" s="348">
        <f>T_04!D25</f>
        <v>975</v>
      </c>
      <c r="F43" s="349">
        <f>T_04!E25</f>
        <v>276</v>
      </c>
      <c r="G43" s="164"/>
      <c r="H43" s="1364">
        <f t="shared" si="4"/>
        <v>3.4722222222222223</v>
      </c>
      <c r="I43" s="1365">
        <f t="shared" si="5"/>
        <v>75.231481481481481</v>
      </c>
      <c r="J43" s="1366">
        <f t="shared" si="6"/>
        <v>21.296296296296298</v>
      </c>
    </row>
    <row r="44" spans="1:10" ht="13.5" customHeight="1" x14ac:dyDescent="0.2">
      <c r="A44" s="46" t="s">
        <v>42</v>
      </c>
      <c r="B44" s="963">
        <f t="shared" si="7"/>
        <v>2856</v>
      </c>
      <c r="C44" s="1284"/>
      <c r="D44" s="338">
        <f>T_04!C26</f>
        <v>134</v>
      </c>
      <c r="E44" s="337">
        <f>T_04!D26</f>
        <v>2125</v>
      </c>
      <c r="F44" s="339">
        <f>T_04!E26</f>
        <v>597</v>
      </c>
      <c r="G44" s="164"/>
      <c r="H44" s="1367">
        <f t="shared" si="4"/>
        <v>4.6918767507002803</v>
      </c>
      <c r="I44" s="1368">
        <f t="shared" si="5"/>
        <v>74.404761904761912</v>
      </c>
      <c r="J44" s="1369">
        <f t="shared" si="6"/>
        <v>20.903361344537817</v>
      </c>
    </row>
    <row r="45" spans="1:10" ht="13.5" customHeight="1" x14ac:dyDescent="0.2">
      <c r="A45" s="343" t="s">
        <v>43</v>
      </c>
      <c r="B45" s="962">
        <f t="shared" si="7"/>
        <v>83</v>
      </c>
      <c r="C45" s="1283"/>
      <c r="D45" s="350">
        <f>T_04!C27</f>
        <v>3</v>
      </c>
      <c r="E45" s="348">
        <f>T_04!D27</f>
        <v>55</v>
      </c>
      <c r="F45" s="349">
        <f>T_04!E27</f>
        <v>25</v>
      </c>
      <c r="G45" s="164"/>
      <c r="H45" s="1364">
        <f t="shared" si="4"/>
        <v>3.6144578313253009</v>
      </c>
      <c r="I45" s="1365">
        <f t="shared" si="5"/>
        <v>66.265060240963862</v>
      </c>
      <c r="J45" s="1366">
        <f t="shared" si="6"/>
        <v>30.120481927710845</v>
      </c>
    </row>
    <row r="46" spans="1:10" ht="13.5" customHeight="1" x14ac:dyDescent="0.2">
      <c r="A46" s="46" t="s">
        <v>44</v>
      </c>
      <c r="B46" s="963">
        <f t="shared" si="7"/>
        <v>1091</v>
      </c>
      <c r="C46" s="1284"/>
      <c r="D46" s="338">
        <f>T_04!C28</f>
        <v>34</v>
      </c>
      <c r="E46" s="337">
        <f>T_04!D28</f>
        <v>883</v>
      </c>
      <c r="F46" s="339">
        <f>T_04!E28</f>
        <v>174</v>
      </c>
      <c r="G46" s="164"/>
      <c r="H46" s="1367">
        <f t="shared" si="4"/>
        <v>3.1164069660861595</v>
      </c>
      <c r="I46" s="1368">
        <f t="shared" si="5"/>
        <v>80.934922089825847</v>
      </c>
      <c r="J46" s="1369">
        <f t="shared" si="6"/>
        <v>15.948670944087992</v>
      </c>
    </row>
    <row r="47" spans="1:10" ht="13.5" customHeight="1" x14ac:dyDescent="0.2">
      <c r="A47" s="343" t="s">
        <v>45</v>
      </c>
      <c r="B47" s="962">
        <f t="shared" si="7"/>
        <v>1658</v>
      </c>
      <c r="C47" s="1283"/>
      <c r="D47" s="347">
        <f>T_04!C29</f>
        <v>62</v>
      </c>
      <c r="E47" s="348">
        <f>T_04!D29</f>
        <v>1240</v>
      </c>
      <c r="F47" s="349">
        <f>T_04!E29</f>
        <v>356</v>
      </c>
      <c r="G47" s="164"/>
      <c r="H47" s="1364">
        <f t="shared" si="4"/>
        <v>3.7394451145958989</v>
      </c>
      <c r="I47" s="1365">
        <f t="shared" si="5"/>
        <v>74.788902291917964</v>
      </c>
      <c r="J47" s="1366">
        <f t="shared" si="6"/>
        <v>21.47165259348613</v>
      </c>
    </row>
    <row r="48" spans="1:10" ht="13.5" customHeight="1" x14ac:dyDescent="0.2">
      <c r="A48" s="10" t="s">
        <v>46</v>
      </c>
      <c r="B48" s="963">
        <f t="shared" si="7"/>
        <v>890</v>
      </c>
      <c r="C48" s="1284"/>
      <c r="D48" s="338">
        <f>T_04!C30</f>
        <v>42</v>
      </c>
      <c r="E48" s="337">
        <f>T_04!D30</f>
        <v>612</v>
      </c>
      <c r="F48" s="339">
        <f>T_04!E30</f>
        <v>236</v>
      </c>
      <c r="G48" s="164"/>
      <c r="H48" s="1367">
        <f t="shared" si="4"/>
        <v>4.7191011235955056</v>
      </c>
      <c r="I48" s="1368">
        <f t="shared" si="5"/>
        <v>68.764044943820224</v>
      </c>
      <c r="J48" s="1369">
        <f t="shared" si="6"/>
        <v>26.516853932584272</v>
      </c>
    </row>
    <row r="49" spans="1:10" ht="13.5" customHeight="1" x14ac:dyDescent="0.2">
      <c r="A49" s="343" t="s">
        <v>47</v>
      </c>
      <c r="B49" s="962">
        <f t="shared" si="7"/>
        <v>131</v>
      </c>
      <c r="C49" s="1283"/>
      <c r="D49" s="347">
        <f>T_04!C31</f>
        <v>1</v>
      </c>
      <c r="E49" s="348">
        <f>T_04!D31</f>
        <v>102</v>
      </c>
      <c r="F49" s="349">
        <f>T_04!E31</f>
        <v>28</v>
      </c>
      <c r="G49" s="164"/>
      <c r="H49" s="1364">
        <f t="shared" si="4"/>
        <v>0.76335877862595414</v>
      </c>
      <c r="I49" s="1365">
        <f t="shared" si="5"/>
        <v>77.862595419847324</v>
      </c>
      <c r="J49" s="1366">
        <f t="shared" si="6"/>
        <v>21.374045801526716</v>
      </c>
    </row>
    <row r="50" spans="1:10" ht="13.5" customHeight="1" x14ac:dyDescent="0.2">
      <c r="A50" s="46" t="s">
        <v>48</v>
      </c>
      <c r="B50" s="963">
        <f t="shared" si="7"/>
        <v>1231</v>
      </c>
      <c r="C50" s="1284"/>
      <c r="D50" s="338">
        <f>T_04!C32</f>
        <v>46</v>
      </c>
      <c r="E50" s="337">
        <f>T_04!D32</f>
        <v>978</v>
      </c>
      <c r="F50" s="339">
        <f>T_04!E32</f>
        <v>207</v>
      </c>
      <c r="G50" s="164"/>
      <c r="H50" s="1367">
        <f t="shared" si="4"/>
        <v>3.7367993501218519</v>
      </c>
      <c r="I50" s="1368">
        <f t="shared" si="5"/>
        <v>79.447603574329818</v>
      </c>
      <c r="J50" s="1369">
        <f t="shared" si="6"/>
        <v>16.815597075548336</v>
      </c>
    </row>
    <row r="51" spans="1:10" ht="13.5" customHeight="1" x14ac:dyDescent="0.2">
      <c r="A51" s="343" t="s">
        <v>49</v>
      </c>
      <c r="B51" s="962">
        <f t="shared" si="7"/>
        <v>2770</v>
      </c>
      <c r="C51" s="1283"/>
      <c r="D51" s="347">
        <f>T_04!C33</f>
        <v>100</v>
      </c>
      <c r="E51" s="348">
        <f>T_04!D33</f>
        <v>2228</v>
      </c>
      <c r="F51" s="349">
        <f>T_04!E33</f>
        <v>442</v>
      </c>
      <c r="G51" s="164"/>
      <c r="H51" s="1364">
        <f t="shared" si="4"/>
        <v>3.6101083032490973</v>
      </c>
      <c r="I51" s="1365">
        <f t="shared" si="5"/>
        <v>80.433212996389898</v>
      </c>
      <c r="J51" s="1366">
        <f t="shared" si="6"/>
        <v>15.95667870036101</v>
      </c>
    </row>
    <row r="52" spans="1:10" ht="13.5" customHeight="1" x14ac:dyDescent="0.2">
      <c r="A52" s="46" t="s">
        <v>50</v>
      </c>
      <c r="B52" s="963">
        <f t="shared" si="7"/>
        <v>886</v>
      </c>
      <c r="C52" s="1284"/>
      <c r="D52" s="338">
        <f>T_04!C34</f>
        <v>18</v>
      </c>
      <c r="E52" s="337">
        <f>T_04!D34</f>
        <v>681</v>
      </c>
      <c r="F52" s="339">
        <f>T_04!E34</f>
        <v>187</v>
      </c>
      <c r="G52" s="164"/>
      <c r="H52" s="1367">
        <f t="shared" si="4"/>
        <v>2.0316027088036117</v>
      </c>
      <c r="I52" s="1368">
        <f t="shared" si="5"/>
        <v>76.862302483069982</v>
      </c>
      <c r="J52" s="1369">
        <f t="shared" si="6"/>
        <v>21.106094808126411</v>
      </c>
    </row>
    <row r="53" spans="1:10" ht="13.5" customHeight="1" x14ac:dyDescent="0.2">
      <c r="A53" s="343" t="s">
        <v>51</v>
      </c>
      <c r="B53" s="962">
        <f t="shared" si="7"/>
        <v>691</v>
      </c>
      <c r="C53" s="1283"/>
      <c r="D53" s="347">
        <f>T_04!C35</f>
        <v>41</v>
      </c>
      <c r="E53" s="348">
        <f>T_04!D35</f>
        <v>501</v>
      </c>
      <c r="F53" s="349">
        <f>T_04!E35</f>
        <v>149</v>
      </c>
      <c r="G53" s="164"/>
      <c r="H53" s="1364">
        <f t="shared" si="4"/>
        <v>5.9334298118668594</v>
      </c>
      <c r="I53" s="1365">
        <f t="shared" si="5"/>
        <v>72.503617945007235</v>
      </c>
      <c r="J53" s="1366">
        <f t="shared" si="6"/>
        <v>21.562952243125906</v>
      </c>
    </row>
    <row r="54" spans="1:10" ht="13.5" customHeight="1" x14ac:dyDescent="0.2">
      <c r="A54" s="46" t="s">
        <v>52</v>
      </c>
      <c r="B54" s="963">
        <f t="shared" si="7"/>
        <v>1990</v>
      </c>
      <c r="C54" s="1284"/>
      <c r="D54" s="338">
        <f>T_04!C36</f>
        <v>92</v>
      </c>
      <c r="E54" s="337">
        <f>T_04!D36</f>
        <v>1493</v>
      </c>
      <c r="F54" s="339">
        <f>T_04!E36</f>
        <v>405</v>
      </c>
      <c r="G54" s="164"/>
      <c r="H54" s="1367">
        <f t="shared" si="4"/>
        <v>4.6231155778894468</v>
      </c>
      <c r="I54" s="1368">
        <f t="shared" si="5"/>
        <v>75.0251256281407</v>
      </c>
      <c r="J54" s="1369">
        <f>F54/B54*100</f>
        <v>20.35175879396985</v>
      </c>
    </row>
    <row r="55" spans="1:10" x14ac:dyDescent="0.2">
      <c r="A55" s="343" t="s">
        <v>380</v>
      </c>
      <c r="B55" s="1307">
        <f t="shared" si="7"/>
        <v>0</v>
      </c>
      <c r="C55" s="1285"/>
      <c r="D55" s="1306">
        <f>T_04!C37</f>
        <v>0</v>
      </c>
      <c r="E55" s="1305">
        <f>T_04!D37</f>
        <v>0</v>
      </c>
      <c r="F55" s="1308">
        <f>T_04!E37</f>
        <v>0</v>
      </c>
      <c r="G55" s="164"/>
      <c r="H55" s="1306">
        <f>IFERROR(D55/B55*100, 0)</f>
        <v>0</v>
      </c>
      <c r="I55" s="1305">
        <f t="shared" ref="I55" si="8">IFERROR(E55/C55*100, 0)</f>
        <v>0</v>
      </c>
      <c r="J55" s="1308">
        <f>IFERROR(F55/D55*100, 0)</f>
        <v>0</v>
      </c>
    </row>
    <row r="56" spans="1:10" ht="30" customHeight="1" x14ac:dyDescent="0.2">
      <c r="A56" s="194" t="s">
        <v>159</v>
      </c>
      <c r="B56" s="172">
        <f>SUM(B23:B55)</f>
        <v>51787</v>
      </c>
      <c r="C56" s="113"/>
      <c r="D56" s="173">
        <f>SUM(D23:D55)</f>
        <v>2338</v>
      </c>
      <c r="E56" s="98">
        <f t="shared" ref="E56:F56" si="9">SUM(E23:E55)</f>
        <v>40359</v>
      </c>
      <c r="F56" s="99">
        <f t="shared" si="9"/>
        <v>9090</v>
      </c>
      <c r="G56" s="164"/>
      <c r="H56" s="340">
        <f>D56/B56*100</f>
        <v>4.514646532913666</v>
      </c>
      <c r="I56" s="341">
        <f>E56/B56*100</f>
        <v>77.932685809179915</v>
      </c>
      <c r="J56" s="342">
        <f>F56/B56*100</f>
        <v>17.552667657906422</v>
      </c>
    </row>
    <row r="57" spans="1:10" ht="13.5" customHeight="1" x14ac:dyDescent="0.2">
      <c r="A57" s="335"/>
      <c r="B57" s="113"/>
      <c r="C57" s="113"/>
      <c r="D57" s="113"/>
      <c r="E57" s="113"/>
      <c r="F57" s="113"/>
      <c r="G57" s="164"/>
      <c r="H57" s="699"/>
      <c r="I57" s="699"/>
      <c r="J57" s="699"/>
    </row>
    <row r="58" spans="1:10" x14ac:dyDescent="0.2">
      <c r="A58" s="2" t="s">
        <v>162</v>
      </c>
    </row>
    <row r="59" spans="1:10" x14ac:dyDescent="0.2">
      <c r="A59" s="1" t="s">
        <v>963</v>
      </c>
    </row>
    <row r="60" spans="1:10" x14ac:dyDescent="0.2">
      <c r="A60" s="292"/>
    </row>
    <row r="61" spans="1:10" ht="38.25" customHeight="1" x14ac:dyDescent="0.2">
      <c r="A61" s="1655" t="s">
        <v>936</v>
      </c>
      <c r="B61" s="1655"/>
      <c r="C61" s="1655"/>
      <c r="D61" s="1655"/>
      <c r="E61" s="1655"/>
      <c r="F61" s="1655"/>
      <c r="G61" s="1655"/>
      <c r="H61" s="1655"/>
      <c r="I61" s="1655"/>
    </row>
    <row r="62" spans="1:10" ht="33" customHeight="1" x14ac:dyDescent="0.2">
      <c r="E62" s="192"/>
      <c r="F62" s="193" t="s">
        <v>58</v>
      </c>
      <c r="G62" s="146"/>
    </row>
    <row r="63" spans="1:10" ht="40.5" customHeight="1" x14ac:dyDescent="0.2">
      <c r="A63" s="4" t="s">
        <v>22</v>
      </c>
      <c r="B63" s="140" t="s">
        <v>167</v>
      </c>
      <c r="C63" s="228"/>
      <c r="D63" s="117" t="s">
        <v>151</v>
      </c>
      <c r="E63" s="1115" t="s">
        <v>161</v>
      </c>
      <c r="F63" s="229" t="s">
        <v>153</v>
      </c>
      <c r="G63" s="228"/>
      <c r="H63" s="113"/>
    </row>
    <row r="64" spans="1:10" ht="18.75" customHeight="1" x14ac:dyDescent="0.2">
      <c r="A64" s="355" t="s">
        <v>23</v>
      </c>
      <c r="B64" s="356">
        <f>B23/T_04!F5*100000</f>
        <v>1128.4965034965035</v>
      </c>
      <c r="C64" s="1286"/>
      <c r="D64" s="357">
        <f>D23/T_04!F5*100000</f>
        <v>78.234265734265733</v>
      </c>
      <c r="E64" s="358">
        <f>E23/T_04!F5*100000</f>
        <v>934.87762237762252</v>
      </c>
      <c r="F64" s="359">
        <f>F23/T_04!F5*100000</f>
        <v>115.3846153846154</v>
      </c>
      <c r="G64" s="352"/>
    </row>
    <row r="65" spans="1:7" ht="13.5" customHeight="1" x14ac:dyDescent="0.2">
      <c r="A65" s="5" t="s">
        <v>24</v>
      </c>
      <c r="B65" s="175">
        <f>B24/T_04!F6*100000</f>
        <v>462.94881588999237</v>
      </c>
      <c r="C65" s="69"/>
      <c r="D65" s="195">
        <f>D24/T_04!F6*100000</f>
        <v>13.750954927425516</v>
      </c>
      <c r="E65" s="196">
        <f>E24/T_04!F6*100000</f>
        <v>352.17723453017572</v>
      </c>
      <c r="F65" s="197">
        <f>F24/T_04!F6*100000</f>
        <v>97.02062643239114</v>
      </c>
      <c r="G65" s="352"/>
    </row>
    <row r="66" spans="1:7" ht="13.5" customHeight="1" x14ac:dyDescent="0.2">
      <c r="A66" s="355" t="s">
        <v>25</v>
      </c>
      <c r="B66" s="356">
        <f>B25/T_04!F7*100000</f>
        <v>862.57309941520475</v>
      </c>
      <c r="C66" s="1286"/>
      <c r="D66" s="360">
        <f>D25/T_04!F7*100000</f>
        <v>34.399724802201582</v>
      </c>
      <c r="E66" s="361">
        <f>E25/T_04!F7*100000</f>
        <v>704.33436532507744</v>
      </c>
      <c r="F66" s="362">
        <f>F25/T_04!F7*100000</f>
        <v>123.83900928792571</v>
      </c>
      <c r="G66" s="352"/>
    </row>
    <row r="67" spans="1:7" ht="13.5" customHeight="1" x14ac:dyDescent="0.2">
      <c r="A67" s="5" t="s">
        <v>26</v>
      </c>
      <c r="B67" s="175">
        <f>B26/T_04!F8*100000</f>
        <v>1252.1598894136621</v>
      </c>
      <c r="C67" s="69"/>
      <c r="D67" s="195">
        <f>D26/T_04!F8*100000</f>
        <v>18.431056329915908</v>
      </c>
      <c r="E67" s="196">
        <f>E26/T_04!F8*100000</f>
        <v>1074.7609722382215</v>
      </c>
      <c r="F67" s="197">
        <f>F26/T_04!F8*100000</f>
        <v>158.96786084552471</v>
      </c>
      <c r="G67" s="352"/>
    </row>
    <row r="68" spans="1:7" ht="13.5" customHeight="1" x14ac:dyDescent="0.2">
      <c r="A68" s="355" t="s">
        <v>27</v>
      </c>
      <c r="B68" s="356">
        <f>B27/T_04!F9*100000</f>
        <v>948.4936831875608</v>
      </c>
      <c r="C68" s="1286"/>
      <c r="D68" s="360">
        <f>D27/T_04!F9*100000</f>
        <v>44.70359572400389</v>
      </c>
      <c r="E68" s="361">
        <f>E27/T_04!F9*100000</f>
        <v>649.1739552964043</v>
      </c>
      <c r="F68" s="362">
        <f>F27/T_04!F9*100000</f>
        <v>254.61613216715256</v>
      </c>
      <c r="G68" s="352"/>
    </row>
    <row r="69" spans="1:7" ht="13.5" customHeight="1" x14ac:dyDescent="0.2">
      <c r="A69" s="5" t="s">
        <v>28</v>
      </c>
      <c r="B69" s="175">
        <f>B28/T_04!F10*100000</f>
        <v>680.2949061662199</v>
      </c>
      <c r="C69" s="69"/>
      <c r="D69" s="195">
        <f>D28/T_04!F10*100000</f>
        <v>14.745308310991957</v>
      </c>
      <c r="E69" s="196">
        <f>E28/T_04!F10*100000</f>
        <v>502.01072386058985</v>
      </c>
      <c r="F69" s="197">
        <f>F28/T_04!F10*100000</f>
        <v>163.53887399463807</v>
      </c>
      <c r="G69" s="352"/>
    </row>
    <row r="70" spans="1:7" ht="13.5" customHeight="1" x14ac:dyDescent="0.2">
      <c r="A70" s="355" t="s">
        <v>29</v>
      </c>
      <c r="B70" s="356">
        <f>B29/T_04!F11*100000</f>
        <v>1486.7863627193867</v>
      </c>
      <c r="C70" s="1286"/>
      <c r="D70" s="360">
        <f>D29/T_04!F11*100000</f>
        <v>93.470513079147338</v>
      </c>
      <c r="E70" s="361">
        <f>E29/T_04!F11*100000</f>
        <v>1225.8758657790331</v>
      </c>
      <c r="F70" s="362">
        <f>F29/T_04!F11*100000</f>
        <v>167.43998386120637</v>
      </c>
      <c r="G70" s="352"/>
    </row>
    <row r="71" spans="1:7" ht="13.5" customHeight="1" x14ac:dyDescent="0.2">
      <c r="A71" s="5" t="s">
        <v>30</v>
      </c>
      <c r="B71" s="175">
        <f>B30/T_04!F12*100000</f>
        <v>981.63030998851889</v>
      </c>
      <c r="C71" s="69"/>
      <c r="D71" s="195">
        <f>D30/T_04!F12*100000</f>
        <v>22.962112514351322</v>
      </c>
      <c r="E71" s="196">
        <f>E30/T_04!F12*100000</f>
        <v>750.36903395112358</v>
      </c>
      <c r="F71" s="197">
        <f>F30/T_04!F12*100000</f>
        <v>208.29916352304414</v>
      </c>
      <c r="G71" s="352"/>
    </row>
    <row r="72" spans="1:7" ht="13.5" customHeight="1" x14ac:dyDescent="0.2">
      <c r="A72" s="355" t="s">
        <v>31</v>
      </c>
      <c r="B72" s="356">
        <f>B31/T_04!F13*100000</f>
        <v>599.27864607416996</v>
      </c>
      <c r="C72" s="1286"/>
      <c r="D72" s="360">
        <f>D31/T_04!F13*100000</f>
        <v>9.2481272542310187</v>
      </c>
      <c r="E72" s="361">
        <f>E31/T_04!F13*100000</f>
        <v>468.88005178951261</v>
      </c>
      <c r="F72" s="362">
        <f>F31/T_04!F13*100000</f>
        <v>121.15046703042634</v>
      </c>
      <c r="G72" s="352"/>
    </row>
    <row r="73" spans="1:7" ht="13.5" customHeight="1" x14ac:dyDescent="0.2">
      <c r="A73" s="5" t="s">
        <v>32</v>
      </c>
      <c r="B73" s="175">
        <f>B32/T_04!F14*100000</f>
        <v>882.2968332697443</v>
      </c>
      <c r="C73" s="69"/>
      <c r="D73" s="195">
        <f>D32/T_04!F14*100000</f>
        <v>27.661198016024414</v>
      </c>
      <c r="E73" s="196">
        <f>E32/T_04!F14*100000</f>
        <v>685.80694391453642</v>
      </c>
      <c r="F73" s="197">
        <f>F32/T_04!F14*100000</f>
        <v>168.82869133918354</v>
      </c>
      <c r="G73" s="352"/>
    </row>
    <row r="74" spans="1:7" ht="13.5" customHeight="1" x14ac:dyDescent="0.2">
      <c r="A74" s="355" t="s">
        <v>33</v>
      </c>
      <c r="B74" s="356">
        <f>B33/T_04!F15*100000</f>
        <v>664.83748417053607</v>
      </c>
      <c r="C74" s="1286"/>
      <c r="D74" s="360">
        <f>D33/T_04!F15*100000</f>
        <v>18.995356690586746</v>
      </c>
      <c r="E74" s="361">
        <f>E33/T_04!F15*100000</f>
        <v>529.7593921485859</v>
      </c>
      <c r="F74" s="362">
        <f>F33/T_04!F15*100000</f>
        <v>116.08273533136345</v>
      </c>
      <c r="G74" s="352"/>
    </row>
    <row r="75" spans="1:7" ht="13.5" customHeight="1" x14ac:dyDescent="0.2">
      <c r="A75" s="5" t="s">
        <v>137</v>
      </c>
      <c r="B75" s="175">
        <f>B34/T_04!F16*100000</f>
        <v>1249.7807914888642</v>
      </c>
      <c r="C75" s="69"/>
      <c r="D75" s="195">
        <f>D34/T_04!F16*100000</f>
        <v>62.15779115761579</v>
      </c>
      <c r="E75" s="196">
        <f>E34/T_04!F16*100000</f>
        <v>1000.3702188188071</v>
      </c>
      <c r="F75" s="197">
        <f>F34/T_04!F16*100000</f>
        <v>187.25278151244129</v>
      </c>
      <c r="G75" s="352"/>
    </row>
    <row r="76" spans="1:7" ht="13.5" customHeight="1" x14ac:dyDescent="0.2">
      <c r="A76" s="355" t="s">
        <v>34</v>
      </c>
      <c r="B76" s="356">
        <f>B35/T_04!F17*100000</f>
        <v>747.51764191594327</v>
      </c>
      <c r="C76" s="1286"/>
      <c r="D76" s="360">
        <f>D35/T_04!F17*100000</f>
        <v>44.338974583151185</v>
      </c>
      <c r="E76" s="361">
        <f>E35/T_04!F17*100000</f>
        <v>511.45943920564542</v>
      </c>
      <c r="F76" s="362">
        <f>F35/T_04!F17*100000</f>
        <v>191.71922812714669</v>
      </c>
      <c r="G76" s="352"/>
    </row>
    <row r="77" spans="1:7" ht="13.5" customHeight="1" x14ac:dyDescent="0.2">
      <c r="A77" s="5" t="s">
        <v>35</v>
      </c>
      <c r="B77" s="175">
        <f>B36/T_04!F18*100000</f>
        <v>760.34570959317193</v>
      </c>
      <c r="C77" s="69"/>
      <c r="D77" s="195">
        <f>D36/T_04!F18*100000</f>
        <v>26.924423144234133</v>
      </c>
      <c r="E77" s="196">
        <f>E36/T_04!F18*100000</f>
        <v>625.45434964055903</v>
      </c>
      <c r="F77" s="197">
        <f>F36/T_04!F18*100000</f>
        <v>107.96693680837888</v>
      </c>
      <c r="G77" s="352"/>
    </row>
    <row r="78" spans="1:7" ht="13.5" customHeight="1" x14ac:dyDescent="0.2">
      <c r="A78" s="355" t="s">
        <v>36</v>
      </c>
      <c r="B78" s="356">
        <f>B37/T_04!F19*100000</f>
        <v>1344.8842227303469</v>
      </c>
      <c r="C78" s="1286"/>
      <c r="D78" s="360">
        <f>D37/T_04!F19*100000</f>
        <v>80.190654085214646</v>
      </c>
      <c r="E78" s="361">
        <f>E37/T_04!F19*100000</f>
        <v>1063.8948826124763</v>
      </c>
      <c r="F78" s="362">
        <f>F37/T_04!F19*100000</f>
        <v>200.79868603265592</v>
      </c>
      <c r="G78" s="352"/>
    </row>
    <row r="79" spans="1:7" ht="13.5" customHeight="1" x14ac:dyDescent="0.2">
      <c r="A79" s="5" t="s">
        <v>37</v>
      </c>
      <c r="B79" s="175">
        <f>B38/T_04!F20*100000</f>
        <v>933.32766391699977</v>
      </c>
      <c r="C79" s="69"/>
      <c r="D79" s="195">
        <f>D38/T_04!F20*100000</f>
        <v>38.268560251722086</v>
      </c>
      <c r="E79" s="196">
        <f>E38/T_04!F20*100000</f>
        <v>656.51841142954333</v>
      </c>
      <c r="F79" s="197">
        <f>F38/T_04!F20*100000</f>
        <v>238.54069223573433</v>
      </c>
      <c r="G79" s="352"/>
    </row>
    <row r="80" spans="1:7" ht="13.5" customHeight="1" x14ac:dyDescent="0.2">
      <c r="A80" s="355" t="s">
        <v>38</v>
      </c>
      <c r="B80" s="356">
        <f>B39/T_04!F21*100000</f>
        <v>995.42915185373283</v>
      </c>
      <c r="C80" s="1286"/>
      <c r="D80" s="360">
        <f>D39/T_04!F21*100000</f>
        <v>58.40528186896902</v>
      </c>
      <c r="E80" s="361">
        <f>E39/T_04!F21*100000</f>
        <v>705.94210259014721</v>
      </c>
      <c r="F80" s="362">
        <f>F39/T_04!F21*100000</f>
        <v>231.08176739461655</v>
      </c>
      <c r="G80" s="352"/>
    </row>
    <row r="81" spans="1:7" ht="13.5" customHeight="1" x14ac:dyDescent="0.2">
      <c r="A81" s="5" t="s">
        <v>39</v>
      </c>
      <c r="B81" s="175">
        <f>B40/T_04!F22*100000</f>
        <v>717.06071706071702</v>
      </c>
      <c r="C81" s="69"/>
      <c r="D81" s="195">
        <f>D40/T_04!F22*100000</f>
        <v>42.180042180042179</v>
      </c>
      <c r="E81" s="196">
        <f>E40/T_04!F22*100000</f>
        <v>549.45054945054949</v>
      </c>
      <c r="F81" s="197">
        <f>F40/T_04!F22*100000</f>
        <v>125.43012543012543</v>
      </c>
      <c r="G81" s="352"/>
    </row>
    <row r="82" spans="1:7" ht="13.5" customHeight="1" x14ac:dyDescent="0.2">
      <c r="A82" s="355" t="s">
        <v>40</v>
      </c>
      <c r="B82" s="356">
        <f>B41/T_04!F23*100000</f>
        <v>596.15786176654831</v>
      </c>
      <c r="C82" s="1286"/>
      <c r="D82" s="360">
        <f>D41/T_04!F23*100000</f>
        <v>16.704948841094176</v>
      </c>
      <c r="E82" s="361">
        <f>E41/T_04!F23*100000</f>
        <v>490.70787220714135</v>
      </c>
      <c r="F82" s="362">
        <f>F41/T_04!F23*100000</f>
        <v>88.745040718312794</v>
      </c>
      <c r="G82" s="352"/>
    </row>
    <row r="83" spans="1:7" ht="13.5" customHeight="1" x14ac:dyDescent="0.2">
      <c r="A83" s="5" t="s">
        <v>393</v>
      </c>
      <c r="B83" s="175">
        <f>B42/T_04!F24*100000</f>
        <v>864.56400742115034</v>
      </c>
      <c r="C83" s="69"/>
      <c r="D83" s="195">
        <f>D42/T_04!F24*100000</f>
        <v>7.4211502782931351</v>
      </c>
      <c r="E83" s="196">
        <f>E42/T_04!F24*100000</f>
        <v>653.0612244897959</v>
      </c>
      <c r="F83" s="197">
        <f>F42/T_04!F24*100000</f>
        <v>204.08163265306123</v>
      </c>
      <c r="G83" s="352"/>
    </row>
    <row r="84" spans="1:7" ht="13.5" customHeight="1" x14ac:dyDescent="0.2">
      <c r="A84" s="355" t="s">
        <v>41</v>
      </c>
      <c r="B84" s="356">
        <f>B43/T_04!F25*100000</f>
        <v>954.41490536858385</v>
      </c>
      <c r="C84" s="1286"/>
      <c r="D84" s="360">
        <f>D43/T_04!F25*100000</f>
        <v>33.139406436409161</v>
      </c>
      <c r="E84" s="361">
        <f>E43/T_04!F25*100000</f>
        <v>718.02047278886516</v>
      </c>
      <c r="F84" s="362">
        <f>F43/T_04!F25*100000</f>
        <v>203.25502614330955</v>
      </c>
      <c r="G84" s="352"/>
    </row>
    <row r="85" spans="1:7" ht="13.5" customHeight="1" x14ac:dyDescent="0.2">
      <c r="A85" s="5" t="s">
        <v>42</v>
      </c>
      <c r="B85" s="175">
        <f>B44/T_04!F26*100000</f>
        <v>840.09883515707725</v>
      </c>
      <c r="C85" s="69"/>
      <c r="D85" s="195">
        <f>D44/T_04!F26*100000</f>
        <v>39.416401929638781</v>
      </c>
      <c r="E85" s="196">
        <f>E44/T_04!F26*100000</f>
        <v>625.07353806330161</v>
      </c>
      <c r="F85" s="197">
        <f>F44/T_04!F26*100000</f>
        <v>175.60889516413695</v>
      </c>
      <c r="G85" s="352"/>
    </row>
    <row r="86" spans="1:7" ht="13.5" customHeight="1" x14ac:dyDescent="0.2">
      <c r="A86" s="355" t="s">
        <v>43</v>
      </c>
      <c r="B86" s="356">
        <f>B45/T_04!F27*100000</f>
        <v>377.27272727272725</v>
      </c>
      <c r="C86" s="1286"/>
      <c r="D86" s="360">
        <f>D45/T_04!F27*100000</f>
        <v>13.636363636363637</v>
      </c>
      <c r="E86" s="361">
        <f>E45/T_04!F27*100000</f>
        <v>250</v>
      </c>
      <c r="F86" s="362">
        <f>F45/T_04!F27*100000</f>
        <v>113.63636363636363</v>
      </c>
      <c r="G86" s="352"/>
    </row>
    <row r="87" spans="1:7" ht="13.5" customHeight="1" x14ac:dyDescent="0.2">
      <c r="A87" s="5" t="s">
        <v>44</v>
      </c>
      <c r="B87" s="175">
        <f>B46/T_04!F28*100000</f>
        <v>722.03838517538054</v>
      </c>
      <c r="C87" s="69"/>
      <c r="D87" s="195">
        <f>D46/T_04!F28*100000</f>
        <v>22.501654533421576</v>
      </c>
      <c r="E87" s="196">
        <f>E46/T_04!F28*100000</f>
        <v>584.38120450033091</v>
      </c>
      <c r="F87" s="197">
        <f>F46/T_04!F28*100000</f>
        <v>115.15552614162806</v>
      </c>
      <c r="G87" s="352"/>
    </row>
    <row r="88" spans="1:7" ht="13.5" customHeight="1" x14ac:dyDescent="0.2">
      <c r="A88" s="355" t="s">
        <v>45</v>
      </c>
      <c r="B88" s="356">
        <f>B47/T_04!F29*100000</f>
        <v>937.62370638466314</v>
      </c>
      <c r="C88" s="1286"/>
      <c r="D88" s="360">
        <f>D47/T_04!F29*100000</f>
        <v>35.061923881694284</v>
      </c>
      <c r="E88" s="361">
        <f>E47/T_04!F29*100000</f>
        <v>701.23847763388574</v>
      </c>
      <c r="F88" s="362">
        <f>F47/T_04!F29*100000</f>
        <v>201.32330486908333</v>
      </c>
      <c r="G88" s="352"/>
    </row>
    <row r="89" spans="1:7" ht="13.5" customHeight="1" x14ac:dyDescent="0.2">
      <c r="A89" s="30" t="s">
        <v>46</v>
      </c>
      <c r="B89" s="175">
        <f>B48/T_04!F30*100000</f>
        <v>773.77847330898976</v>
      </c>
      <c r="C89" s="69"/>
      <c r="D89" s="195">
        <f>D48/T_04!F30*100000</f>
        <v>36.515388628064684</v>
      </c>
      <c r="E89" s="196">
        <f>E48/T_04!F30*100000</f>
        <v>532.08137715179964</v>
      </c>
      <c r="F89" s="197">
        <f>F48/T_04!F30*100000</f>
        <v>205.18170752912536</v>
      </c>
      <c r="G89" s="352"/>
    </row>
    <row r="90" spans="1:7" ht="13.5" customHeight="1" x14ac:dyDescent="0.2">
      <c r="A90" s="355" t="s">
        <v>47</v>
      </c>
      <c r="B90" s="356">
        <f>B49/T_04!F31*100000</f>
        <v>567.59098786828429</v>
      </c>
      <c r="C90" s="1286"/>
      <c r="D90" s="360">
        <f>D49/T_04!F31*100000</f>
        <v>4.3327556325823222</v>
      </c>
      <c r="E90" s="361">
        <f>E49/T_04!F31*100000</f>
        <v>441.94107452339688</v>
      </c>
      <c r="F90" s="362">
        <f>F49/T_04!F31*100000</f>
        <v>121.31715771230502</v>
      </c>
      <c r="G90" s="352"/>
    </row>
    <row r="91" spans="1:7" ht="13.5" customHeight="1" x14ac:dyDescent="0.2">
      <c r="A91" s="5" t="s">
        <v>48</v>
      </c>
      <c r="B91" s="175">
        <f>B50/T_04!F32*100000</f>
        <v>1092.474263400781</v>
      </c>
      <c r="C91" s="69"/>
      <c r="D91" s="195">
        <f>D50/T_04!F32*100000</f>
        <v>40.823571175008873</v>
      </c>
      <c r="E91" s="196">
        <f>E50/T_04!F32*100000</f>
        <v>867.94462193823222</v>
      </c>
      <c r="F91" s="197">
        <f>F50/T_04!F32*100000</f>
        <v>183.70607028753994</v>
      </c>
      <c r="G91" s="352"/>
    </row>
    <row r="92" spans="1:7" ht="13.5" customHeight="1" x14ac:dyDescent="0.2">
      <c r="A92" s="355" t="s">
        <v>49</v>
      </c>
      <c r="B92" s="356">
        <f>B51/T_04!F33*100000</f>
        <v>870.60376528271047</v>
      </c>
      <c r="C92" s="1286"/>
      <c r="D92" s="360">
        <f>D51/T_04!F33*100000</f>
        <v>31.429738818870415</v>
      </c>
      <c r="E92" s="361">
        <f>E51/T_04!F33*100000</f>
        <v>700.25458088443281</v>
      </c>
      <c r="F92" s="362">
        <f>F51/T_04!F33*100000</f>
        <v>138.91944557940724</v>
      </c>
      <c r="G92" s="352"/>
    </row>
    <row r="93" spans="1:7" ht="13.5" customHeight="1" x14ac:dyDescent="0.2">
      <c r="A93" s="5" t="s">
        <v>50</v>
      </c>
      <c r="B93" s="175">
        <f>B52/T_04!F34*100000</f>
        <v>942.55319148936167</v>
      </c>
      <c r="C93" s="69"/>
      <c r="D93" s="195">
        <f>D52/T_04!F34*100000</f>
        <v>19.148936170212764</v>
      </c>
      <c r="E93" s="196">
        <f>E52/T_04!F34*100000</f>
        <v>724.468085106383</v>
      </c>
      <c r="F93" s="197">
        <f>F52/T_04!F34*100000</f>
        <v>198.93617021276597</v>
      </c>
      <c r="G93" s="352"/>
    </row>
    <row r="94" spans="1:7" ht="13.5" customHeight="1" x14ac:dyDescent="0.2">
      <c r="A94" s="355" t="s">
        <v>51</v>
      </c>
      <c r="B94" s="356">
        <f>B53/T_04!F35*100000</f>
        <v>771.11929472157124</v>
      </c>
      <c r="C94" s="1286"/>
      <c r="D94" s="360">
        <f>D53/T_04!F35*100000</f>
        <v>45.753822118067184</v>
      </c>
      <c r="E94" s="361">
        <f>E53/T_04!F35*100000</f>
        <v>559.08938734516244</v>
      </c>
      <c r="F94" s="362">
        <f>F53/T_04!F35*100000</f>
        <v>166.27608525834171</v>
      </c>
      <c r="G94" s="352"/>
    </row>
    <row r="95" spans="1:7" ht="13.5" customHeight="1" x14ac:dyDescent="0.2">
      <c r="A95" s="5" t="s">
        <v>52</v>
      </c>
      <c r="B95" s="175">
        <f>B54/T_04!F36*100000</f>
        <v>1097.5677017263251</v>
      </c>
      <c r="C95" s="69"/>
      <c r="D95" s="195">
        <f>D54/T_04!F36*100000</f>
        <v>50.741823396392924</v>
      </c>
      <c r="E95" s="196">
        <f>E54/T_04!F36*100000</f>
        <v>823.45154707407198</v>
      </c>
      <c r="F95" s="197">
        <f>F54/T_04!F36*100000</f>
        <v>223.37433125586011</v>
      </c>
      <c r="G95" s="352"/>
    </row>
    <row r="96" spans="1:7" x14ac:dyDescent="0.2">
      <c r="A96" s="355"/>
      <c r="B96" s="356"/>
      <c r="C96" s="1286"/>
      <c r="D96" s="360"/>
      <c r="E96" s="361"/>
      <c r="F96" s="362"/>
      <c r="G96" s="352"/>
    </row>
    <row r="97" spans="1:7" ht="30" customHeight="1" x14ac:dyDescent="0.2">
      <c r="A97" s="194" t="s">
        <v>159</v>
      </c>
      <c r="B97" s="354">
        <f>B56/(SUM(T_04!F5:'T_04'!F36))*100000</f>
        <v>954.63427223123426</v>
      </c>
      <c r="C97" s="700"/>
      <c r="D97" s="126">
        <f>D56/SUM(SUM(T_04!F5:'T_04'!F36))*100000</f>
        <v>43.098363073293022</v>
      </c>
      <c r="E97" s="127">
        <f>E56/SUM(SUM(T_04!F5:'T_04'!F36))*100000</f>
        <v>743.97212800471914</v>
      </c>
      <c r="F97" s="198">
        <f>F56/SUM(SUM(T_04!F5:'T_04'!F36))*100000</f>
        <v>167.56378115322224</v>
      </c>
      <c r="G97" s="353"/>
    </row>
    <row r="98" spans="1:7" ht="14.25" customHeight="1" x14ac:dyDescent="0.2">
      <c r="A98" s="335"/>
      <c r="B98" s="700"/>
      <c r="C98" s="700"/>
      <c r="D98" s="353"/>
      <c r="E98" s="353"/>
      <c r="F98" s="353"/>
      <c r="G98" s="353"/>
    </row>
    <row r="99" spans="1:7" ht="13.5" customHeight="1" x14ac:dyDescent="0.2">
      <c r="A99" s="2" t="s">
        <v>162</v>
      </c>
      <c r="B99" s="69"/>
      <c r="C99" s="69"/>
      <c r="D99" s="353"/>
      <c r="E99" s="353"/>
      <c r="F99" s="353"/>
      <c r="G99" s="353"/>
    </row>
    <row r="100" spans="1:7" x14ac:dyDescent="0.2">
      <c r="A100" s="1" t="s">
        <v>963</v>
      </c>
    </row>
    <row r="101" spans="1:7" x14ac:dyDescent="0.2">
      <c r="A101" s="292"/>
    </row>
    <row r="102" spans="1:7" x14ac:dyDescent="0.2">
      <c r="A102" s="51" t="s">
        <v>136</v>
      </c>
      <c r="B102" s="51"/>
      <c r="C102" s="51"/>
    </row>
  </sheetData>
  <sheetProtection algorithmName="SHA-512" hashValue="dQH3Zx6pyCPKlfbEa7wsJ0fsoXB3ZxUfmgYM9X/CdagiEBoK1GrQCSi/6YWyiJAynDQScjZFvEN0ATM2c5IZJA==" saltValue="J3fOUXQc9hEQxFurJuNbiQ==" spinCount="100000" sheet="1" objects="1" scenarios="1"/>
  <mergeCells count="3">
    <mergeCell ref="A61:I61"/>
    <mergeCell ref="A1:J1"/>
    <mergeCell ref="A19:D20"/>
  </mergeCells>
  <hyperlinks>
    <hyperlink ref="A102" location="Contents!A1" display="Return to contents " xr:uid="{00000000-0004-0000-1600-000000000000}"/>
  </hyperlinks>
  <pageMargins left="0.70866141732283472" right="0.70866141732283472" top="0.74803149606299213" bottom="0.74803149606299213" header="0.31496062992125984" footer="0.31496062992125984"/>
  <pageSetup paperSize="9" scale="74" fitToHeight="0" orientation="portrait" r:id="rId1"/>
  <headerFooter>
    <oddFooter>&amp;L&amp;P&amp;C&amp;A</oddFooter>
  </headerFooter>
  <rowBreaks count="1" manualBreakCount="1">
    <brk id="60" max="16383" man="1"/>
  </rowBreaks>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4"/>
  <dimension ref="A2:F36"/>
  <sheetViews>
    <sheetView workbookViewId="0"/>
  </sheetViews>
  <sheetFormatPr defaultRowHeight="12.75" x14ac:dyDescent="0.2"/>
  <cols>
    <col min="1" max="1" width="20.28515625" customWidth="1"/>
    <col min="2" max="2" width="12.5703125" bestFit="1" customWidth="1"/>
    <col min="3" max="3" width="29.7109375" customWidth="1"/>
    <col min="4" max="4" width="35.28515625" customWidth="1"/>
    <col min="5" max="5" width="31" customWidth="1"/>
    <col min="6" max="6" width="11.42578125" customWidth="1"/>
    <col min="7" max="7" width="22.5703125" customWidth="1"/>
    <col min="8" max="8" width="12" customWidth="1"/>
    <col min="9" max="9" width="12.7109375" customWidth="1"/>
    <col min="10" max="10" width="19.42578125" customWidth="1"/>
    <col min="11" max="11" width="12.140625" customWidth="1"/>
    <col min="12" max="12" width="17.5703125" customWidth="1"/>
    <col min="13" max="13" width="17.42578125" customWidth="1"/>
    <col min="14" max="14" width="7.140625" customWidth="1"/>
    <col min="15" max="15" width="5" customWidth="1"/>
    <col min="16" max="16" width="12.85546875" customWidth="1"/>
    <col min="17" max="17" width="9.140625" customWidth="1"/>
    <col min="18" max="18" width="10.42578125" customWidth="1"/>
    <col min="19" max="19" width="10.5703125" customWidth="1"/>
    <col min="20" max="20" width="6.5703125" customWidth="1"/>
    <col min="21" max="21" width="18.28515625" customWidth="1"/>
    <col min="22" max="22" width="14" customWidth="1"/>
    <col min="23" max="23" width="17.42578125" customWidth="1"/>
    <col min="24" max="24" width="14.42578125" customWidth="1"/>
    <col min="25" max="25" width="17.28515625" customWidth="1"/>
    <col min="26" max="26" width="13.140625" customWidth="1"/>
    <col min="27" max="27" width="15.85546875" customWidth="1"/>
    <col min="28" max="28" width="16.140625" customWidth="1"/>
    <col min="29" max="29" width="14.42578125" customWidth="1"/>
    <col min="30" max="30" width="17.85546875" customWidth="1"/>
    <col min="31" max="31" width="7.5703125" customWidth="1"/>
    <col min="32" max="32" width="20.140625" customWidth="1"/>
    <col min="33" max="34" width="12.85546875" customWidth="1"/>
    <col min="35" max="35" width="11.7109375" customWidth="1"/>
    <col min="36" max="132" width="35.28515625" bestFit="1" customWidth="1"/>
    <col min="133" max="133" width="18" bestFit="1" customWidth="1"/>
    <col min="134" max="134" width="35" bestFit="1" customWidth="1"/>
    <col min="135" max="135" width="40.5703125" bestFit="1" customWidth="1"/>
    <col min="136" max="136" width="36.28515625" bestFit="1" customWidth="1"/>
  </cols>
  <sheetData>
    <row r="2" spans="1:6" x14ac:dyDescent="0.2">
      <c r="A2" s="1300" t="s">
        <v>4</v>
      </c>
      <c r="B2" t="s">
        <v>603</v>
      </c>
    </row>
    <row r="4" spans="1:6" x14ac:dyDescent="0.2">
      <c r="A4" s="1300" t="s">
        <v>658</v>
      </c>
      <c r="B4" t="s">
        <v>681</v>
      </c>
      <c r="C4" t="s">
        <v>691</v>
      </c>
      <c r="D4" t="s">
        <v>692</v>
      </c>
      <c r="E4" t="s">
        <v>690</v>
      </c>
      <c r="F4" t="s">
        <v>669</v>
      </c>
    </row>
    <row r="5" spans="1:6" x14ac:dyDescent="0.2">
      <c r="A5" s="1301" t="s">
        <v>23</v>
      </c>
      <c r="B5">
        <v>2582</v>
      </c>
      <c r="C5">
        <v>179</v>
      </c>
      <c r="D5">
        <v>2139</v>
      </c>
      <c r="E5">
        <v>264</v>
      </c>
      <c r="F5">
        <v>228800</v>
      </c>
    </row>
    <row r="6" spans="1:6" x14ac:dyDescent="0.2">
      <c r="A6" s="1301" t="s">
        <v>24</v>
      </c>
      <c r="B6">
        <v>1212</v>
      </c>
      <c r="C6">
        <v>36</v>
      </c>
      <c r="D6">
        <v>922</v>
      </c>
      <c r="E6">
        <v>254</v>
      </c>
      <c r="F6">
        <v>261800</v>
      </c>
    </row>
    <row r="7" spans="1:6" x14ac:dyDescent="0.2">
      <c r="A7" s="1301" t="s">
        <v>25</v>
      </c>
      <c r="B7">
        <v>1003</v>
      </c>
      <c r="C7">
        <v>40</v>
      </c>
      <c r="D7">
        <v>819</v>
      </c>
      <c r="E7">
        <v>144</v>
      </c>
      <c r="F7">
        <v>116280</v>
      </c>
    </row>
    <row r="8" spans="1:6" x14ac:dyDescent="0.2">
      <c r="A8" s="1301" t="s">
        <v>26</v>
      </c>
      <c r="B8">
        <v>1087</v>
      </c>
      <c r="C8">
        <v>16</v>
      </c>
      <c r="D8">
        <v>933</v>
      </c>
      <c r="E8">
        <v>138</v>
      </c>
      <c r="F8">
        <v>86810</v>
      </c>
    </row>
    <row r="9" spans="1:6" x14ac:dyDescent="0.2">
      <c r="A9" s="1301" t="s">
        <v>27</v>
      </c>
      <c r="B9">
        <v>488</v>
      </c>
      <c r="C9">
        <v>23</v>
      </c>
      <c r="D9">
        <v>334</v>
      </c>
      <c r="E9">
        <v>131</v>
      </c>
      <c r="F9">
        <v>51450</v>
      </c>
    </row>
    <row r="10" spans="1:6" x14ac:dyDescent="0.2">
      <c r="A10" s="1301" t="s">
        <v>28</v>
      </c>
      <c r="B10">
        <v>1015</v>
      </c>
      <c r="C10">
        <v>22</v>
      </c>
      <c r="D10">
        <v>749</v>
      </c>
      <c r="E10">
        <v>244</v>
      </c>
      <c r="F10">
        <v>149200</v>
      </c>
    </row>
    <row r="11" spans="1:6" x14ac:dyDescent="0.2">
      <c r="A11" s="1301" t="s">
        <v>29</v>
      </c>
      <c r="B11">
        <v>2211</v>
      </c>
      <c r="C11">
        <v>139</v>
      </c>
      <c r="D11">
        <v>1823</v>
      </c>
      <c r="E11">
        <v>249</v>
      </c>
      <c r="F11">
        <v>148710</v>
      </c>
    </row>
    <row r="12" spans="1:6" x14ac:dyDescent="0.2">
      <c r="A12" s="1301" t="s">
        <v>30</v>
      </c>
      <c r="B12">
        <v>1197</v>
      </c>
      <c r="C12">
        <v>28</v>
      </c>
      <c r="D12">
        <v>915</v>
      </c>
      <c r="E12">
        <v>254</v>
      </c>
      <c r="F12">
        <v>121940</v>
      </c>
    </row>
    <row r="13" spans="1:6" x14ac:dyDescent="0.2">
      <c r="A13" s="1301" t="s">
        <v>31</v>
      </c>
      <c r="B13">
        <v>648</v>
      </c>
      <c r="C13">
        <v>10</v>
      </c>
      <c r="D13">
        <v>507</v>
      </c>
      <c r="E13">
        <v>131</v>
      </c>
      <c r="F13">
        <v>108130</v>
      </c>
    </row>
    <row r="14" spans="1:6" x14ac:dyDescent="0.2">
      <c r="A14" s="1301" t="s">
        <v>32</v>
      </c>
      <c r="B14">
        <v>925</v>
      </c>
      <c r="C14">
        <v>29</v>
      </c>
      <c r="D14">
        <v>719</v>
      </c>
      <c r="E14">
        <v>177</v>
      </c>
      <c r="F14">
        <v>104840</v>
      </c>
    </row>
    <row r="15" spans="1:6" x14ac:dyDescent="0.2">
      <c r="A15" s="1301" t="s">
        <v>33</v>
      </c>
      <c r="B15">
        <v>630</v>
      </c>
      <c r="C15">
        <v>18</v>
      </c>
      <c r="D15">
        <v>502</v>
      </c>
      <c r="E15">
        <v>110</v>
      </c>
      <c r="F15">
        <v>94760</v>
      </c>
    </row>
    <row r="16" spans="1:6" x14ac:dyDescent="0.2">
      <c r="A16" s="1301" t="s">
        <v>665</v>
      </c>
      <c r="B16">
        <v>6414</v>
      </c>
      <c r="C16">
        <v>319</v>
      </c>
      <c r="D16">
        <v>5134</v>
      </c>
      <c r="E16">
        <v>961</v>
      </c>
      <c r="F16">
        <v>513210</v>
      </c>
    </row>
    <row r="17" spans="1:6" x14ac:dyDescent="0.2">
      <c r="A17" s="1301" t="s">
        <v>34</v>
      </c>
      <c r="B17">
        <v>1197</v>
      </c>
      <c r="C17">
        <v>71</v>
      </c>
      <c r="D17">
        <v>819</v>
      </c>
      <c r="E17">
        <v>307</v>
      </c>
      <c r="F17">
        <v>160130</v>
      </c>
    </row>
    <row r="18" spans="1:6" x14ac:dyDescent="0.2">
      <c r="A18" s="1301" t="s">
        <v>35</v>
      </c>
      <c r="B18">
        <v>2824</v>
      </c>
      <c r="C18">
        <v>100</v>
      </c>
      <c r="D18">
        <v>2323</v>
      </c>
      <c r="E18">
        <v>401</v>
      </c>
      <c r="F18">
        <v>371410</v>
      </c>
    </row>
    <row r="19" spans="1:6" x14ac:dyDescent="0.2">
      <c r="A19" s="1301" t="s">
        <v>36</v>
      </c>
      <c r="B19">
        <v>8352</v>
      </c>
      <c r="C19">
        <v>498</v>
      </c>
      <c r="D19">
        <v>6607</v>
      </c>
      <c r="E19">
        <v>1247</v>
      </c>
      <c r="F19">
        <v>621020</v>
      </c>
    </row>
    <row r="20" spans="1:6" x14ac:dyDescent="0.2">
      <c r="A20" s="1301" t="s">
        <v>37</v>
      </c>
      <c r="B20">
        <v>2195</v>
      </c>
      <c r="C20">
        <v>90</v>
      </c>
      <c r="D20">
        <v>1544</v>
      </c>
      <c r="E20">
        <v>561</v>
      </c>
      <c r="F20">
        <v>235180</v>
      </c>
    </row>
    <row r="21" spans="1:6" x14ac:dyDescent="0.2">
      <c r="A21" s="1301" t="s">
        <v>38</v>
      </c>
      <c r="B21">
        <v>784</v>
      </c>
      <c r="C21">
        <v>46</v>
      </c>
      <c r="D21">
        <v>556</v>
      </c>
      <c r="E21">
        <v>182</v>
      </c>
      <c r="F21">
        <v>78760</v>
      </c>
    </row>
    <row r="22" spans="1:6" x14ac:dyDescent="0.2">
      <c r="A22" s="1301" t="s">
        <v>39</v>
      </c>
      <c r="B22">
        <v>646</v>
      </c>
      <c r="C22">
        <v>38</v>
      </c>
      <c r="D22">
        <v>495</v>
      </c>
      <c r="E22">
        <v>113</v>
      </c>
      <c r="F22">
        <v>90090</v>
      </c>
    </row>
    <row r="23" spans="1:6" x14ac:dyDescent="0.2">
      <c r="A23" s="1301" t="s">
        <v>40</v>
      </c>
      <c r="B23">
        <v>571</v>
      </c>
      <c r="C23">
        <v>16</v>
      </c>
      <c r="D23">
        <v>470</v>
      </c>
      <c r="E23">
        <v>85</v>
      </c>
      <c r="F23">
        <v>95780</v>
      </c>
    </row>
    <row r="24" spans="1:6" x14ac:dyDescent="0.2">
      <c r="A24" s="1301" t="s">
        <v>393</v>
      </c>
      <c r="B24">
        <v>233</v>
      </c>
      <c r="C24">
        <v>2</v>
      </c>
      <c r="D24">
        <v>176</v>
      </c>
      <c r="E24">
        <v>55</v>
      </c>
      <c r="F24">
        <v>26950</v>
      </c>
    </row>
    <row r="25" spans="1:6" x14ac:dyDescent="0.2">
      <c r="A25" s="1301" t="s">
        <v>41</v>
      </c>
      <c r="B25">
        <v>1296</v>
      </c>
      <c r="C25">
        <v>45</v>
      </c>
      <c r="D25">
        <v>975</v>
      </c>
      <c r="E25">
        <v>276</v>
      </c>
      <c r="F25">
        <v>135790</v>
      </c>
    </row>
    <row r="26" spans="1:6" x14ac:dyDescent="0.2">
      <c r="A26" s="1301" t="s">
        <v>42</v>
      </c>
      <c r="B26">
        <v>2856</v>
      </c>
      <c r="C26">
        <v>134</v>
      </c>
      <c r="D26">
        <v>2125</v>
      </c>
      <c r="E26">
        <v>597</v>
      </c>
      <c r="F26">
        <v>339960</v>
      </c>
    </row>
    <row r="27" spans="1:6" x14ac:dyDescent="0.2">
      <c r="A27" s="1301" t="s">
        <v>43</v>
      </c>
      <c r="B27">
        <v>83</v>
      </c>
      <c r="C27">
        <v>3</v>
      </c>
      <c r="D27">
        <v>55</v>
      </c>
      <c r="E27">
        <v>25</v>
      </c>
      <c r="F27">
        <v>22000</v>
      </c>
    </row>
    <row r="28" spans="1:6" x14ac:dyDescent="0.2">
      <c r="A28" s="1301" t="s">
        <v>44</v>
      </c>
      <c r="B28">
        <v>1091</v>
      </c>
      <c r="C28">
        <v>34</v>
      </c>
      <c r="D28">
        <v>883</v>
      </c>
      <c r="E28">
        <v>174</v>
      </c>
      <c r="F28">
        <v>151100</v>
      </c>
    </row>
    <row r="29" spans="1:6" x14ac:dyDescent="0.2">
      <c r="A29" s="1301" t="s">
        <v>45</v>
      </c>
      <c r="B29">
        <v>1658</v>
      </c>
      <c r="C29">
        <v>62</v>
      </c>
      <c r="D29">
        <v>1240</v>
      </c>
      <c r="E29">
        <v>356</v>
      </c>
      <c r="F29">
        <v>176830</v>
      </c>
    </row>
    <row r="30" spans="1:6" x14ac:dyDescent="0.2">
      <c r="A30" s="1301" t="s">
        <v>46</v>
      </c>
      <c r="B30">
        <v>890</v>
      </c>
      <c r="C30">
        <v>42</v>
      </c>
      <c r="D30">
        <v>612</v>
      </c>
      <c r="E30">
        <v>236</v>
      </c>
      <c r="F30">
        <v>115020</v>
      </c>
    </row>
    <row r="31" spans="1:6" x14ac:dyDescent="0.2">
      <c r="A31" s="1301" t="s">
        <v>47</v>
      </c>
      <c r="B31">
        <v>131</v>
      </c>
      <c r="C31">
        <v>1</v>
      </c>
      <c r="D31">
        <v>102</v>
      </c>
      <c r="E31">
        <v>28</v>
      </c>
      <c r="F31">
        <v>23080</v>
      </c>
    </row>
    <row r="32" spans="1:6" x14ac:dyDescent="0.2">
      <c r="A32" s="1301" t="s">
        <v>48</v>
      </c>
      <c r="B32">
        <v>1231</v>
      </c>
      <c r="C32">
        <v>46</v>
      </c>
      <c r="D32">
        <v>978</v>
      </c>
      <c r="E32">
        <v>207</v>
      </c>
      <c r="F32">
        <v>112680</v>
      </c>
    </row>
    <row r="33" spans="1:6" x14ac:dyDescent="0.2">
      <c r="A33" s="1301" t="s">
        <v>49</v>
      </c>
      <c r="B33">
        <v>2770</v>
      </c>
      <c r="C33">
        <v>100</v>
      </c>
      <c r="D33">
        <v>2228</v>
      </c>
      <c r="E33">
        <v>442</v>
      </c>
      <c r="F33">
        <v>318170</v>
      </c>
    </row>
    <row r="34" spans="1:6" x14ac:dyDescent="0.2">
      <c r="A34" s="1301" t="s">
        <v>50</v>
      </c>
      <c r="B34">
        <v>886</v>
      </c>
      <c r="C34">
        <v>18</v>
      </c>
      <c r="D34">
        <v>681</v>
      </c>
      <c r="E34">
        <v>187</v>
      </c>
      <c r="F34">
        <v>94000</v>
      </c>
    </row>
    <row r="35" spans="1:6" x14ac:dyDescent="0.2">
      <c r="A35" s="1301" t="s">
        <v>51</v>
      </c>
      <c r="B35">
        <v>691</v>
      </c>
      <c r="C35">
        <v>41</v>
      </c>
      <c r="D35">
        <v>501</v>
      </c>
      <c r="E35">
        <v>149</v>
      </c>
      <c r="F35">
        <v>89610</v>
      </c>
    </row>
    <row r="36" spans="1:6" x14ac:dyDescent="0.2">
      <c r="A36" s="1301" t="s">
        <v>52</v>
      </c>
      <c r="B36">
        <v>1990</v>
      </c>
      <c r="C36">
        <v>92</v>
      </c>
      <c r="D36">
        <v>1493</v>
      </c>
      <c r="E36">
        <v>405</v>
      </c>
      <c r="F36">
        <v>181310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4"/>
  </sheetPr>
  <dimension ref="A1:S49"/>
  <sheetViews>
    <sheetView showGridLines="0" zoomScaleNormal="100" workbookViewId="0">
      <selection sqref="A1:K1"/>
    </sheetView>
  </sheetViews>
  <sheetFormatPr defaultRowHeight="12.75" x14ac:dyDescent="0.2"/>
  <cols>
    <col min="1" max="1" width="11.7109375" customWidth="1"/>
    <col min="2" max="2" width="10.28515625" customWidth="1"/>
    <col min="6" max="6" width="10" customWidth="1"/>
    <col min="18" max="18" width="31.42578125" customWidth="1"/>
  </cols>
  <sheetData>
    <row r="1" spans="1:11" ht="38.25" customHeight="1" x14ac:dyDescent="0.2">
      <c r="A1" s="1655" t="s">
        <v>609</v>
      </c>
      <c r="B1" s="1655"/>
      <c r="C1" s="1655"/>
      <c r="D1" s="1655"/>
      <c r="E1" s="1655"/>
      <c r="F1" s="1655"/>
      <c r="G1" s="1655"/>
      <c r="H1" s="1655"/>
      <c r="I1" s="1655"/>
      <c r="J1" s="1655"/>
      <c r="K1" s="1655"/>
    </row>
    <row r="2" spans="1:11" ht="15" x14ac:dyDescent="0.25">
      <c r="A2" s="1"/>
      <c r="B2" s="1"/>
      <c r="C2" s="1"/>
      <c r="D2" s="1"/>
      <c r="E2" s="1"/>
      <c r="F2" s="1"/>
      <c r="G2" s="253" t="s">
        <v>0</v>
      </c>
      <c r="H2" s="1"/>
      <c r="I2" s="1"/>
    </row>
    <row r="3" spans="1:11" ht="30" customHeight="1" x14ac:dyDescent="0.2">
      <c r="A3" s="17" t="s">
        <v>4</v>
      </c>
      <c r="B3" s="117" t="s">
        <v>5</v>
      </c>
      <c r="C3" s="1115" t="s">
        <v>6</v>
      </c>
      <c r="D3" s="1115" t="s">
        <v>7</v>
      </c>
      <c r="E3" s="1115" t="s">
        <v>8</v>
      </c>
      <c r="F3" s="229" t="s">
        <v>172</v>
      </c>
      <c r="G3" s="229" t="s">
        <v>11</v>
      </c>
      <c r="H3" s="1"/>
      <c r="I3" s="1"/>
    </row>
    <row r="4" spans="1:11" ht="18.75" customHeight="1" x14ac:dyDescent="0.2">
      <c r="A4" s="1017" t="s">
        <v>20</v>
      </c>
      <c r="B4" s="7">
        <v>781</v>
      </c>
      <c r="C4" s="7">
        <v>1178</v>
      </c>
      <c r="D4" s="7">
        <v>44</v>
      </c>
      <c r="E4" s="7">
        <v>570</v>
      </c>
      <c r="F4" s="137">
        <v>180</v>
      </c>
      <c r="G4" s="40">
        <f>SUM(B4:F4)</f>
        <v>2753</v>
      </c>
      <c r="H4" s="7"/>
      <c r="I4" s="1"/>
    </row>
    <row r="5" spans="1:11" ht="13.5" customHeight="1" x14ac:dyDescent="0.2">
      <c r="A5" s="30" t="s">
        <v>13</v>
      </c>
      <c r="B5" s="7">
        <v>809</v>
      </c>
      <c r="C5" s="7">
        <v>1107</v>
      </c>
      <c r="D5" s="7">
        <v>39</v>
      </c>
      <c r="E5" s="7">
        <v>510</v>
      </c>
      <c r="F5" s="137">
        <v>156</v>
      </c>
      <c r="G5" s="9">
        <f t="shared" ref="G5:G11" si="0">SUM(B5:F5)</f>
        <v>2621</v>
      </c>
      <c r="H5" s="7"/>
      <c r="I5" s="1"/>
    </row>
    <row r="6" spans="1:11" ht="13.5" customHeight="1" x14ac:dyDescent="0.2">
      <c r="A6" s="30" t="s">
        <v>15</v>
      </c>
      <c r="B6" s="7">
        <v>677</v>
      </c>
      <c r="C6" s="7">
        <v>1158</v>
      </c>
      <c r="D6" s="7">
        <v>18</v>
      </c>
      <c r="E6" s="7">
        <v>329</v>
      </c>
      <c r="F6" s="137">
        <v>125</v>
      </c>
      <c r="G6" s="9">
        <f t="shared" si="0"/>
        <v>2307</v>
      </c>
      <c r="H6" s="7"/>
      <c r="I6" s="1"/>
    </row>
    <row r="7" spans="1:11" ht="13.5" customHeight="1" x14ac:dyDescent="0.2">
      <c r="A7" s="30" t="s">
        <v>17</v>
      </c>
      <c r="B7" s="7">
        <v>651</v>
      </c>
      <c r="C7" s="7">
        <v>1220</v>
      </c>
      <c r="D7" s="7">
        <v>31</v>
      </c>
      <c r="E7" s="7">
        <v>339</v>
      </c>
      <c r="F7" s="137">
        <v>125</v>
      </c>
      <c r="G7" s="9">
        <f t="shared" si="0"/>
        <v>2366</v>
      </c>
      <c r="H7" s="7"/>
      <c r="I7" s="1"/>
    </row>
    <row r="8" spans="1:11" ht="13.5" customHeight="1" x14ac:dyDescent="0.2">
      <c r="A8" s="15" t="s">
        <v>147</v>
      </c>
      <c r="B8" s="7">
        <v>512</v>
      </c>
      <c r="C8" s="7">
        <v>1104</v>
      </c>
      <c r="D8" s="7">
        <v>33</v>
      </c>
      <c r="E8" s="7">
        <v>291</v>
      </c>
      <c r="F8" s="137">
        <v>116</v>
      </c>
      <c r="G8" s="9">
        <f t="shared" si="0"/>
        <v>2056</v>
      </c>
      <c r="H8" s="7"/>
      <c r="I8" s="1"/>
    </row>
    <row r="9" spans="1:11" ht="13.5" customHeight="1" x14ac:dyDescent="0.2">
      <c r="A9" s="15" t="str">
        <f>T04cde!$A$11</f>
        <v>2015-16</v>
      </c>
      <c r="B9" s="1">
        <f>T04cde!D11</f>
        <v>524</v>
      </c>
      <c r="C9" s="7">
        <f>T04cde!E11</f>
        <v>1349</v>
      </c>
      <c r="D9" s="1">
        <f>T04cde!F11</f>
        <v>33</v>
      </c>
      <c r="E9" s="1">
        <f>T04cde!G11</f>
        <v>350</v>
      </c>
      <c r="F9" s="151">
        <f>T04cde!H11</f>
        <v>119</v>
      </c>
      <c r="G9" s="9">
        <f t="shared" si="0"/>
        <v>2375</v>
      </c>
      <c r="H9" s="7"/>
      <c r="I9" s="1"/>
    </row>
    <row r="10" spans="1:11" ht="13.5" customHeight="1" x14ac:dyDescent="0.2">
      <c r="A10" s="15" t="str">
        <f>T04cde!$A$12</f>
        <v>2016-17</v>
      </c>
      <c r="B10" s="1">
        <f>T04cde!D12</f>
        <v>496</v>
      </c>
      <c r="C10" s="7">
        <f>T04cde!E12</f>
        <v>1319</v>
      </c>
      <c r="D10" s="1">
        <f>T04cde!F12</f>
        <v>25</v>
      </c>
      <c r="E10" s="1">
        <f>T04cde!G12</f>
        <v>309</v>
      </c>
      <c r="F10" s="151">
        <f>T04cde!H12</f>
        <v>132</v>
      </c>
      <c r="G10" s="9">
        <f t="shared" si="0"/>
        <v>2281</v>
      </c>
      <c r="H10" s="7" t="s">
        <v>145</v>
      </c>
      <c r="I10" s="1"/>
    </row>
    <row r="11" spans="1:11" ht="13.5" customHeight="1" x14ac:dyDescent="0.2">
      <c r="A11" s="1261" t="str">
        <f>T04cde!$A$13</f>
        <v>2017-18</v>
      </c>
      <c r="B11" s="90">
        <f>T04cde!D13</f>
        <v>424</v>
      </c>
      <c r="C11" s="336">
        <f>T04cde!E13</f>
        <v>1450</v>
      </c>
      <c r="D11" s="90">
        <f>T04cde!F13</f>
        <v>35</v>
      </c>
      <c r="E11" s="90">
        <f>T04cde!G13</f>
        <v>299</v>
      </c>
      <c r="F11" s="91">
        <f>T04cde!H13</f>
        <v>130</v>
      </c>
      <c r="G11" s="12">
        <f t="shared" si="0"/>
        <v>2338</v>
      </c>
      <c r="H11" s="7" t="s">
        <v>143</v>
      </c>
      <c r="I11" s="1"/>
    </row>
    <row r="12" spans="1:11" x14ac:dyDescent="0.2">
      <c r="A12" s="13"/>
      <c r="B12" s="1"/>
      <c r="C12" s="7"/>
      <c r="D12" s="1"/>
      <c r="E12" s="1"/>
      <c r="F12" s="1"/>
      <c r="G12" s="472"/>
      <c r="H12" s="1"/>
      <c r="I12" s="1"/>
    </row>
    <row r="13" spans="1:11" x14ac:dyDescent="0.2">
      <c r="A13" s="1542" t="s">
        <v>162</v>
      </c>
      <c r="B13" s="1"/>
      <c r="C13" s="7"/>
      <c r="D13" s="1"/>
      <c r="E13" s="1"/>
      <c r="F13" s="1"/>
      <c r="G13" s="472"/>
      <c r="H13" s="1"/>
      <c r="I13" s="1"/>
    </row>
    <row r="14" spans="1:11" x14ac:dyDescent="0.2">
      <c r="A14" s="1649" t="s">
        <v>975</v>
      </c>
      <c r="B14" s="1649"/>
      <c r="C14" s="7"/>
      <c r="D14" s="1"/>
      <c r="E14" s="1"/>
      <c r="F14" s="1"/>
      <c r="G14" s="472"/>
      <c r="H14" s="1"/>
      <c r="I14" s="1"/>
    </row>
    <row r="15" spans="1:11" x14ac:dyDescent="0.2">
      <c r="A15" s="1649" t="s">
        <v>968</v>
      </c>
      <c r="B15" s="1649"/>
      <c r="C15" s="1"/>
      <c r="D15" s="1"/>
      <c r="E15" s="1"/>
      <c r="F15" s="1"/>
      <c r="G15" s="1"/>
      <c r="H15" s="1"/>
      <c r="I15" s="1"/>
    </row>
    <row r="16" spans="1:11" x14ac:dyDescent="0.2">
      <c r="A16" s="309"/>
      <c r="B16" s="309"/>
      <c r="C16" s="1"/>
      <c r="D16" s="1"/>
      <c r="E16" s="1"/>
      <c r="F16" s="1"/>
      <c r="G16" s="1"/>
      <c r="H16" s="1"/>
      <c r="I16" s="1"/>
    </row>
    <row r="17" spans="1:19" ht="38.25" customHeight="1" x14ac:dyDescent="0.2">
      <c r="A17" s="1655" t="s">
        <v>610</v>
      </c>
      <c r="B17" s="1655"/>
      <c r="C17" s="1655"/>
      <c r="D17" s="1655"/>
      <c r="E17" s="1655"/>
      <c r="F17" s="1655"/>
      <c r="G17" s="1655"/>
      <c r="H17" s="1655"/>
      <c r="I17" s="1655"/>
      <c r="J17" s="1655"/>
      <c r="K17" s="1655"/>
    </row>
    <row r="18" spans="1:19" ht="15" customHeight="1" x14ac:dyDescent="0.25">
      <c r="A18" s="1"/>
      <c r="B18" s="1"/>
      <c r="C18" s="1"/>
      <c r="D18" s="1"/>
      <c r="E18" s="1"/>
      <c r="F18" s="1"/>
      <c r="G18" s="253" t="s">
        <v>0</v>
      </c>
      <c r="H18" s="1"/>
      <c r="I18" s="1"/>
    </row>
    <row r="19" spans="1:19" ht="30" customHeight="1" x14ac:dyDescent="0.25">
      <c r="A19" s="597" t="s">
        <v>4</v>
      </c>
      <c r="B19" s="117" t="s">
        <v>5</v>
      </c>
      <c r="C19" s="1115" t="s">
        <v>6</v>
      </c>
      <c r="D19" s="1115" t="s">
        <v>7</v>
      </c>
      <c r="E19" s="1115" t="s">
        <v>8</v>
      </c>
      <c r="F19" s="229" t="s">
        <v>172</v>
      </c>
      <c r="G19" s="772" t="s">
        <v>11</v>
      </c>
      <c r="H19" s="1"/>
      <c r="I19" s="1"/>
      <c r="L19" s="468"/>
      <c r="M19" s="468"/>
      <c r="N19" s="469"/>
      <c r="O19" s="469"/>
      <c r="P19" s="469"/>
      <c r="Q19" s="469"/>
      <c r="R19" s="469"/>
      <c r="S19" s="469"/>
    </row>
    <row r="20" spans="1:19" ht="18.75" customHeight="1" x14ac:dyDescent="0.2">
      <c r="A20" s="1017" t="s">
        <v>20</v>
      </c>
      <c r="B20" s="380">
        <v>9234</v>
      </c>
      <c r="C20" s="380">
        <v>25942</v>
      </c>
      <c r="D20" s="380">
        <v>2</v>
      </c>
      <c r="E20" s="380">
        <v>51</v>
      </c>
      <c r="F20" s="380">
        <v>6</v>
      </c>
      <c r="G20" s="40">
        <f>SUM(B20:F20)</f>
        <v>35235</v>
      </c>
      <c r="H20" s="7"/>
      <c r="I20" s="1"/>
    </row>
    <row r="21" spans="1:19" ht="13.5" customHeight="1" x14ac:dyDescent="0.2">
      <c r="A21" s="30" t="s">
        <v>13</v>
      </c>
      <c r="B21" s="7">
        <v>9703</v>
      </c>
      <c r="C21" s="7">
        <v>25165</v>
      </c>
      <c r="D21" s="7">
        <v>6</v>
      </c>
      <c r="E21" s="7">
        <v>54</v>
      </c>
      <c r="F21" s="7">
        <v>7</v>
      </c>
      <c r="G21" s="9">
        <f t="shared" ref="G21:G27" si="1">SUM(B21:F21)</f>
        <v>34935</v>
      </c>
      <c r="H21" s="7"/>
      <c r="I21" s="1"/>
    </row>
    <row r="22" spans="1:19" ht="13.5" customHeight="1" x14ac:dyDescent="0.2">
      <c r="A22" s="30" t="s">
        <v>15</v>
      </c>
      <c r="B22" s="7">
        <v>10404</v>
      </c>
      <c r="C22" s="7">
        <v>24641</v>
      </c>
      <c r="D22" s="7">
        <v>10</v>
      </c>
      <c r="E22" s="7">
        <v>43</v>
      </c>
      <c r="F22" s="7">
        <v>8</v>
      </c>
      <c r="G22" s="9">
        <f t="shared" si="1"/>
        <v>35106</v>
      </c>
      <c r="H22" s="7"/>
      <c r="I22" s="1"/>
    </row>
    <row r="23" spans="1:19" ht="13.5" customHeight="1" x14ac:dyDescent="0.2">
      <c r="A23" s="30" t="s">
        <v>17</v>
      </c>
      <c r="B23" s="7">
        <v>10629</v>
      </c>
      <c r="C23" s="7">
        <v>24555</v>
      </c>
      <c r="D23" s="7">
        <v>3</v>
      </c>
      <c r="E23" s="7">
        <v>44</v>
      </c>
      <c r="F23" s="7">
        <v>5</v>
      </c>
      <c r="G23" s="9">
        <f t="shared" si="1"/>
        <v>35236</v>
      </c>
      <c r="H23" s="7"/>
      <c r="I23" s="1"/>
    </row>
    <row r="24" spans="1:19" ht="13.5" customHeight="1" x14ac:dyDescent="0.2">
      <c r="A24" s="15" t="s">
        <v>147</v>
      </c>
      <c r="B24" s="7">
        <v>11622</v>
      </c>
      <c r="C24" s="7">
        <v>25665</v>
      </c>
      <c r="D24" s="7">
        <v>11</v>
      </c>
      <c r="E24" s="7">
        <v>50</v>
      </c>
      <c r="F24" s="7">
        <v>7</v>
      </c>
      <c r="G24" s="9">
        <f t="shared" si="1"/>
        <v>37355</v>
      </c>
      <c r="H24" s="7"/>
      <c r="I24" s="1"/>
    </row>
    <row r="25" spans="1:19" ht="13.5" customHeight="1" x14ac:dyDescent="0.2">
      <c r="A25" s="30" t="str">
        <f>T04cde!$A$5</f>
        <v>2015-16</v>
      </c>
      <c r="B25" s="7">
        <f>T04cde!D5</f>
        <v>11598</v>
      </c>
      <c r="C25" s="7">
        <f>T04cde!E5</f>
        <v>25970</v>
      </c>
      <c r="D25" s="7">
        <f>T04cde!F5</f>
        <v>9</v>
      </c>
      <c r="E25" s="7">
        <f>T04cde!G5</f>
        <v>39</v>
      </c>
      <c r="F25" s="7">
        <f>T04cde!H5</f>
        <v>5</v>
      </c>
      <c r="G25" s="9">
        <f t="shared" si="1"/>
        <v>37621</v>
      </c>
      <c r="H25" s="7" t="s">
        <v>145</v>
      </c>
      <c r="I25" s="1"/>
    </row>
    <row r="26" spans="1:19" ht="13.5" customHeight="1" x14ac:dyDescent="0.2">
      <c r="A26" s="30" t="str">
        <f>T04cde!$A$6</f>
        <v>2016-17</v>
      </c>
      <c r="B26" s="7">
        <f>T04cde!D6</f>
        <v>12566</v>
      </c>
      <c r="C26" s="7">
        <f>T04cde!E6</f>
        <v>27005</v>
      </c>
      <c r="D26" s="7">
        <f>T04cde!F6</f>
        <v>6</v>
      </c>
      <c r="E26" s="7">
        <f>T04cde!G6</f>
        <v>35</v>
      </c>
      <c r="F26" s="7">
        <f>T04cde!H6</f>
        <v>14</v>
      </c>
      <c r="G26" s="9">
        <f t="shared" si="1"/>
        <v>39626</v>
      </c>
      <c r="H26" s="7" t="s">
        <v>145</v>
      </c>
      <c r="I26" s="1"/>
    </row>
    <row r="27" spans="1:19" ht="13.5" customHeight="1" x14ac:dyDescent="0.2">
      <c r="A27" s="1261" t="str">
        <f>T04cde!$A$7</f>
        <v>2017-18</v>
      </c>
      <c r="B27" s="336">
        <f>T04cde!D7</f>
        <v>13392</v>
      </c>
      <c r="C27" s="336">
        <f>T04cde!E7</f>
        <v>26907</v>
      </c>
      <c r="D27" s="336">
        <f>T04cde!F7</f>
        <v>10</v>
      </c>
      <c r="E27" s="336">
        <f>T04cde!G7</f>
        <v>41</v>
      </c>
      <c r="F27" s="336">
        <f>T04cde!H7</f>
        <v>9</v>
      </c>
      <c r="G27" s="12">
        <f t="shared" si="1"/>
        <v>40359</v>
      </c>
      <c r="H27" s="7" t="s">
        <v>143</v>
      </c>
      <c r="I27" s="1"/>
    </row>
    <row r="28" spans="1:19" x14ac:dyDescent="0.2">
      <c r="A28" s="1"/>
      <c r="B28" s="1"/>
      <c r="C28" s="1"/>
      <c r="D28" s="1"/>
      <c r="E28" s="1"/>
      <c r="F28" s="1"/>
      <c r="G28" s="1"/>
      <c r="H28" s="1"/>
      <c r="I28" s="1"/>
    </row>
    <row r="29" spans="1:19" x14ac:dyDescent="0.2">
      <c r="A29" s="1542" t="s">
        <v>162</v>
      </c>
      <c r="B29" s="1"/>
      <c r="C29" s="1"/>
      <c r="D29" s="1"/>
      <c r="E29" s="1"/>
      <c r="F29" s="1"/>
      <c r="G29" s="1"/>
      <c r="H29" s="1"/>
      <c r="I29" s="1"/>
    </row>
    <row r="30" spans="1:19" x14ac:dyDescent="0.2">
      <c r="A30" s="1649" t="s">
        <v>975</v>
      </c>
      <c r="B30" s="1649"/>
      <c r="C30" s="1"/>
      <c r="D30" s="1"/>
      <c r="E30" s="1"/>
      <c r="F30" s="1"/>
      <c r="G30" s="1"/>
      <c r="H30" s="1"/>
      <c r="I30" s="1"/>
    </row>
    <row r="31" spans="1:19" x14ac:dyDescent="0.2">
      <c r="A31" s="1649" t="s">
        <v>968</v>
      </c>
      <c r="B31" s="1649"/>
      <c r="C31" s="1"/>
      <c r="D31" s="1"/>
      <c r="E31" s="1"/>
      <c r="F31" s="1"/>
      <c r="G31" s="1"/>
      <c r="H31" s="1"/>
      <c r="I31" s="1"/>
    </row>
    <row r="32" spans="1:19" x14ac:dyDescent="0.2">
      <c r="A32" s="309"/>
      <c r="B32" s="309"/>
      <c r="C32" s="1"/>
      <c r="D32" s="1"/>
      <c r="E32" s="1"/>
      <c r="F32" s="1"/>
      <c r="G32" s="1"/>
      <c r="H32" s="1"/>
      <c r="I32" s="1"/>
    </row>
    <row r="33" spans="1:19" ht="38.25" customHeight="1" x14ac:dyDescent="0.2">
      <c r="A33" s="1655" t="s">
        <v>611</v>
      </c>
      <c r="B33" s="1655"/>
      <c r="C33" s="1655"/>
      <c r="D33" s="1655"/>
      <c r="E33" s="1655"/>
      <c r="F33" s="1655"/>
      <c r="G33" s="1655"/>
      <c r="H33" s="1655"/>
      <c r="I33" s="1655"/>
      <c r="J33" s="1655"/>
      <c r="K33" s="1655"/>
    </row>
    <row r="34" spans="1:19" ht="15" x14ac:dyDescent="0.25">
      <c r="A34" s="1"/>
      <c r="B34" s="1"/>
      <c r="C34" s="1"/>
      <c r="D34" s="1"/>
      <c r="E34" s="1"/>
      <c r="F34" s="1"/>
      <c r="G34" s="253" t="s">
        <v>0</v>
      </c>
      <c r="H34" s="1"/>
      <c r="I34" s="1"/>
    </row>
    <row r="35" spans="1:19" ht="30" customHeight="1" x14ac:dyDescent="0.25">
      <c r="A35" s="597" t="s">
        <v>4</v>
      </c>
      <c r="B35" s="117" t="s">
        <v>5</v>
      </c>
      <c r="C35" s="1115" t="s">
        <v>6</v>
      </c>
      <c r="D35" s="1115" t="s">
        <v>7</v>
      </c>
      <c r="E35" s="1115" t="s">
        <v>8</v>
      </c>
      <c r="F35" s="229" t="s">
        <v>172</v>
      </c>
      <c r="G35" s="772" t="s">
        <v>11</v>
      </c>
      <c r="H35" s="1"/>
      <c r="I35" s="1"/>
      <c r="L35" s="468"/>
      <c r="M35" s="468"/>
      <c r="N35" s="469"/>
      <c r="O35" s="469"/>
      <c r="P35" s="469"/>
      <c r="Q35" s="469"/>
      <c r="R35" s="469"/>
      <c r="S35" s="469"/>
    </row>
    <row r="36" spans="1:19" ht="18.75" customHeight="1" x14ac:dyDescent="0.2">
      <c r="A36" s="1017" t="s">
        <v>20</v>
      </c>
      <c r="B36" s="380">
        <v>4466</v>
      </c>
      <c r="C36" s="380">
        <v>3839</v>
      </c>
      <c r="D36" s="380">
        <v>385</v>
      </c>
      <c r="E36" s="380">
        <v>2929</v>
      </c>
      <c r="F36" s="380">
        <v>206</v>
      </c>
      <c r="G36" s="40">
        <f>SUM(B36:F36)</f>
        <v>11825</v>
      </c>
      <c r="H36" s="7"/>
      <c r="I36" s="1"/>
    </row>
    <row r="37" spans="1:19" ht="13.5" customHeight="1" x14ac:dyDescent="0.2">
      <c r="A37" s="30" t="s">
        <v>13</v>
      </c>
      <c r="B37" s="7">
        <v>3894</v>
      </c>
      <c r="C37" s="7">
        <v>3182</v>
      </c>
      <c r="D37" s="7">
        <v>359</v>
      </c>
      <c r="E37" s="7">
        <v>2756</v>
      </c>
      <c r="F37" s="7">
        <v>170</v>
      </c>
      <c r="G37" s="9">
        <f t="shared" ref="G37:G43" si="2">SUM(B37:F37)</f>
        <v>10361</v>
      </c>
      <c r="H37" s="7"/>
      <c r="I37" s="1"/>
    </row>
    <row r="38" spans="1:19" ht="13.5" customHeight="1" x14ac:dyDescent="0.2">
      <c r="A38" s="30" t="s">
        <v>15</v>
      </c>
      <c r="B38" s="7">
        <v>3874</v>
      </c>
      <c r="C38" s="7">
        <v>3110</v>
      </c>
      <c r="D38" s="7">
        <v>417</v>
      </c>
      <c r="E38" s="7">
        <v>2337</v>
      </c>
      <c r="F38" s="7">
        <v>135</v>
      </c>
      <c r="G38" s="9">
        <f t="shared" si="2"/>
        <v>9873</v>
      </c>
      <c r="H38" s="7"/>
      <c r="I38" s="1"/>
    </row>
    <row r="39" spans="1:19" ht="13.5" customHeight="1" x14ac:dyDescent="0.2">
      <c r="A39" s="30" t="s">
        <v>17</v>
      </c>
      <c r="B39" s="7">
        <v>3644</v>
      </c>
      <c r="C39" s="7">
        <v>2742</v>
      </c>
      <c r="D39" s="7">
        <v>366</v>
      </c>
      <c r="E39" s="7">
        <v>2683</v>
      </c>
      <c r="F39" s="7">
        <v>183</v>
      </c>
      <c r="G39" s="9">
        <f t="shared" si="2"/>
        <v>9618</v>
      </c>
      <c r="H39" s="7"/>
      <c r="I39" s="1"/>
    </row>
    <row r="40" spans="1:19" ht="13.5" customHeight="1" x14ac:dyDescent="0.2">
      <c r="A40" s="15" t="s">
        <v>147</v>
      </c>
      <c r="B40" s="7">
        <v>3679</v>
      </c>
      <c r="C40" s="7">
        <v>2445</v>
      </c>
      <c r="D40" s="7">
        <v>399</v>
      </c>
      <c r="E40" s="7">
        <v>2537</v>
      </c>
      <c r="F40" s="7">
        <v>197</v>
      </c>
      <c r="G40" s="9">
        <f t="shared" si="2"/>
        <v>9257</v>
      </c>
      <c r="H40" s="7"/>
      <c r="I40" s="1"/>
    </row>
    <row r="41" spans="1:19" ht="13.5" customHeight="1" x14ac:dyDescent="0.2">
      <c r="A41" s="30" t="str">
        <f>T04cde!$A$8</f>
        <v>2015-16</v>
      </c>
      <c r="B41" s="7">
        <f>T04cde!D8</f>
        <v>3559</v>
      </c>
      <c r="C41" s="7">
        <f>T04cde!E8</f>
        <v>2163</v>
      </c>
      <c r="D41" s="7">
        <f>T04cde!F8</f>
        <v>396</v>
      </c>
      <c r="E41" s="7">
        <f>T04cde!G8</f>
        <v>2532</v>
      </c>
      <c r="F41" s="7">
        <f>T04cde!H8</f>
        <v>199</v>
      </c>
      <c r="G41" s="9">
        <f t="shared" si="2"/>
        <v>8849</v>
      </c>
      <c r="H41" s="7" t="s">
        <v>145</v>
      </c>
      <c r="I41" s="1"/>
    </row>
    <row r="42" spans="1:19" ht="13.5" customHeight="1" x14ac:dyDescent="0.2">
      <c r="A42" s="30" t="str">
        <f>T04cde!$A$9</f>
        <v>2016-17</v>
      </c>
      <c r="B42" s="7">
        <f>T04cde!D9</f>
        <v>3481</v>
      </c>
      <c r="C42" s="7">
        <f>T04cde!E9</f>
        <v>2167</v>
      </c>
      <c r="D42" s="7">
        <f>T04cde!F9</f>
        <v>414</v>
      </c>
      <c r="E42" s="7">
        <f>T04cde!G9</f>
        <v>2680</v>
      </c>
      <c r="F42" s="7">
        <f>T04cde!H9</f>
        <v>214</v>
      </c>
      <c r="G42" s="9">
        <f t="shared" si="2"/>
        <v>8956</v>
      </c>
      <c r="H42" s="7" t="s">
        <v>145</v>
      </c>
      <c r="I42" s="1"/>
    </row>
    <row r="43" spans="1:19" ht="13.5" customHeight="1" x14ac:dyDescent="0.2">
      <c r="A43" s="1261" t="str">
        <f>T04cde!$A$10</f>
        <v>2017-18</v>
      </c>
      <c r="B43" s="336">
        <f>T04cde!D10</f>
        <v>3703</v>
      </c>
      <c r="C43" s="336">
        <f>T04cde!E10</f>
        <v>2182</v>
      </c>
      <c r="D43" s="336">
        <f>T04cde!F10</f>
        <v>340</v>
      </c>
      <c r="E43" s="336">
        <f>T04cde!G10</f>
        <v>2651</v>
      </c>
      <c r="F43" s="336">
        <f>T04cde!H10</f>
        <v>214</v>
      </c>
      <c r="G43" s="12">
        <f t="shared" si="2"/>
        <v>9090</v>
      </c>
      <c r="H43" s="7" t="s">
        <v>143</v>
      </c>
      <c r="I43" s="1"/>
    </row>
    <row r="44" spans="1:19" x14ac:dyDescent="0.2">
      <c r="A44" s="1"/>
      <c r="B44" s="1"/>
      <c r="C44" s="1"/>
      <c r="D44" s="1"/>
      <c r="E44" s="1"/>
      <c r="F44" s="1"/>
      <c r="G44" s="1"/>
      <c r="H44" s="1"/>
      <c r="I44" s="1"/>
    </row>
    <row r="45" spans="1:19" x14ac:dyDescent="0.2">
      <c r="A45" s="1542" t="s">
        <v>162</v>
      </c>
      <c r="B45" s="1"/>
      <c r="C45" s="1"/>
      <c r="D45" s="1"/>
      <c r="E45" s="1"/>
      <c r="F45" s="1"/>
      <c r="G45" s="1"/>
      <c r="H45" s="1"/>
      <c r="I45" s="1"/>
    </row>
    <row r="46" spans="1:19" x14ac:dyDescent="0.2">
      <c r="A46" s="1649" t="s">
        <v>975</v>
      </c>
      <c r="B46" s="1649"/>
      <c r="C46" s="1"/>
      <c r="D46" s="1"/>
      <c r="E46" s="1"/>
      <c r="F46" s="1"/>
      <c r="G46" s="1"/>
      <c r="H46" s="1"/>
      <c r="I46" s="1"/>
    </row>
    <row r="47" spans="1:19" x14ac:dyDescent="0.2">
      <c r="A47" s="1649" t="s">
        <v>968</v>
      </c>
      <c r="B47" s="1649"/>
      <c r="C47" s="1"/>
      <c r="D47" s="1"/>
      <c r="E47" s="1"/>
      <c r="F47" s="1"/>
      <c r="G47" s="1"/>
      <c r="H47" s="1"/>
      <c r="I47" s="1"/>
    </row>
    <row r="49" spans="1:2" x14ac:dyDescent="0.2">
      <c r="A49" s="1668" t="s">
        <v>169</v>
      </c>
      <c r="B49" s="1668"/>
    </row>
  </sheetData>
  <sheetProtection algorithmName="SHA-512" hashValue="rumpDCiffDZ5rSkL/5t5ITH1cym1Q8ORhFoAMqC++oMjVZbA0mHn4EiS9z/WvEcFbN7hW+d09+XNjtxLyV4QHw==" saltValue="WCe0zQmR2uXxX1VbiorsIw==" spinCount="100000" sheet="1" objects="1" scenarios="1"/>
  <mergeCells count="10">
    <mergeCell ref="A49:B49"/>
    <mergeCell ref="A1:K1"/>
    <mergeCell ref="A17:K17"/>
    <mergeCell ref="A33:K33"/>
    <mergeCell ref="A46:B46"/>
    <mergeCell ref="A47:B47"/>
    <mergeCell ref="A30:B30"/>
    <mergeCell ref="A31:B31"/>
    <mergeCell ref="A14:B14"/>
    <mergeCell ref="A15:B15"/>
  </mergeCells>
  <hyperlinks>
    <hyperlink ref="A49:B49" location="Contents!A1" display="Return to contents" xr:uid="{00000000-0004-0000-1800-000000000000}"/>
  </hyperlinks>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4"/>
    <pageSetUpPr fitToPage="1"/>
  </sheetPr>
  <dimension ref="A1:M58"/>
  <sheetViews>
    <sheetView showGridLines="0" zoomScaleNormal="100" workbookViewId="0">
      <selection sqref="A1:H1"/>
    </sheetView>
  </sheetViews>
  <sheetFormatPr defaultRowHeight="12.75" x14ac:dyDescent="0.2"/>
  <cols>
    <col min="1" max="1" width="23.28515625" customWidth="1"/>
    <col min="2" max="2" width="12.5703125" customWidth="1"/>
    <col min="3" max="3" width="7.85546875" customWidth="1"/>
    <col min="4" max="4" width="11.42578125" customWidth="1"/>
    <col min="5" max="5" width="12.5703125" customWidth="1"/>
    <col min="6" max="6" width="7.85546875" customWidth="1"/>
    <col min="7" max="7" width="11.42578125" customWidth="1"/>
    <col min="8" max="8" width="12.85546875" customWidth="1"/>
  </cols>
  <sheetData>
    <row r="1" spans="1:13" ht="38.25" customHeight="1" x14ac:dyDescent="0.2">
      <c r="A1" s="1669" t="s">
        <v>612</v>
      </c>
      <c r="B1" s="1669"/>
      <c r="C1" s="1669"/>
      <c r="D1" s="1669"/>
      <c r="E1" s="1669"/>
      <c r="F1" s="1669"/>
      <c r="G1" s="1669"/>
      <c r="H1" s="1669"/>
      <c r="I1" s="716"/>
      <c r="J1" s="716"/>
      <c r="K1" s="716"/>
      <c r="L1" s="716"/>
      <c r="M1" s="716"/>
    </row>
    <row r="2" spans="1:13" ht="15" x14ac:dyDescent="0.25">
      <c r="A2" s="1"/>
      <c r="B2" s="1"/>
      <c r="C2" s="1"/>
      <c r="D2" s="1"/>
      <c r="E2" s="234" t="s">
        <v>0</v>
      </c>
      <c r="F2" s="253"/>
      <c r="G2" s="1"/>
      <c r="H2" s="145" t="s">
        <v>64</v>
      </c>
    </row>
    <row r="3" spans="1:13" ht="27.75" customHeight="1" x14ac:dyDescent="0.2">
      <c r="A3" s="17" t="s">
        <v>4</v>
      </c>
      <c r="B3" s="765" t="s">
        <v>167</v>
      </c>
      <c r="C3" s="775"/>
      <c r="D3" s="117" t="s">
        <v>151</v>
      </c>
      <c r="E3" s="229" t="s">
        <v>153</v>
      </c>
      <c r="F3" s="385"/>
      <c r="G3" s="117" t="s">
        <v>151</v>
      </c>
      <c r="H3" s="229" t="s">
        <v>153</v>
      </c>
    </row>
    <row r="4" spans="1:13" ht="18.75" customHeight="1" x14ac:dyDescent="0.2">
      <c r="A4" s="544" t="s">
        <v>20</v>
      </c>
      <c r="B4" s="40">
        <v>1312</v>
      </c>
      <c r="C4" s="68"/>
      <c r="D4" s="93">
        <v>87</v>
      </c>
      <c r="E4" s="138">
        <v>1225</v>
      </c>
      <c r="F4" s="768"/>
      <c r="G4" s="945">
        <f>D4/B4*100</f>
        <v>6.6310975609756104</v>
      </c>
      <c r="H4" s="947">
        <f>E4/B4*100</f>
        <v>93.368902439024396</v>
      </c>
    </row>
    <row r="5" spans="1:13" ht="13.5" customHeight="1" x14ac:dyDescent="0.2">
      <c r="A5" s="10" t="s">
        <v>13</v>
      </c>
      <c r="B5" s="9">
        <v>1186</v>
      </c>
      <c r="C5" s="68"/>
      <c r="D5" s="6">
        <v>63</v>
      </c>
      <c r="E5" s="137">
        <v>1123</v>
      </c>
      <c r="F5" s="768"/>
      <c r="G5" s="268">
        <f t="shared" ref="G5:G9" si="0">D5/B5*100</f>
        <v>5.3119730185497467</v>
      </c>
      <c r="H5" s="272">
        <f t="shared" ref="H5:H9" si="1">E5/B5*100</f>
        <v>94.688026981450264</v>
      </c>
    </row>
    <row r="6" spans="1:13" ht="13.5" customHeight="1" x14ac:dyDescent="0.2">
      <c r="A6" s="10" t="s">
        <v>15</v>
      </c>
      <c r="B6" s="9">
        <v>638</v>
      </c>
      <c r="C6" s="68"/>
      <c r="D6" s="6">
        <v>18</v>
      </c>
      <c r="E6" s="137">
        <v>620</v>
      </c>
      <c r="F6" s="768"/>
      <c r="G6" s="268">
        <f t="shared" si="0"/>
        <v>2.8213166144200628</v>
      </c>
      <c r="H6" s="272">
        <f t="shared" si="1"/>
        <v>97.17868338557993</v>
      </c>
    </row>
    <row r="7" spans="1:13" ht="13.5" customHeight="1" x14ac:dyDescent="0.2">
      <c r="A7" s="10" t="s">
        <v>17</v>
      </c>
      <c r="B7" s="9">
        <v>533</v>
      </c>
      <c r="C7" s="68"/>
      <c r="D7" s="6">
        <v>15</v>
      </c>
      <c r="E7" s="137">
        <v>518</v>
      </c>
      <c r="F7" s="768"/>
      <c r="G7" s="268">
        <f t="shared" si="0"/>
        <v>2.8142589118198873</v>
      </c>
      <c r="H7" s="272">
        <f t="shared" si="1"/>
        <v>97.185741088180109</v>
      </c>
    </row>
    <row r="8" spans="1:13" ht="13.5" customHeight="1" x14ac:dyDescent="0.2">
      <c r="A8" s="10" t="s">
        <v>147</v>
      </c>
      <c r="B8" s="9">
        <v>635</v>
      </c>
      <c r="C8" s="68"/>
      <c r="D8" s="6">
        <v>19</v>
      </c>
      <c r="E8" s="137">
        <v>616</v>
      </c>
      <c r="F8" s="768"/>
      <c r="G8" s="268">
        <f t="shared" si="0"/>
        <v>2.9921259842519685</v>
      </c>
      <c r="H8" s="272">
        <f t="shared" si="1"/>
        <v>97.00787401574803</v>
      </c>
    </row>
    <row r="9" spans="1:13" ht="13.5" customHeight="1" x14ac:dyDescent="0.2">
      <c r="A9" s="10" t="str">
        <f>'T05'!A5</f>
        <v>2015-16</v>
      </c>
      <c r="B9" s="9">
        <f>'T05'!$B5</f>
        <v>556</v>
      </c>
      <c r="C9" s="68"/>
      <c r="D9" s="6">
        <f>'T05'!C5</f>
        <v>24</v>
      </c>
      <c r="E9" s="137">
        <f>'T05'!D5</f>
        <v>532</v>
      </c>
      <c r="F9" s="768"/>
      <c r="G9" s="268">
        <f t="shared" si="0"/>
        <v>4.3165467625899279</v>
      </c>
      <c r="H9" s="272">
        <f t="shared" si="1"/>
        <v>95.683453237410077</v>
      </c>
      <c r="I9" t="s">
        <v>145</v>
      </c>
    </row>
    <row r="10" spans="1:13" ht="13.5" customHeight="1" x14ac:dyDescent="0.2">
      <c r="A10" s="10" t="str">
        <f>'T05'!A6</f>
        <v>2016-17</v>
      </c>
      <c r="B10" s="9">
        <f>'T05'!$B6</f>
        <v>717</v>
      </c>
      <c r="C10" s="68"/>
      <c r="D10" s="6">
        <f>'T05'!C6</f>
        <v>19</v>
      </c>
      <c r="E10" s="137">
        <f>'T05'!D6</f>
        <v>698</v>
      </c>
      <c r="F10" s="768"/>
      <c r="G10" s="268">
        <f t="shared" ref="G10:G11" si="2">D10/B10*100</f>
        <v>2.6499302649930265</v>
      </c>
      <c r="H10" s="272">
        <f t="shared" ref="H10:H11" si="3">E10/B10*100</f>
        <v>97.350069735006969</v>
      </c>
      <c r="I10" t="s">
        <v>145</v>
      </c>
    </row>
    <row r="11" spans="1:13" ht="13.5" customHeight="1" x14ac:dyDescent="0.2">
      <c r="A11" s="1035" t="str">
        <f>'T05'!A7</f>
        <v>2017-18</v>
      </c>
      <c r="B11" s="1052">
        <f>'T05'!$B7</f>
        <v>665</v>
      </c>
      <c r="C11" s="68"/>
      <c r="D11" s="363">
        <f>'T05'!C7</f>
        <v>19</v>
      </c>
      <c r="E11" s="364">
        <f>'T05'!D7</f>
        <v>646</v>
      </c>
      <c r="F11" s="768"/>
      <c r="G11" s="285">
        <f t="shared" si="2"/>
        <v>2.8571428571428572</v>
      </c>
      <c r="H11" s="287">
        <f t="shared" si="3"/>
        <v>97.142857142857139</v>
      </c>
      <c r="I11" t="s">
        <v>143</v>
      </c>
    </row>
    <row r="12" spans="1:13" x14ac:dyDescent="0.2">
      <c r="A12" s="68"/>
      <c r="B12" s="68"/>
      <c r="C12" s="68"/>
      <c r="D12" s="7"/>
      <c r="E12" s="7"/>
      <c r="F12" s="34"/>
      <c r="G12" s="116"/>
      <c r="H12" s="116"/>
    </row>
    <row r="13" spans="1:13" x14ac:dyDescent="0.2">
      <c r="A13" s="2" t="s">
        <v>162</v>
      </c>
      <c r="B13" s="293"/>
      <c r="C13" s="293"/>
      <c r="D13" s="1"/>
      <c r="E13" s="1"/>
      <c r="F13" s="71"/>
      <c r="G13" s="1"/>
      <c r="H13" s="1"/>
    </row>
    <row r="14" spans="1:13" x14ac:dyDescent="0.2">
      <c r="A14" s="71" t="s">
        <v>967</v>
      </c>
      <c r="B14" s="292"/>
      <c r="C14" s="292"/>
      <c r="D14" s="1"/>
      <c r="E14" s="1"/>
      <c r="F14" s="1"/>
      <c r="G14" s="1"/>
      <c r="H14" s="1"/>
    </row>
    <row r="15" spans="1:13" x14ac:dyDescent="0.2">
      <c r="A15" s="71" t="s">
        <v>968</v>
      </c>
      <c r="B15" s="292"/>
      <c r="C15" s="292"/>
      <c r="D15" s="1"/>
      <c r="E15" s="1"/>
      <c r="F15" s="1"/>
      <c r="G15" s="1"/>
      <c r="H15" s="1"/>
    </row>
    <row r="17" spans="1:8" ht="38.25" customHeight="1" x14ac:dyDescent="0.2">
      <c r="A17" s="1653" t="s">
        <v>693</v>
      </c>
      <c r="B17" s="1653"/>
      <c r="C17" s="1653"/>
      <c r="D17" s="1653"/>
      <c r="E17" s="1653"/>
      <c r="F17" s="467"/>
      <c r="G17" s="467"/>
      <c r="H17" s="467"/>
    </row>
    <row r="18" spans="1:8" ht="15" x14ac:dyDescent="0.25">
      <c r="A18" s="1"/>
      <c r="B18" s="1"/>
      <c r="C18" s="1"/>
      <c r="D18" s="1"/>
      <c r="E18" s="234" t="s">
        <v>0</v>
      </c>
      <c r="F18" s="253"/>
      <c r="G18" s="1"/>
      <c r="H18" s="145" t="s">
        <v>64</v>
      </c>
    </row>
    <row r="19" spans="1:8" ht="27.75" customHeight="1" x14ac:dyDescent="0.2">
      <c r="A19" s="52" t="s">
        <v>22</v>
      </c>
      <c r="B19" s="102" t="s">
        <v>167</v>
      </c>
      <c r="C19" s="775"/>
      <c r="D19" s="121" t="s">
        <v>151</v>
      </c>
      <c r="E19" s="229" t="s">
        <v>153</v>
      </c>
      <c r="F19" s="385"/>
      <c r="G19" s="117" t="s">
        <v>151</v>
      </c>
      <c r="H19" s="229" t="s">
        <v>153</v>
      </c>
    </row>
    <row r="20" spans="1:8" ht="18.75" customHeight="1" x14ac:dyDescent="0.2">
      <c r="A20" s="717" t="s">
        <v>23</v>
      </c>
      <c r="B20" s="368">
        <f>D20+E20</f>
        <v>22</v>
      </c>
      <c r="C20" s="2"/>
      <c r="D20" s="369">
        <f>IFERROR(GETPIVOTDATA("1Malicious False Alarm",T_05!$A$4,"PubLANAME",A20), 0)</f>
        <v>1</v>
      </c>
      <c r="E20" s="370">
        <f>IFERROR(GETPIVOTDATA("Sum of 3Good Intent false alarm",T_05!$A$4,"PubLANAME",A20),0)</f>
        <v>21</v>
      </c>
      <c r="F20" s="164"/>
      <c r="G20" s="1370">
        <f>IFERROR(D20/B20*100, 0)</f>
        <v>4.5454545454545459</v>
      </c>
      <c r="H20" s="1371">
        <f>IFERROR(E20/B20*100, 0)</f>
        <v>95.454545454545453</v>
      </c>
    </row>
    <row r="21" spans="1:8" ht="13.5" customHeight="1" x14ac:dyDescent="0.2">
      <c r="A21" s="5" t="s">
        <v>24</v>
      </c>
      <c r="B21" s="367">
        <f t="shared" ref="B21:B51" si="4">D21+E21</f>
        <v>16</v>
      </c>
      <c r="C21" s="2"/>
      <c r="D21" s="365">
        <f>IFERROR(GETPIVOTDATA("1Malicious False Alarm",T_05!$A$4,"PubLANAME",A21), 0)</f>
        <v>0</v>
      </c>
      <c r="E21" s="366">
        <f>IFERROR(GETPIVOTDATA("Sum of 3Good Intent false alarm",T_05!$A$4,"PubLANAME",A21),0)</f>
        <v>16</v>
      </c>
      <c r="F21" s="164"/>
      <c r="G21" s="1372">
        <f t="shared" ref="G21:G51" si="5">IFERROR(D21/B21*100, 0)</f>
        <v>0</v>
      </c>
      <c r="H21" s="1373">
        <f t="shared" ref="H21:H51" si="6">IFERROR(E21/B21*100, 0)</f>
        <v>100</v>
      </c>
    </row>
    <row r="22" spans="1:8" ht="13.5" customHeight="1" x14ac:dyDescent="0.2">
      <c r="A22" s="355" t="s">
        <v>25</v>
      </c>
      <c r="B22" s="374">
        <f t="shared" si="4"/>
        <v>9</v>
      </c>
      <c r="C22" s="2"/>
      <c r="D22" s="372">
        <f>IFERROR(GETPIVOTDATA("1Malicious False Alarm",T_05!$A$4,"PubLANAME",A22), 0)</f>
        <v>0</v>
      </c>
      <c r="E22" s="373">
        <f>IFERROR(GETPIVOTDATA("Sum of 3Good Intent false alarm",T_05!$A$4,"PubLANAME",A22),0)</f>
        <v>9</v>
      </c>
      <c r="F22" s="164"/>
      <c r="G22" s="1370">
        <f t="shared" si="5"/>
        <v>0</v>
      </c>
      <c r="H22" s="1371">
        <f t="shared" si="6"/>
        <v>100</v>
      </c>
    </row>
    <row r="23" spans="1:8" ht="13.5" customHeight="1" x14ac:dyDescent="0.2">
      <c r="A23" s="5" t="s">
        <v>26</v>
      </c>
      <c r="B23" s="367">
        <f t="shared" si="4"/>
        <v>22</v>
      </c>
      <c r="C23" s="2"/>
      <c r="D23" s="365">
        <f>IFERROR(GETPIVOTDATA("1Malicious False Alarm",T_05!$A$4,"PubLANAME",A23), 0)</f>
        <v>0</v>
      </c>
      <c r="E23" s="366">
        <f>IFERROR(GETPIVOTDATA("Sum of 3Good Intent false alarm",T_05!$A$4,"PubLANAME",A23),0)</f>
        <v>22</v>
      </c>
      <c r="F23" s="164"/>
      <c r="G23" s="1372">
        <f t="shared" si="5"/>
        <v>0</v>
      </c>
      <c r="H23" s="1373">
        <f t="shared" si="6"/>
        <v>100</v>
      </c>
    </row>
    <row r="24" spans="1:8" ht="13.5" customHeight="1" x14ac:dyDescent="0.2">
      <c r="A24" s="355" t="s">
        <v>27</v>
      </c>
      <c r="B24" s="374">
        <f t="shared" si="4"/>
        <v>5</v>
      </c>
      <c r="C24" s="2"/>
      <c r="D24" s="372">
        <f>IFERROR(GETPIVOTDATA("1Malicious False Alarm",T_05!$A$4,"PubLANAME",A24), 0)</f>
        <v>0</v>
      </c>
      <c r="E24" s="373">
        <f>IFERROR(GETPIVOTDATA("Sum of 3Good Intent false alarm",T_05!$A$4,"PubLANAME",A24),0)</f>
        <v>5</v>
      </c>
      <c r="F24" s="164"/>
      <c r="G24" s="1370">
        <f t="shared" si="5"/>
        <v>0</v>
      </c>
      <c r="H24" s="1371">
        <f t="shared" si="6"/>
        <v>100</v>
      </c>
    </row>
    <row r="25" spans="1:8" ht="13.5" customHeight="1" x14ac:dyDescent="0.2">
      <c r="A25" s="5" t="s">
        <v>28</v>
      </c>
      <c r="B25" s="367">
        <f t="shared" si="4"/>
        <v>18</v>
      </c>
      <c r="C25" s="2"/>
      <c r="D25" s="365">
        <f>IFERROR(GETPIVOTDATA("1Malicious False Alarm",T_05!$A$4,"PubLANAME",A25), 0)</f>
        <v>1</v>
      </c>
      <c r="E25" s="366">
        <f>IFERROR(GETPIVOTDATA("Sum of 3Good Intent false alarm",T_05!$A$4,"PubLANAME",A25),0)</f>
        <v>17</v>
      </c>
      <c r="F25" s="164"/>
      <c r="G25" s="1372">
        <f t="shared" si="5"/>
        <v>5.5555555555555554</v>
      </c>
      <c r="H25" s="1373">
        <f t="shared" si="6"/>
        <v>94.444444444444443</v>
      </c>
    </row>
    <row r="26" spans="1:8" ht="13.5" customHeight="1" x14ac:dyDescent="0.2">
      <c r="A26" s="355" t="s">
        <v>29</v>
      </c>
      <c r="B26" s="374">
        <f t="shared" si="4"/>
        <v>14</v>
      </c>
      <c r="C26" s="2"/>
      <c r="D26" s="372">
        <f>IFERROR(GETPIVOTDATA("1Malicious False Alarm",T_05!$A$4,"PubLANAME",A26), 0)</f>
        <v>0</v>
      </c>
      <c r="E26" s="373">
        <f>IFERROR(GETPIVOTDATA("Sum of 3Good Intent false alarm",T_05!$A$4,"PubLANAME",A26),0)</f>
        <v>14</v>
      </c>
      <c r="F26" s="164"/>
      <c r="G26" s="1370">
        <f t="shared" si="5"/>
        <v>0</v>
      </c>
      <c r="H26" s="1371">
        <f t="shared" si="6"/>
        <v>100</v>
      </c>
    </row>
    <row r="27" spans="1:8" ht="13.5" customHeight="1" x14ac:dyDescent="0.2">
      <c r="A27" s="5" t="s">
        <v>30</v>
      </c>
      <c r="B27" s="367">
        <f t="shared" si="4"/>
        <v>14</v>
      </c>
      <c r="C27" s="2"/>
      <c r="D27" s="365">
        <f>IFERROR(GETPIVOTDATA("1Malicious False Alarm",T_05!$A$4,"PubLANAME",A27), 0)</f>
        <v>0</v>
      </c>
      <c r="E27" s="366">
        <f>IFERROR(GETPIVOTDATA("Sum of 3Good Intent false alarm",T_05!$A$4,"PubLANAME",A27),0)</f>
        <v>14</v>
      </c>
      <c r="F27" s="164"/>
      <c r="G27" s="1372">
        <f t="shared" si="5"/>
        <v>0</v>
      </c>
      <c r="H27" s="1373">
        <f t="shared" si="6"/>
        <v>100</v>
      </c>
    </row>
    <row r="28" spans="1:8" ht="13.5" customHeight="1" x14ac:dyDescent="0.2">
      <c r="A28" s="355" t="s">
        <v>31</v>
      </c>
      <c r="B28" s="374">
        <f t="shared" si="4"/>
        <v>5</v>
      </c>
      <c r="C28" s="2"/>
      <c r="D28" s="372">
        <f>IFERROR(GETPIVOTDATA("1Malicious False Alarm",T_05!$A$4,"PubLANAME",A28), 0)</f>
        <v>0</v>
      </c>
      <c r="E28" s="373">
        <f>IFERROR(GETPIVOTDATA("Sum of 3Good Intent false alarm",T_05!$A$4,"PubLANAME",A28),0)</f>
        <v>5</v>
      </c>
      <c r="F28" s="164"/>
      <c r="G28" s="1370">
        <f t="shared" si="5"/>
        <v>0</v>
      </c>
      <c r="H28" s="1371">
        <f t="shared" si="6"/>
        <v>100</v>
      </c>
    </row>
    <row r="29" spans="1:8" ht="13.5" customHeight="1" x14ac:dyDescent="0.2">
      <c r="A29" s="5" t="s">
        <v>32</v>
      </c>
      <c r="B29" s="367">
        <f t="shared" si="4"/>
        <v>6</v>
      </c>
      <c r="C29" s="2"/>
      <c r="D29" s="365">
        <f>IFERROR(GETPIVOTDATA("1Malicious False Alarm",T_05!$A$4,"PubLANAME",A29), 0)</f>
        <v>0</v>
      </c>
      <c r="E29" s="366">
        <f>IFERROR(GETPIVOTDATA("Sum of 3Good Intent false alarm",T_05!$A$4,"PubLANAME",A29),0)</f>
        <v>6</v>
      </c>
      <c r="F29" s="164"/>
      <c r="G29" s="1372">
        <f t="shared" si="5"/>
        <v>0</v>
      </c>
      <c r="H29" s="1373">
        <f t="shared" si="6"/>
        <v>100</v>
      </c>
    </row>
    <row r="30" spans="1:8" ht="13.5" customHeight="1" x14ac:dyDescent="0.2">
      <c r="A30" s="355" t="s">
        <v>33</v>
      </c>
      <c r="B30" s="374">
        <f t="shared" si="4"/>
        <v>6</v>
      </c>
      <c r="C30" s="2"/>
      <c r="D30" s="372">
        <f>IFERROR(GETPIVOTDATA("1Malicious False Alarm",T_05!$A$4,"PubLANAME",A30), 0)</f>
        <v>1</v>
      </c>
      <c r="E30" s="373">
        <f>IFERROR(GETPIVOTDATA("Sum of 3Good Intent false alarm",T_05!$A$4,"PubLANAME",A30),0)</f>
        <v>5</v>
      </c>
      <c r="F30" s="164"/>
      <c r="G30" s="1370">
        <f t="shared" si="5"/>
        <v>16.666666666666664</v>
      </c>
      <c r="H30" s="1371">
        <f t="shared" si="6"/>
        <v>83.333333333333343</v>
      </c>
    </row>
    <row r="31" spans="1:8" ht="13.5" customHeight="1" x14ac:dyDescent="0.2">
      <c r="A31" s="435" t="s">
        <v>137</v>
      </c>
      <c r="B31" s="367">
        <f t="shared" si="4"/>
        <v>93</v>
      </c>
      <c r="C31" s="2"/>
      <c r="D31" s="365">
        <f>IFERROR(GETPIVOTDATA("1Malicious False Alarm",T_05!$A$4,"PubLANAME", "Edinburgh, City of"), 0)</f>
        <v>4</v>
      </c>
      <c r="E31" s="366">
        <f>IFERROR(GETPIVOTDATA("Sum of 3Good Intent false alarm",T_05!$A$4,"PubLANAME", "Edinburgh, City of"),0)</f>
        <v>89</v>
      </c>
      <c r="F31" s="164"/>
      <c r="G31" s="1372">
        <f t="shared" si="5"/>
        <v>4.3010752688172049</v>
      </c>
      <c r="H31" s="1373">
        <f t="shared" si="6"/>
        <v>95.6989247311828</v>
      </c>
    </row>
    <row r="32" spans="1:8" ht="13.5" customHeight="1" x14ac:dyDescent="0.2">
      <c r="A32" s="355" t="s">
        <v>34</v>
      </c>
      <c r="B32" s="374">
        <f t="shared" si="4"/>
        <v>26</v>
      </c>
      <c r="C32" s="2"/>
      <c r="D32" s="372">
        <f>IFERROR(GETPIVOTDATA("1Malicious False Alarm",T_05!$A$4,"PubLANAME",A32), 0)</f>
        <v>2</v>
      </c>
      <c r="E32" s="373">
        <f>IFERROR(GETPIVOTDATA("Sum of 3Good Intent false alarm",T_05!$A$4,"PubLANAME",A32),0)</f>
        <v>24</v>
      </c>
      <c r="F32" s="164"/>
      <c r="G32" s="1370">
        <f t="shared" si="5"/>
        <v>7.6923076923076925</v>
      </c>
      <c r="H32" s="1371">
        <f t="shared" si="6"/>
        <v>92.307692307692307</v>
      </c>
    </row>
    <row r="33" spans="1:8" ht="13.5" customHeight="1" x14ac:dyDescent="0.2">
      <c r="A33" s="5" t="s">
        <v>35</v>
      </c>
      <c r="B33" s="367">
        <f t="shared" si="4"/>
        <v>54</v>
      </c>
      <c r="C33" s="2"/>
      <c r="D33" s="365">
        <f>IFERROR(GETPIVOTDATA("1Malicious False Alarm",T_05!$A$4,"PubLANAME",A33), 0)</f>
        <v>1</v>
      </c>
      <c r="E33" s="366">
        <f>IFERROR(GETPIVOTDATA("Sum of 3Good Intent false alarm",T_05!$A$4,"PubLANAME",A33),0)</f>
        <v>53</v>
      </c>
      <c r="F33" s="164"/>
      <c r="G33" s="1372">
        <f t="shared" si="5"/>
        <v>1.8518518518518516</v>
      </c>
      <c r="H33" s="1373">
        <f t="shared" si="6"/>
        <v>98.148148148148152</v>
      </c>
    </row>
    <row r="34" spans="1:8" ht="13.5" customHeight="1" x14ac:dyDescent="0.2">
      <c r="A34" s="355" t="s">
        <v>36</v>
      </c>
      <c r="B34" s="374">
        <f t="shared" si="4"/>
        <v>97</v>
      </c>
      <c r="C34" s="2"/>
      <c r="D34" s="372">
        <f>IFERROR(GETPIVOTDATA("1Malicious False Alarm",T_05!$A$4,"PubLANAME",A34), 0)</f>
        <v>3</v>
      </c>
      <c r="E34" s="373">
        <f>IFERROR(GETPIVOTDATA("Sum of 3Good Intent false alarm",T_05!$A$4,"PubLANAME",A34),0)</f>
        <v>94</v>
      </c>
      <c r="F34" s="164"/>
      <c r="G34" s="1370">
        <f t="shared" si="5"/>
        <v>3.0927835051546393</v>
      </c>
      <c r="H34" s="1371">
        <f t="shared" si="6"/>
        <v>96.907216494845358</v>
      </c>
    </row>
    <row r="35" spans="1:8" ht="13.5" customHeight="1" x14ac:dyDescent="0.2">
      <c r="A35" s="5" t="s">
        <v>37</v>
      </c>
      <c r="B35" s="367">
        <f t="shared" si="4"/>
        <v>46</v>
      </c>
      <c r="C35" s="2"/>
      <c r="D35" s="365">
        <f>IFERROR(GETPIVOTDATA("1Malicious False Alarm",T_05!$A$4,"PubLANAME",A35), 0)</f>
        <v>2</v>
      </c>
      <c r="E35" s="366">
        <f>IFERROR(GETPIVOTDATA("Sum of 3Good Intent false alarm",T_05!$A$4,"PubLANAME",A35),0)</f>
        <v>44</v>
      </c>
      <c r="F35" s="164"/>
      <c r="G35" s="1372">
        <f t="shared" si="5"/>
        <v>4.3478260869565215</v>
      </c>
      <c r="H35" s="1373">
        <f t="shared" si="6"/>
        <v>95.652173913043484</v>
      </c>
    </row>
    <row r="36" spans="1:8" ht="13.5" customHeight="1" x14ac:dyDescent="0.2">
      <c r="A36" s="355" t="s">
        <v>38</v>
      </c>
      <c r="B36" s="374">
        <f t="shared" si="4"/>
        <v>11</v>
      </c>
      <c r="C36" s="2"/>
      <c r="D36" s="372">
        <f>IFERROR(GETPIVOTDATA("1Malicious False Alarm",T_05!$A$4,"PubLANAME",A36), 0)</f>
        <v>0</v>
      </c>
      <c r="E36" s="373">
        <f>IFERROR(GETPIVOTDATA("Sum of 3Good Intent false alarm",T_05!$A$4,"PubLANAME",A36),0)</f>
        <v>11</v>
      </c>
      <c r="F36" s="164"/>
      <c r="G36" s="1370">
        <f t="shared" si="5"/>
        <v>0</v>
      </c>
      <c r="H36" s="1371">
        <f t="shared" si="6"/>
        <v>100</v>
      </c>
    </row>
    <row r="37" spans="1:8" ht="13.5" customHeight="1" x14ac:dyDescent="0.2">
      <c r="A37" s="5" t="s">
        <v>39</v>
      </c>
      <c r="B37" s="367">
        <f t="shared" si="4"/>
        <v>11</v>
      </c>
      <c r="C37" s="2"/>
      <c r="D37" s="365">
        <f>IFERROR(GETPIVOTDATA("1Malicious False Alarm",T_05!$A$4,"PubLANAME",A37), 0)</f>
        <v>0</v>
      </c>
      <c r="E37" s="366">
        <f>IFERROR(GETPIVOTDATA("Sum of 3Good Intent false alarm",T_05!$A$4,"PubLANAME",A37),0)</f>
        <v>11</v>
      </c>
      <c r="F37" s="164"/>
      <c r="G37" s="1372">
        <f t="shared" si="5"/>
        <v>0</v>
      </c>
      <c r="H37" s="1373">
        <f t="shared" si="6"/>
        <v>100</v>
      </c>
    </row>
    <row r="38" spans="1:8" ht="13.5" customHeight="1" x14ac:dyDescent="0.2">
      <c r="A38" s="355" t="s">
        <v>40</v>
      </c>
      <c r="B38" s="374">
        <f t="shared" si="4"/>
        <v>2</v>
      </c>
      <c r="C38" s="2"/>
      <c r="D38" s="372">
        <f>IFERROR(GETPIVOTDATA("1Malicious False Alarm",T_05!$A$4,"PubLANAME",A38), 0)</f>
        <v>0</v>
      </c>
      <c r="E38" s="373">
        <f>IFERROR(GETPIVOTDATA("Sum of 3Good Intent false alarm",T_05!$A$4,"PubLANAME",A38),0)</f>
        <v>2</v>
      </c>
      <c r="F38" s="164"/>
      <c r="G38" s="1370">
        <f t="shared" si="5"/>
        <v>0</v>
      </c>
      <c r="H38" s="1371">
        <f t="shared" si="6"/>
        <v>100</v>
      </c>
    </row>
    <row r="39" spans="1:8" ht="13.5" customHeight="1" x14ac:dyDescent="0.2">
      <c r="A39" s="5" t="s">
        <v>393</v>
      </c>
      <c r="B39" s="367">
        <f t="shared" si="4"/>
        <v>0</v>
      </c>
      <c r="C39" s="2"/>
      <c r="D39" s="365">
        <f>IFERROR(GETPIVOTDATA("1Malicious False Alarm",T_05!$A$4,"PubLANAME",A39), 0)</f>
        <v>0</v>
      </c>
      <c r="E39" s="366">
        <f>IFERROR(GETPIVOTDATA("Sum of 3Good Intent false alarm",T_05!$A$4,"PubLANAME",A39),0)</f>
        <v>0</v>
      </c>
      <c r="F39" s="164"/>
      <c r="G39" s="1372">
        <f t="shared" si="5"/>
        <v>0</v>
      </c>
      <c r="H39" s="1374">
        <f t="shared" si="6"/>
        <v>0</v>
      </c>
    </row>
    <row r="40" spans="1:8" ht="13.5" customHeight="1" x14ac:dyDescent="0.2">
      <c r="A40" s="355" t="s">
        <v>41</v>
      </c>
      <c r="B40" s="374">
        <f t="shared" si="4"/>
        <v>16</v>
      </c>
      <c r="C40" s="2"/>
      <c r="D40" s="372">
        <f>IFERROR(GETPIVOTDATA("1Malicious False Alarm",T_05!$A$4,"PubLANAME",A40), 0)</f>
        <v>0</v>
      </c>
      <c r="E40" s="373">
        <f>IFERROR(GETPIVOTDATA("Sum of 3Good Intent false alarm",T_05!$A$4,"PubLANAME",A40),0)</f>
        <v>16</v>
      </c>
      <c r="F40" s="164"/>
      <c r="G40" s="1370">
        <f t="shared" si="5"/>
        <v>0</v>
      </c>
      <c r="H40" s="1371">
        <f t="shared" si="6"/>
        <v>100</v>
      </c>
    </row>
    <row r="41" spans="1:8" ht="13.5" customHeight="1" x14ac:dyDescent="0.2">
      <c r="A41" s="5" t="s">
        <v>42</v>
      </c>
      <c r="B41" s="367">
        <f t="shared" si="4"/>
        <v>37</v>
      </c>
      <c r="C41" s="2"/>
      <c r="D41" s="365">
        <f>IFERROR(GETPIVOTDATA("1Malicious False Alarm",T_05!$A$4,"PubLANAME",A41), 0)</f>
        <v>1</v>
      </c>
      <c r="E41" s="366">
        <f>IFERROR(GETPIVOTDATA("Sum of 3Good Intent false alarm",T_05!$A$4,"PubLANAME",A41),0)</f>
        <v>36</v>
      </c>
      <c r="F41" s="164"/>
      <c r="G41" s="1372">
        <f t="shared" si="5"/>
        <v>2.7027027027027026</v>
      </c>
      <c r="H41" s="1373">
        <f t="shared" si="6"/>
        <v>97.297297297297305</v>
      </c>
    </row>
    <row r="42" spans="1:8" ht="13.5" customHeight="1" x14ac:dyDescent="0.2">
      <c r="A42" s="355" t="s">
        <v>43</v>
      </c>
      <c r="B42" s="374">
        <f t="shared" si="4"/>
        <v>12</v>
      </c>
      <c r="C42" s="2"/>
      <c r="D42" s="372">
        <f>IFERROR(GETPIVOTDATA("1Malicious False Alarm",T_05!$A$4,"PubLANAME",A42), 0)</f>
        <v>0</v>
      </c>
      <c r="E42" s="373">
        <f>IFERROR(GETPIVOTDATA("Sum of 3Good Intent false alarm",T_05!$A$4,"PubLANAME",A42),0)</f>
        <v>12</v>
      </c>
      <c r="F42" s="164"/>
      <c r="G42" s="1370">
        <f t="shared" si="5"/>
        <v>0</v>
      </c>
      <c r="H42" s="1371">
        <f t="shared" si="6"/>
        <v>100</v>
      </c>
    </row>
    <row r="43" spans="1:8" ht="13.5" customHeight="1" x14ac:dyDescent="0.2">
      <c r="A43" s="5" t="s">
        <v>44</v>
      </c>
      <c r="B43" s="367">
        <f t="shared" si="4"/>
        <v>7</v>
      </c>
      <c r="C43" s="2"/>
      <c r="D43" s="365">
        <f>IFERROR(GETPIVOTDATA("1Malicious False Alarm",T_05!$A$4,"PubLANAME",A43), 0)</f>
        <v>0</v>
      </c>
      <c r="E43" s="366">
        <f>IFERROR(GETPIVOTDATA("Sum of 3Good Intent false alarm",T_05!$A$4,"PubLANAME",A43),0)</f>
        <v>7</v>
      </c>
      <c r="F43" s="164"/>
      <c r="G43" s="1372">
        <f t="shared" si="5"/>
        <v>0</v>
      </c>
      <c r="H43" s="1373">
        <f t="shared" si="6"/>
        <v>100</v>
      </c>
    </row>
    <row r="44" spans="1:8" ht="13.5" customHeight="1" x14ac:dyDescent="0.2">
      <c r="A44" s="355" t="s">
        <v>45</v>
      </c>
      <c r="B44" s="374">
        <f t="shared" si="4"/>
        <v>24</v>
      </c>
      <c r="C44" s="2"/>
      <c r="D44" s="372">
        <f>IFERROR(GETPIVOTDATA("1Malicious False Alarm",T_05!$A$4,"PubLANAME",A44), 0)</f>
        <v>0</v>
      </c>
      <c r="E44" s="373">
        <f>IFERROR(GETPIVOTDATA("Sum of 3Good Intent false alarm",T_05!$A$4,"PubLANAME",A44),0)</f>
        <v>24</v>
      </c>
      <c r="F44" s="164"/>
      <c r="G44" s="1370">
        <f t="shared" si="5"/>
        <v>0</v>
      </c>
      <c r="H44" s="1371">
        <f t="shared" si="6"/>
        <v>100</v>
      </c>
    </row>
    <row r="45" spans="1:8" ht="13.5" customHeight="1" x14ac:dyDescent="0.2">
      <c r="A45" s="30" t="s">
        <v>46</v>
      </c>
      <c r="B45" s="367">
        <f t="shared" si="4"/>
        <v>10</v>
      </c>
      <c r="C45" s="68"/>
      <c r="D45" s="365">
        <f>IFERROR(GETPIVOTDATA("1Malicious False Alarm",T_05!$A$4,"PubLANAME",A45), 0)</f>
        <v>0</v>
      </c>
      <c r="E45" s="366">
        <f>IFERROR(GETPIVOTDATA("Sum of 3Good Intent false alarm",T_05!$A$4,"PubLANAME",A45),0)</f>
        <v>10</v>
      </c>
      <c r="F45" s="164"/>
      <c r="G45" s="1372">
        <f t="shared" si="5"/>
        <v>0</v>
      </c>
      <c r="H45" s="1373">
        <f t="shared" si="6"/>
        <v>100</v>
      </c>
    </row>
    <row r="46" spans="1:8" ht="13.5" customHeight="1" x14ac:dyDescent="0.2">
      <c r="A46" s="355" t="s">
        <v>47</v>
      </c>
      <c r="B46" s="374">
        <f t="shared" si="4"/>
        <v>0</v>
      </c>
      <c r="C46" s="2"/>
      <c r="D46" s="372">
        <f>IFERROR(GETPIVOTDATA("1Malicious False Alarm",T_05!$A$4,"PubLANAME",A46), 0)</f>
        <v>0</v>
      </c>
      <c r="E46" s="373">
        <f>IFERROR(GETPIVOTDATA("Sum of 3Good Intent false alarm",T_05!$A$4,"PubLANAME",A46),0)</f>
        <v>0</v>
      </c>
      <c r="F46" s="164"/>
      <c r="G46" s="1370">
        <f t="shared" si="5"/>
        <v>0</v>
      </c>
      <c r="H46" s="1375">
        <f t="shared" si="6"/>
        <v>0</v>
      </c>
    </row>
    <row r="47" spans="1:8" ht="13.5" customHeight="1" x14ac:dyDescent="0.2">
      <c r="A47" s="5" t="s">
        <v>48</v>
      </c>
      <c r="B47" s="367">
        <f t="shared" si="4"/>
        <v>12</v>
      </c>
      <c r="C47" s="2"/>
      <c r="D47" s="365">
        <f>IFERROR(GETPIVOTDATA("1Malicious False Alarm",T_05!$A$4,"PubLANAME",A47), 0)</f>
        <v>1</v>
      </c>
      <c r="E47" s="366">
        <f>IFERROR(GETPIVOTDATA("Sum of 3Good Intent false alarm",T_05!$A$4,"PubLANAME",A47),0)</f>
        <v>11</v>
      </c>
      <c r="F47" s="164"/>
      <c r="G47" s="1372">
        <f t="shared" si="5"/>
        <v>8.3333333333333321</v>
      </c>
      <c r="H47" s="1373">
        <f t="shared" si="6"/>
        <v>91.666666666666657</v>
      </c>
    </row>
    <row r="48" spans="1:8" ht="13.5" customHeight="1" x14ac:dyDescent="0.2">
      <c r="A48" s="355" t="s">
        <v>49</v>
      </c>
      <c r="B48" s="374">
        <f t="shared" si="4"/>
        <v>25</v>
      </c>
      <c r="C48" s="2"/>
      <c r="D48" s="372">
        <f>IFERROR(GETPIVOTDATA("1Malicious False Alarm",T_05!$A$4,"PubLANAME",A48), 0)</f>
        <v>0</v>
      </c>
      <c r="E48" s="373">
        <f>IFERROR(GETPIVOTDATA("Sum of 3Good Intent false alarm",T_05!$A$4,"PubLANAME",A48),0)</f>
        <v>25</v>
      </c>
      <c r="F48" s="164"/>
      <c r="G48" s="1370">
        <f t="shared" si="5"/>
        <v>0</v>
      </c>
      <c r="H48" s="1371">
        <f t="shared" si="6"/>
        <v>100</v>
      </c>
    </row>
    <row r="49" spans="1:8" ht="13.5" customHeight="1" x14ac:dyDescent="0.2">
      <c r="A49" s="5" t="s">
        <v>50</v>
      </c>
      <c r="B49" s="367">
        <f t="shared" si="4"/>
        <v>12</v>
      </c>
      <c r="C49" s="2"/>
      <c r="D49" s="365">
        <f>IFERROR(GETPIVOTDATA("1Malicious False Alarm",T_05!$A$4,"PubLANAME",A49), 0)</f>
        <v>0</v>
      </c>
      <c r="E49" s="366">
        <f>IFERROR(GETPIVOTDATA("Sum of 3Good Intent false alarm",T_05!$A$4,"PubLANAME",A49),0)</f>
        <v>12</v>
      </c>
      <c r="F49" s="164"/>
      <c r="G49" s="1372">
        <f t="shared" si="5"/>
        <v>0</v>
      </c>
      <c r="H49" s="1373">
        <f t="shared" si="6"/>
        <v>100</v>
      </c>
    </row>
    <row r="50" spans="1:8" ht="13.5" customHeight="1" x14ac:dyDescent="0.2">
      <c r="A50" s="355" t="s">
        <v>51</v>
      </c>
      <c r="B50" s="374">
        <f t="shared" si="4"/>
        <v>7</v>
      </c>
      <c r="C50" s="2"/>
      <c r="D50" s="372">
        <f>IFERROR(GETPIVOTDATA("1Malicious False Alarm",T_05!$A$4,"PubLANAME",A50), 0)</f>
        <v>1</v>
      </c>
      <c r="E50" s="373">
        <f>IFERROR(GETPIVOTDATA("Sum of 3Good Intent false alarm",T_05!$A$4,"PubLANAME",A50),0)</f>
        <v>6</v>
      </c>
      <c r="F50" s="164"/>
      <c r="G50" s="1370">
        <f t="shared" si="5"/>
        <v>14.285714285714285</v>
      </c>
      <c r="H50" s="1371">
        <f t="shared" si="6"/>
        <v>85.714285714285708</v>
      </c>
    </row>
    <row r="51" spans="1:8" ht="13.5" customHeight="1" x14ac:dyDescent="0.2">
      <c r="A51" s="5" t="s">
        <v>52</v>
      </c>
      <c r="B51" s="367">
        <f t="shared" si="4"/>
        <v>26</v>
      </c>
      <c r="C51" s="2"/>
      <c r="D51" s="365">
        <f>IFERROR(GETPIVOTDATA("1Malicious False Alarm",T_05!$A$4,"PubLANAME",A51), 0)</f>
        <v>1</v>
      </c>
      <c r="E51" s="366">
        <f>IFERROR(GETPIVOTDATA("Sum of 3Good Intent false alarm",T_05!$A$4,"PubLANAME",A51),0)</f>
        <v>25</v>
      </c>
      <c r="F51" s="164"/>
      <c r="G51" s="1372">
        <f t="shared" si="5"/>
        <v>3.8461538461538463</v>
      </c>
      <c r="H51" s="1373">
        <f t="shared" si="6"/>
        <v>96.15384615384616</v>
      </c>
    </row>
    <row r="52" spans="1:8" x14ac:dyDescent="0.2">
      <c r="A52" s="718"/>
      <c r="B52" s="155"/>
      <c r="C52" s="2"/>
      <c r="D52" s="376"/>
      <c r="E52" s="377"/>
      <c r="F52" s="164"/>
      <c r="G52" s="870"/>
      <c r="H52" s="371"/>
    </row>
    <row r="53" spans="1:8" ht="30" customHeight="1" x14ac:dyDescent="0.2">
      <c r="A53" s="194" t="s">
        <v>159</v>
      </c>
      <c r="B53" s="156">
        <f>SUM(B20:B52)</f>
        <v>665</v>
      </c>
      <c r="C53" s="202"/>
      <c r="D53" s="199">
        <f>SUM(D20:D52)</f>
        <v>19</v>
      </c>
      <c r="E53" s="200">
        <f>SUM(E20:E52)</f>
        <v>646</v>
      </c>
      <c r="F53" s="164"/>
      <c r="G53" s="1376">
        <f>D53/B53*100</f>
        <v>2.8571428571428572</v>
      </c>
      <c r="H53" s="1377">
        <f>E53/B53*100</f>
        <v>97.142857142857139</v>
      </c>
    </row>
    <row r="54" spans="1:8" x14ac:dyDescent="0.2">
      <c r="A54" s="2"/>
      <c r="B54" s="2"/>
      <c r="C54" s="2"/>
      <c r="D54" s="118"/>
      <c r="E54" s="118"/>
      <c r="F54" s="55"/>
      <c r="G54" s="871"/>
      <c r="H54" s="120"/>
    </row>
    <row r="55" spans="1:8" x14ac:dyDescent="0.2">
      <c r="A55" s="2" t="s">
        <v>162</v>
      </c>
      <c r="B55" s="2"/>
      <c r="C55" s="2"/>
      <c r="D55" s="118"/>
      <c r="E55" s="118"/>
      <c r="F55" s="55"/>
      <c r="G55" s="119"/>
      <c r="H55" s="120"/>
    </row>
    <row r="56" spans="1:8" x14ac:dyDescent="0.2">
      <c r="A56" s="1" t="s">
        <v>963</v>
      </c>
      <c r="B56" s="71"/>
      <c r="C56" s="71"/>
      <c r="D56" s="71"/>
      <c r="E56" s="71"/>
      <c r="F56" s="71"/>
      <c r="G56" s="71"/>
      <c r="H56" s="71"/>
    </row>
    <row r="57" spans="1:8" x14ac:dyDescent="0.2">
      <c r="A57" s="2"/>
      <c r="B57" s="2"/>
      <c r="C57" s="2"/>
      <c r="D57" s="55"/>
      <c r="E57" s="55"/>
      <c r="F57" s="55"/>
      <c r="G57" s="114"/>
      <c r="H57" s="115"/>
    </row>
    <row r="58" spans="1:8" x14ac:dyDescent="0.2">
      <c r="A58" s="386" t="s">
        <v>169</v>
      </c>
    </row>
  </sheetData>
  <sheetProtection algorithmName="SHA-512" hashValue="JYU79ZDrJT+xx+zEbx1IhuKLPW8gAcDAAFBOUe/jMEqL+x77vX/xinshKYjyQQvF3AOXiCKmrHf7q3hA6ikywg==" saltValue="0kccll98AvxDZxHMx0WgmA==" spinCount="100000" sheet="1" objects="1" scenarios="1"/>
  <mergeCells count="2">
    <mergeCell ref="A1:H1"/>
    <mergeCell ref="A17:E17"/>
  </mergeCells>
  <hyperlinks>
    <hyperlink ref="A58" location="Contents!A1" display="Return to contents" xr:uid="{00000000-0004-0000-1900-000000000000}"/>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5"/>
  <dimension ref="A2:D35"/>
  <sheetViews>
    <sheetView workbookViewId="0">
      <selection activeCell="B4" sqref="B4"/>
    </sheetView>
  </sheetViews>
  <sheetFormatPr defaultRowHeight="12.75" x14ac:dyDescent="0.2"/>
  <cols>
    <col min="1" max="1" width="20.28515625" bestFit="1" customWidth="1"/>
    <col min="2" max="2" width="33.5703125" bestFit="1" customWidth="1"/>
    <col min="3" max="3" width="29.7109375" customWidth="1"/>
    <col min="4" max="4" width="31" customWidth="1"/>
  </cols>
  <sheetData>
    <row r="2" spans="1:4" x14ac:dyDescent="0.2">
      <c r="A2" s="1300" t="s">
        <v>4</v>
      </c>
      <c r="B2" t="s">
        <v>603</v>
      </c>
    </row>
    <row r="4" spans="1:4" x14ac:dyDescent="0.2">
      <c r="A4" s="1300" t="s">
        <v>658</v>
      </c>
      <c r="B4" t="s">
        <v>939</v>
      </c>
      <c r="C4" t="s">
        <v>691</v>
      </c>
      <c r="D4" t="s">
        <v>690</v>
      </c>
    </row>
    <row r="5" spans="1:4" x14ac:dyDescent="0.2">
      <c r="A5" s="1301" t="s">
        <v>23</v>
      </c>
      <c r="B5">
        <v>22</v>
      </c>
      <c r="C5">
        <v>1</v>
      </c>
      <c r="D5">
        <v>21</v>
      </c>
    </row>
    <row r="6" spans="1:4" x14ac:dyDescent="0.2">
      <c r="A6" s="1301" t="s">
        <v>24</v>
      </c>
      <c r="B6">
        <v>16</v>
      </c>
      <c r="C6">
        <v>0</v>
      </c>
      <c r="D6">
        <v>16</v>
      </c>
    </row>
    <row r="7" spans="1:4" x14ac:dyDescent="0.2">
      <c r="A7" s="1301" t="s">
        <v>25</v>
      </c>
      <c r="B7">
        <v>9</v>
      </c>
      <c r="C7">
        <v>0</v>
      </c>
      <c r="D7">
        <v>9</v>
      </c>
    </row>
    <row r="8" spans="1:4" x14ac:dyDescent="0.2">
      <c r="A8" s="1301" t="s">
        <v>26</v>
      </c>
      <c r="B8">
        <v>22</v>
      </c>
      <c r="C8">
        <v>0</v>
      </c>
      <c r="D8">
        <v>22</v>
      </c>
    </row>
    <row r="9" spans="1:4" x14ac:dyDescent="0.2">
      <c r="A9" s="1301" t="s">
        <v>27</v>
      </c>
      <c r="B9">
        <v>5</v>
      </c>
      <c r="C9">
        <v>0</v>
      </c>
      <c r="D9">
        <v>5</v>
      </c>
    </row>
    <row r="10" spans="1:4" x14ac:dyDescent="0.2">
      <c r="A10" s="1301" t="s">
        <v>28</v>
      </c>
      <c r="B10">
        <v>18</v>
      </c>
      <c r="C10">
        <v>1</v>
      </c>
      <c r="D10">
        <v>17</v>
      </c>
    </row>
    <row r="11" spans="1:4" x14ac:dyDescent="0.2">
      <c r="A11" s="1301" t="s">
        <v>29</v>
      </c>
      <c r="B11">
        <v>14</v>
      </c>
      <c r="C11">
        <v>0</v>
      </c>
      <c r="D11">
        <v>14</v>
      </c>
    </row>
    <row r="12" spans="1:4" x14ac:dyDescent="0.2">
      <c r="A12" s="1301" t="s">
        <v>30</v>
      </c>
      <c r="B12">
        <v>14</v>
      </c>
      <c r="C12">
        <v>0</v>
      </c>
      <c r="D12">
        <v>14</v>
      </c>
    </row>
    <row r="13" spans="1:4" x14ac:dyDescent="0.2">
      <c r="A13" s="1301" t="s">
        <v>31</v>
      </c>
      <c r="B13">
        <v>5</v>
      </c>
      <c r="C13">
        <v>0</v>
      </c>
      <c r="D13">
        <v>5</v>
      </c>
    </row>
    <row r="14" spans="1:4" x14ac:dyDescent="0.2">
      <c r="A14" s="1301" t="s">
        <v>32</v>
      </c>
      <c r="B14">
        <v>6</v>
      </c>
      <c r="C14">
        <v>0</v>
      </c>
      <c r="D14">
        <v>6</v>
      </c>
    </row>
    <row r="15" spans="1:4" x14ac:dyDescent="0.2">
      <c r="A15" s="1301" t="s">
        <v>33</v>
      </c>
      <c r="B15">
        <v>6</v>
      </c>
      <c r="C15">
        <v>1</v>
      </c>
      <c r="D15">
        <v>5</v>
      </c>
    </row>
    <row r="16" spans="1:4" x14ac:dyDescent="0.2">
      <c r="A16" s="1301" t="s">
        <v>665</v>
      </c>
      <c r="B16">
        <v>93</v>
      </c>
      <c r="C16">
        <v>4</v>
      </c>
      <c r="D16">
        <v>89</v>
      </c>
    </row>
    <row r="17" spans="1:4" x14ac:dyDescent="0.2">
      <c r="A17" s="1301" t="s">
        <v>34</v>
      </c>
      <c r="B17">
        <v>26</v>
      </c>
      <c r="C17">
        <v>2</v>
      </c>
      <c r="D17">
        <v>24</v>
      </c>
    </row>
    <row r="18" spans="1:4" x14ac:dyDescent="0.2">
      <c r="A18" s="1301" t="s">
        <v>35</v>
      </c>
      <c r="B18">
        <v>54</v>
      </c>
      <c r="C18">
        <v>1</v>
      </c>
      <c r="D18">
        <v>53</v>
      </c>
    </row>
    <row r="19" spans="1:4" x14ac:dyDescent="0.2">
      <c r="A19" s="1301" t="s">
        <v>36</v>
      </c>
      <c r="B19">
        <v>97</v>
      </c>
      <c r="C19">
        <v>3</v>
      </c>
      <c r="D19">
        <v>94</v>
      </c>
    </row>
    <row r="20" spans="1:4" x14ac:dyDescent="0.2">
      <c r="A20" s="1301" t="s">
        <v>37</v>
      </c>
      <c r="B20">
        <v>46</v>
      </c>
      <c r="C20">
        <v>2</v>
      </c>
      <c r="D20">
        <v>44</v>
      </c>
    </row>
    <row r="21" spans="1:4" x14ac:dyDescent="0.2">
      <c r="A21" s="1301" t="s">
        <v>38</v>
      </c>
      <c r="B21">
        <v>11</v>
      </c>
      <c r="C21">
        <v>0</v>
      </c>
      <c r="D21">
        <v>11</v>
      </c>
    </row>
    <row r="22" spans="1:4" x14ac:dyDescent="0.2">
      <c r="A22" s="1301" t="s">
        <v>39</v>
      </c>
      <c r="B22">
        <v>11</v>
      </c>
      <c r="C22">
        <v>0</v>
      </c>
      <c r="D22">
        <v>11</v>
      </c>
    </row>
    <row r="23" spans="1:4" x14ac:dyDescent="0.2">
      <c r="A23" s="1301" t="s">
        <v>40</v>
      </c>
      <c r="B23">
        <v>2</v>
      </c>
      <c r="C23">
        <v>0</v>
      </c>
      <c r="D23">
        <v>2</v>
      </c>
    </row>
    <row r="24" spans="1:4" x14ac:dyDescent="0.2">
      <c r="A24" s="1301" t="s">
        <v>41</v>
      </c>
      <c r="B24">
        <v>16</v>
      </c>
      <c r="C24">
        <v>0</v>
      </c>
      <c r="D24">
        <v>16</v>
      </c>
    </row>
    <row r="25" spans="1:4" x14ac:dyDescent="0.2">
      <c r="A25" s="1301" t="s">
        <v>42</v>
      </c>
      <c r="B25">
        <v>37</v>
      </c>
      <c r="C25">
        <v>1</v>
      </c>
      <c r="D25">
        <v>36</v>
      </c>
    </row>
    <row r="26" spans="1:4" x14ac:dyDescent="0.2">
      <c r="A26" s="1301" t="s">
        <v>43</v>
      </c>
      <c r="B26">
        <v>12</v>
      </c>
      <c r="C26">
        <v>0</v>
      </c>
      <c r="D26">
        <v>12</v>
      </c>
    </row>
    <row r="27" spans="1:4" x14ac:dyDescent="0.2">
      <c r="A27" s="1301" t="s">
        <v>44</v>
      </c>
      <c r="B27">
        <v>7</v>
      </c>
      <c r="C27">
        <v>0</v>
      </c>
      <c r="D27">
        <v>7</v>
      </c>
    </row>
    <row r="28" spans="1:4" x14ac:dyDescent="0.2">
      <c r="A28" s="1301" t="s">
        <v>45</v>
      </c>
      <c r="B28">
        <v>24</v>
      </c>
      <c r="C28">
        <v>0</v>
      </c>
      <c r="D28">
        <v>24</v>
      </c>
    </row>
    <row r="29" spans="1:4" x14ac:dyDescent="0.2">
      <c r="A29" s="1301" t="s">
        <v>46</v>
      </c>
      <c r="B29">
        <v>10</v>
      </c>
      <c r="C29">
        <v>0</v>
      </c>
      <c r="D29">
        <v>10</v>
      </c>
    </row>
    <row r="30" spans="1:4" x14ac:dyDescent="0.2">
      <c r="A30" s="1301" t="s">
        <v>48</v>
      </c>
      <c r="B30">
        <v>12</v>
      </c>
      <c r="C30">
        <v>1</v>
      </c>
      <c r="D30">
        <v>11</v>
      </c>
    </row>
    <row r="31" spans="1:4" x14ac:dyDescent="0.2">
      <c r="A31" s="1301" t="s">
        <v>49</v>
      </c>
      <c r="B31">
        <v>25</v>
      </c>
      <c r="C31">
        <v>0</v>
      </c>
      <c r="D31">
        <v>25</v>
      </c>
    </row>
    <row r="32" spans="1:4" x14ac:dyDescent="0.2">
      <c r="A32" s="1301" t="s">
        <v>50</v>
      </c>
      <c r="B32">
        <v>12</v>
      </c>
      <c r="C32">
        <v>0</v>
      </c>
      <c r="D32">
        <v>12</v>
      </c>
    </row>
    <row r="33" spans="1:4" x14ac:dyDescent="0.2">
      <c r="A33" s="1301" t="s">
        <v>51</v>
      </c>
      <c r="B33">
        <v>7</v>
      </c>
      <c r="C33">
        <v>1</v>
      </c>
      <c r="D33">
        <v>6</v>
      </c>
    </row>
    <row r="34" spans="1:4" x14ac:dyDescent="0.2">
      <c r="A34" s="1301" t="s">
        <v>52</v>
      </c>
      <c r="B34">
        <v>26</v>
      </c>
      <c r="C34">
        <v>1</v>
      </c>
      <c r="D34">
        <v>25</v>
      </c>
    </row>
    <row r="35" spans="1:4" x14ac:dyDescent="0.2">
      <c r="A35" s="1301" t="s">
        <v>666</v>
      </c>
      <c r="B35">
        <v>665</v>
      </c>
      <c r="C35">
        <v>19</v>
      </c>
      <c r="D35">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6">
    <tabColor rgb="FF960000"/>
  </sheetPr>
  <dimension ref="A1:E16"/>
  <sheetViews>
    <sheetView showGridLines="0" zoomScaleNormal="100" workbookViewId="0"/>
  </sheetViews>
  <sheetFormatPr defaultRowHeight="12.75" x14ac:dyDescent="0.2"/>
  <cols>
    <col min="1" max="1" width="16.28515625" customWidth="1"/>
  </cols>
  <sheetData>
    <row r="1" spans="1:5" ht="38.25" customHeight="1" x14ac:dyDescent="0.35">
      <c r="A1" s="1259" t="str">
        <f>"Fire False Alarms By Category, 2011-12 to 2017-18"</f>
        <v>Fire False Alarms By Category, 2011-12 to 2017-18</v>
      </c>
    </row>
    <row r="3" spans="1:5" x14ac:dyDescent="0.2">
      <c r="A3" s="386"/>
    </row>
    <row r="9" spans="1:5" x14ac:dyDescent="0.2">
      <c r="B9" t="s">
        <v>4</v>
      </c>
      <c r="C9" t="s">
        <v>151</v>
      </c>
      <c r="D9" t="s">
        <v>161</v>
      </c>
      <c r="E9" t="s">
        <v>153</v>
      </c>
    </row>
    <row r="10" spans="1:5" x14ac:dyDescent="0.2">
      <c r="B10" s="1340" t="str">
        <f>'Long-Term Trend'!A26</f>
        <v>2011-12</v>
      </c>
      <c r="C10" s="768">
        <f>'Long-Term Trend'!N26</f>
        <v>2621</v>
      </c>
      <c r="D10" s="768">
        <f>'Long-Term Trend'!O26</f>
        <v>34935</v>
      </c>
      <c r="E10" s="768">
        <f>'Long-Term Trend'!P26</f>
        <v>10361</v>
      </c>
    </row>
    <row r="11" spans="1:5" x14ac:dyDescent="0.2">
      <c r="B11" s="1340" t="str">
        <f>'Long-Term Trend'!A27</f>
        <v>2012-13</v>
      </c>
      <c r="C11" s="768">
        <f>'Long-Term Trend'!N27</f>
        <v>2308</v>
      </c>
      <c r="D11" s="768">
        <f>'Long-Term Trend'!O27</f>
        <v>35107</v>
      </c>
      <c r="E11" s="768">
        <f>'Long-Term Trend'!P27</f>
        <v>9873</v>
      </c>
    </row>
    <row r="12" spans="1:5" x14ac:dyDescent="0.2">
      <c r="B12" s="1340" t="str">
        <f>'Long-Term Trend'!A28</f>
        <v>2013-14</v>
      </c>
      <c r="C12" s="768">
        <f>'Long-Term Trend'!N28</f>
        <v>2366</v>
      </c>
      <c r="D12" s="768">
        <f>'Long-Term Trend'!O28</f>
        <v>35236</v>
      </c>
      <c r="E12" s="768">
        <f>'Long-Term Trend'!P28</f>
        <v>9618</v>
      </c>
    </row>
    <row r="13" spans="1:5" x14ac:dyDescent="0.2">
      <c r="B13" s="1340" t="str">
        <f>'Long-Term Trend'!A29</f>
        <v>2014-15</v>
      </c>
      <c r="C13" s="768">
        <f>'Long-Term Trend'!N29</f>
        <v>2056</v>
      </c>
      <c r="D13" s="768">
        <f>'Long-Term Trend'!O29</f>
        <v>37355</v>
      </c>
      <c r="E13" s="768">
        <f>'Long-Term Trend'!P29</f>
        <v>9257</v>
      </c>
    </row>
    <row r="14" spans="1:5" x14ac:dyDescent="0.2">
      <c r="B14" s="1340" t="str">
        <f>'Long-Term Trend'!A30</f>
        <v>2015-16</v>
      </c>
      <c r="C14" s="768">
        <f>'Long-Term Trend'!N30</f>
        <v>2375</v>
      </c>
      <c r="D14" s="768">
        <f>'Long-Term Trend'!O30</f>
        <v>37621</v>
      </c>
      <c r="E14" s="768">
        <f>'Long-Term Trend'!P30</f>
        <v>8849</v>
      </c>
    </row>
    <row r="15" spans="1:5" x14ac:dyDescent="0.2">
      <c r="B15" s="1340" t="str">
        <f>'Long-Term Trend'!A31</f>
        <v>2016-17</v>
      </c>
      <c r="C15" s="768">
        <f>'Long-Term Trend'!N31</f>
        <v>2281</v>
      </c>
      <c r="D15" s="768">
        <f>'Long-Term Trend'!O31</f>
        <v>39626</v>
      </c>
      <c r="E15" s="768">
        <f>'Long-Term Trend'!P31</f>
        <v>8956</v>
      </c>
    </row>
    <row r="16" spans="1:5" x14ac:dyDescent="0.2">
      <c r="B16" s="1340" t="str">
        <f>'Long-Term Trend'!A32</f>
        <v>2017-18</v>
      </c>
      <c r="C16" s="768">
        <f>'Long-Term Trend'!N32</f>
        <v>2338</v>
      </c>
      <c r="D16" s="768">
        <f>'Long-Term Trend'!O32</f>
        <v>40359</v>
      </c>
      <c r="E16" s="768">
        <f>'Long-Term Trend'!P32</f>
        <v>9090</v>
      </c>
    </row>
  </sheetData>
  <sheetProtection algorithmName="SHA-512" hashValue="YcOFOMkmSipe1yQNjX91hvkKfQ/iVUWz9vaM57irvkCxjzPsyQ7+kXvGi9J3z7SGlZd7rXQhiAn8IbiB1yYUSA==" saltValue="K44nPlTG6x2UBG3xW9pOsg==" spinCount="100000" sheet="1" objects="1" scenarios="1"/>
  <pageMargins left="0.25" right="0.25"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7">
    <tabColor rgb="FF960000"/>
    <pageSetUpPr fitToPage="1"/>
  </sheetPr>
  <dimension ref="A1"/>
  <sheetViews>
    <sheetView showGridLines="0" workbookViewId="0"/>
  </sheetViews>
  <sheetFormatPr defaultRowHeight="12.75" x14ac:dyDescent="0.2"/>
  <sheetData>
    <row r="1" spans="1:1" ht="38.25" customHeight="1" x14ac:dyDescent="0.35">
      <c r="A1" s="1259" t="str">
        <f>"Fire False Alarms By Category and Property Type, 2010-11 to 2017-18"</f>
        <v>Fire False Alarms By Category and Property Type, 2010-11 to 2017-18</v>
      </c>
    </row>
  </sheetData>
  <sheetProtection algorithmName="SHA-512" hashValue="Bv/t9Hg1S7ypAxAtonXnmYIlrGv4RvIZD6FbjlY2NK5L2+DxVnT6n1QUXVfQgKdcT3b13pfcEqr6t/xgMSeaeg==" saltValue="rU+NnBGyQPy9Nvxr/e45cw==" spinCount="100000" sheet="1" objects="1" scenarios="1"/>
  <pageMargins left="0.7" right="0.7" top="0.75" bottom="0.75" header="0.3" footer="0.3"/>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pageSetUpPr fitToPage="1"/>
  </sheetPr>
  <dimension ref="A1:AF46"/>
  <sheetViews>
    <sheetView showGridLines="0" zoomScaleNormal="100" workbookViewId="0">
      <selection sqref="A1:P1"/>
    </sheetView>
  </sheetViews>
  <sheetFormatPr defaultRowHeight="12.75" x14ac:dyDescent="0.2"/>
  <cols>
    <col min="1" max="1" width="11.42578125" style="122" customWidth="1"/>
    <col min="2" max="5" width="10.5703125" style="1" customWidth="1"/>
    <col min="6" max="6" width="10" style="1" customWidth="1"/>
    <col min="7" max="8" width="11.28515625" style="1" customWidth="1"/>
    <col min="9" max="9" width="11.7109375" style="1" customWidth="1"/>
    <col min="10" max="10" width="3" style="1" customWidth="1"/>
    <col min="11" max="12" width="10.140625" style="1" customWidth="1"/>
    <col min="13" max="13" width="2.5703125" style="1" customWidth="1"/>
    <col min="14" max="16" width="11" style="1" customWidth="1"/>
    <col min="17" max="17" width="9.42578125" style="1" customWidth="1"/>
    <col min="18" max="18" width="12.42578125" style="1" customWidth="1"/>
    <col min="19" max="19" width="12" style="1" customWidth="1"/>
    <col min="20" max="20" width="2.140625" style="1" customWidth="1"/>
    <col min="21" max="21" width="13.42578125" style="1" customWidth="1"/>
    <col min="22" max="22" width="1.5703125" style="1" customWidth="1"/>
    <col min="23" max="23" width="13" style="1" customWidth="1"/>
    <col min="24" max="24" width="9.140625" style="1"/>
    <col min="25" max="25" width="13" style="1" customWidth="1"/>
    <col min="26" max="257" width="9.140625" style="1"/>
    <col min="258" max="258" width="11.42578125" style="1" customWidth="1"/>
    <col min="259" max="260" width="12.85546875" style="1" customWidth="1"/>
    <col min="261" max="261" width="12.140625" style="1" customWidth="1"/>
    <col min="262" max="262" width="12.85546875" style="1" customWidth="1"/>
    <col min="263" max="263" width="15.42578125" style="1" customWidth="1"/>
    <col min="264" max="265" width="12.85546875" style="1" customWidth="1"/>
    <col min="266" max="266" width="3.28515625" style="1" customWidth="1"/>
    <col min="267" max="268" width="11.5703125" style="1" customWidth="1"/>
    <col min="269" max="269" width="3.28515625" style="1" customWidth="1"/>
    <col min="270" max="273" width="14.28515625" style="1" customWidth="1"/>
    <col min="274" max="274" width="5.7109375" style="1" customWidth="1"/>
    <col min="275" max="275" width="17.42578125" style="1" customWidth="1"/>
    <col min="276" max="276" width="6" style="1" customWidth="1"/>
    <col min="277" max="277" width="17.28515625" style="1" customWidth="1"/>
    <col min="278" max="278" width="5.7109375" style="1" customWidth="1"/>
    <col min="279" max="279" width="17.28515625" style="1" customWidth="1"/>
    <col min="280" max="513" width="9.140625" style="1"/>
    <col min="514" max="514" width="11.42578125" style="1" customWidth="1"/>
    <col min="515" max="516" width="12.85546875" style="1" customWidth="1"/>
    <col min="517" max="517" width="12.140625" style="1" customWidth="1"/>
    <col min="518" max="518" width="12.85546875" style="1" customWidth="1"/>
    <col min="519" max="519" width="15.42578125" style="1" customWidth="1"/>
    <col min="520" max="521" width="12.85546875" style="1" customWidth="1"/>
    <col min="522" max="522" width="3.28515625" style="1" customWidth="1"/>
    <col min="523" max="524" width="11.5703125" style="1" customWidth="1"/>
    <col min="525" max="525" width="3.28515625" style="1" customWidth="1"/>
    <col min="526" max="529" width="14.28515625" style="1" customWidth="1"/>
    <col min="530" max="530" width="5.7109375" style="1" customWidth="1"/>
    <col min="531" max="531" width="17.42578125" style="1" customWidth="1"/>
    <col min="532" max="532" width="6" style="1" customWidth="1"/>
    <col min="533" max="533" width="17.28515625" style="1" customWidth="1"/>
    <col min="534" max="534" width="5.7109375" style="1" customWidth="1"/>
    <col min="535" max="535" width="17.28515625" style="1" customWidth="1"/>
    <col min="536" max="769" width="9.140625" style="1"/>
    <col min="770" max="770" width="11.42578125" style="1" customWidth="1"/>
    <col min="771" max="772" width="12.85546875" style="1" customWidth="1"/>
    <col min="773" max="773" width="12.140625" style="1" customWidth="1"/>
    <col min="774" max="774" width="12.85546875" style="1" customWidth="1"/>
    <col min="775" max="775" width="15.42578125" style="1" customWidth="1"/>
    <col min="776" max="777" width="12.85546875" style="1" customWidth="1"/>
    <col min="778" max="778" width="3.28515625" style="1" customWidth="1"/>
    <col min="779" max="780" width="11.5703125" style="1" customWidth="1"/>
    <col min="781" max="781" width="3.28515625" style="1" customWidth="1"/>
    <col min="782" max="785" width="14.28515625" style="1" customWidth="1"/>
    <col min="786" max="786" width="5.7109375" style="1" customWidth="1"/>
    <col min="787" max="787" width="17.42578125" style="1" customWidth="1"/>
    <col min="788" max="788" width="6" style="1" customWidth="1"/>
    <col min="789" max="789" width="17.28515625" style="1" customWidth="1"/>
    <col min="790" max="790" width="5.7109375" style="1" customWidth="1"/>
    <col min="791" max="791" width="17.28515625" style="1" customWidth="1"/>
    <col min="792" max="1025" width="9.140625" style="1"/>
    <col min="1026" max="1026" width="11.42578125" style="1" customWidth="1"/>
    <col min="1027" max="1028" width="12.85546875" style="1" customWidth="1"/>
    <col min="1029" max="1029" width="12.140625" style="1" customWidth="1"/>
    <col min="1030" max="1030" width="12.85546875" style="1" customWidth="1"/>
    <col min="1031" max="1031" width="15.42578125" style="1" customWidth="1"/>
    <col min="1032" max="1033" width="12.85546875" style="1" customWidth="1"/>
    <col min="1034" max="1034" width="3.28515625" style="1" customWidth="1"/>
    <col min="1035" max="1036" width="11.5703125" style="1" customWidth="1"/>
    <col min="1037" max="1037" width="3.28515625" style="1" customWidth="1"/>
    <col min="1038" max="1041" width="14.28515625" style="1" customWidth="1"/>
    <col min="1042" max="1042" width="5.7109375" style="1" customWidth="1"/>
    <col min="1043" max="1043" width="17.42578125" style="1" customWidth="1"/>
    <col min="1044" max="1044" width="6" style="1" customWidth="1"/>
    <col min="1045" max="1045" width="17.28515625" style="1" customWidth="1"/>
    <col min="1046" max="1046" width="5.7109375" style="1" customWidth="1"/>
    <col min="1047" max="1047" width="17.28515625" style="1" customWidth="1"/>
    <col min="1048" max="1281" width="9.140625" style="1"/>
    <col min="1282" max="1282" width="11.42578125" style="1" customWidth="1"/>
    <col min="1283" max="1284" width="12.85546875" style="1" customWidth="1"/>
    <col min="1285" max="1285" width="12.140625" style="1" customWidth="1"/>
    <col min="1286" max="1286" width="12.85546875" style="1" customWidth="1"/>
    <col min="1287" max="1287" width="15.42578125" style="1" customWidth="1"/>
    <col min="1288" max="1289" width="12.85546875" style="1" customWidth="1"/>
    <col min="1290" max="1290" width="3.28515625" style="1" customWidth="1"/>
    <col min="1291" max="1292" width="11.5703125" style="1" customWidth="1"/>
    <col min="1293" max="1293" width="3.28515625" style="1" customWidth="1"/>
    <col min="1294" max="1297" width="14.28515625" style="1" customWidth="1"/>
    <col min="1298" max="1298" width="5.7109375" style="1" customWidth="1"/>
    <col min="1299" max="1299" width="17.42578125" style="1" customWidth="1"/>
    <col min="1300" max="1300" width="6" style="1" customWidth="1"/>
    <col min="1301" max="1301" width="17.28515625" style="1" customWidth="1"/>
    <col min="1302" max="1302" width="5.7109375" style="1" customWidth="1"/>
    <col min="1303" max="1303" width="17.28515625" style="1" customWidth="1"/>
    <col min="1304" max="1537" width="9.140625" style="1"/>
    <col min="1538" max="1538" width="11.42578125" style="1" customWidth="1"/>
    <col min="1539" max="1540" width="12.85546875" style="1" customWidth="1"/>
    <col min="1541" max="1541" width="12.140625" style="1" customWidth="1"/>
    <col min="1542" max="1542" width="12.85546875" style="1" customWidth="1"/>
    <col min="1543" max="1543" width="15.42578125" style="1" customWidth="1"/>
    <col min="1544" max="1545" width="12.85546875" style="1" customWidth="1"/>
    <col min="1546" max="1546" width="3.28515625" style="1" customWidth="1"/>
    <col min="1547" max="1548" width="11.5703125" style="1" customWidth="1"/>
    <col min="1549" max="1549" width="3.28515625" style="1" customWidth="1"/>
    <col min="1550" max="1553" width="14.28515625" style="1" customWidth="1"/>
    <col min="1554" max="1554" width="5.7109375" style="1" customWidth="1"/>
    <col min="1555" max="1555" width="17.42578125" style="1" customWidth="1"/>
    <col min="1556" max="1556" width="6" style="1" customWidth="1"/>
    <col min="1557" max="1557" width="17.28515625" style="1" customWidth="1"/>
    <col min="1558" max="1558" width="5.7109375" style="1" customWidth="1"/>
    <col min="1559" max="1559" width="17.28515625" style="1" customWidth="1"/>
    <col min="1560" max="1793" width="9.140625" style="1"/>
    <col min="1794" max="1794" width="11.42578125" style="1" customWidth="1"/>
    <col min="1795" max="1796" width="12.85546875" style="1" customWidth="1"/>
    <col min="1797" max="1797" width="12.140625" style="1" customWidth="1"/>
    <col min="1798" max="1798" width="12.85546875" style="1" customWidth="1"/>
    <col min="1799" max="1799" width="15.42578125" style="1" customWidth="1"/>
    <col min="1800" max="1801" width="12.85546875" style="1" customWidth="1"/>
    <col min="1802" max="1802" width="3.28515625" style="1" customWidth="1"/>
    <col min="1803" max="1804" width="11.5703125" style="1" customWidth="1"/>
    <col min="1805" max="1805" width="3.28515625" style="1" customWidth="1"/>
    <col min="1806" max="1809" width="14.28515625" style="1" customWidth="1"/>
    <col min="1810" max="1810" width="5.7109375" style="1" customWidth="1"/>
    <col min="1811" max="1811" width="17.42578125" style="1" customWidth="1"/>
    <col min="1812" max="1812" width="6" style="1" customWidth="1"/>
    <col min="1813" max="1813" width="17.28515625" style="1" customWidth="1"/>
    <col min="1814" max="1814" width="5.7109375" style="1" customWidth="1"/>
    <col min="1815" max="1815" width="17.28515625" style="1" customWidth="1"/>
    <col min="1816" max="2049" width="9.140625" style="1"/>
    <col min="2050" max="2050" width="11.42578125" style="1" customWidth="1"/>
    <col min="2051" max="2052" width="12.85546875" style="1" customWidth="1"/>
    <col min="2053" max="2053" width="12.140625" style="1" customWidth="1"/>
    <col min="2054" max="2054" width="12.85546875" style="1" customWidth="1"/>
    <col min="2055" max="2055" width="15.42578125" style="1" customWidth="1"/>
    <col min="2056" max="2057" width="12.85546875" style="1" customWidth="1"/>
    <col min="2058" max="2058" width="3.28515625" style="1" customWidth="1"/>
    <col min="2059" max="2060" width="11.5703125" style="1" customWidth="1"/>
    <col min="2061" max="2061" width="3.28515625" style="1" customWidth="1"/>
    <col min="2062" max="2065" width="14.28515625" style="1" customWidth="1"/>
    <col min="2066" max="2066" width="5.7109375" style="1" customWidth="1"/>
    <col min="2067" max="2067" width="17.42578125" style="1" customWidth="1"/>
    <col min="2068" max="2068" width="6" style="1" customWidth="1"/>
    <col min="2069" max="2069" width="17.28515625" style="1" customWidth="1"/>
    <col min="2070" max="2070" width="5.7109375" style="1" customWidth="1"/>
    <col min="2071" max="2071" width="17.28515625" style="1" customWidth="1"/>
    <col min="2072" max="2305" width="9.140625" style="1"/>
    <col min="2306" max="2306" width="11.42578125" style="1" customWidth="1"/>
    <col min="2307" max="2308" width="12.85546875" style="1" customWidth="1"/>
    <col min="2309" max="2309" width="12.140625" style="1" customWidth="1"/>
    <col min="2310" max="2310" width="12.85546875" style="1" customWidth="1"/>
    <col min="2311" max="2311" width="15.42578125" style="1" customWidth="1"/>
    <col min="2312" max="2313" width="12.85546875" style="1" customWidth="1"/>
    <col min="2314" max="2314" width="3.28515625" style="1" customWidth="1"/>
    <col min="2315" max="2316" width="11.5703125" style="1" customWidth="1"/>
    <col min="2317" max="2317" width="3.28515625" style="1" customWidth="1"/>
    <col min="2318" max="2321" width="14.28515625" style="1" customWidth="1"/>
    <col min="2322" max="2322" width="5.7109375" style="1" customWidth="1"/>
    <col min="2323" max="2323" width="17.42578125" style="1" customWidth="1"/>
    <col min="2324" max="2324" width="6" style="1" customWidth="1"/>
    <col min="2325" max="2325" width="17.28515625" style="1" customWidth="1"/>
    <col min="2326" max="2326" width="5.7109375" style="1" customWidth="1"/>
    <col min="2327" max="2327" width="17.28515625" style="1" customWidth="1"/>
    <col min="2328" max="2561" width="9.140625" style="1"/>
    <col min="2562" max="2562" width="11.42578125" style="1" customWidth="1"/>
    <col min="2563" max="2564" width="12.85546875" style="1" customWidth="1"/>
    <col min="2565" max="2565" width="12.140625" style="1" customWidth="1"/>
    <col min="2566" max="2566" width="12.85546875" style="1" customWidth="1"/>
    <col min="2567" max="2567" width="15.42578125" style="1" customWidth="1"/>
    <col min="2568" max="2569" width="12.85546875" style="1" customWidth="1"/>
    <col min="2570" max="2570" width="3.28515625" style="1" customWidth="1"/>
    <col min="2571" max="2572" width="11.5703125" style="1" customWidth="1"/>
    <col min="2573" max="2573" width="3.28515625" style="1" customWidth="1"/>
    <col min="2574" max="2577" width="14.28515625" style="1" customWidth="1"/>
    <col min="2578" max="2578" width="5.7109375" style="1" customWidth="1"/>
    <col min="2579" max="2579" width="17.42578125" style="1" customWidth="1"/>
    <col min="2580" max="2580" width="6" style="1" customWidth="1"/>
    <col min="2581" max="2581" width="17.28515625" style="1" customWidth="1"/>
    <col min="2582" max="2582" width="5.7109375" style="1" customWidth="1"/>
    <col min="2583" max="2583" width="17.28515625" style="1" customWidth="1"/>
    <col min="2584" max="2817" width="9.140625" style="1"/>
    <col min="2818" max="2818" width="11.42578125" style="1" customWidth="1"/>
    <col min="2819" max="2820" width="12.85546875" style="1" customWidth="1"/>
    <col min="2821" max="2821" width="12.140625" style="1" customWidth="1"/>
    <col min="2822" max="2822" width="12.85546875" style="1" customWidth="1"/>
    <col min="2823" max="2823" width="15.42578125" style="1" customWidth="1"/>
    <col min="2824" max="2825" width="12.85546875" style="1" customWidth="1"/>
    <col min="2826" max="2826" width="3.28515625" style="1" customWidth="1"/>
    <col min="2827" max="2828" width="11.5703125" style="1" customWidth="1"/>
    <col min="2829" max="2829" width="3.28515625" style="1" customWidth="1"/>
    <col min="2830" max="2833" width="14.28515625" style="1" customWidth="1"/>
    <col min="2834" max="2834" width="5.7109375" style="1" customWidth="1"/>
    <col min="2835" max="2835" width="17.42578125" style="1" customWidth="1"/>
    <col min="2836" max="2836" width="6" style="1" customWidth="1"/>
    <col min="2837" max="2837" width="17.28515625" style="1" customWidth="1"/>
    <col min="2838" max="2838" width="5.7109375" style="1" customWidth="1"/>
    <col min="2839" max="2839" width="17.28515625" style="1" customWidth="1"/>
    <col min="2840" max="3073" width="9.140625" style="1"/>
    <col min="3074" max="3074" width="11.42578125" style="1" customWidth="1"/>
    <col min="3075" max="3076" width="12.85546875" style="1" customWidth="1"/>
    <col min="3077" max="3077" width="12.140625" style="1" customWidth="1"/>
    <col min="3078" max="3078" width="12.85546875" style="1" customWidth="1"/>
    <col min="3079" max="3079" width="15.42578125" style="1" customWidth="1"/>
    <col min="3080" max="3081" width="12.85546875" style="1" customWidth="1"/>
    <col min="3082" max="3082" width="3.28515625" style="1" customWidth="1"/>
    <col min="3083" max="3084" width="11.5703125" style="1" customWidth="1"/>
    <col min="3085" max="3085" width="3.28515625" style="1" customWidth="1"/>
    <col min="3086" max="3089" width="14.28515625" style="1" customWidth="1"/>
    <col min="3090" max="3090" width="5.7109375" style="1" customWidth="1"/>
    <col min="3091" max="3091" width="17.42578125" style="1" customWidth="1"/>
    <col min="3092" max="3092" width="6" style="1" customWidth="1"/>
    <col min="3093" max="3093" width="17.28515625" style="1" customWidth="1"/>
    <col min="3094" max="3094" width="5.7109375" style="1" customWidth="1"/>
    <col min="3095" max="3095" width="17.28515625" style="1" customWidth="1"/>
    <col min="3096" max="3329" width="9.140625" style="1"/>
    <col min="3330" max="3330" width="11.42578125" style="1" customWidth="1"/>
    <col min="3331" max="3332" width="12.85546875" style="1" customWidth="1"/>
    <col min="3333" max="3333" width="12.140625" style="1" customWidth="1"/>
    <col min="3334" max="3334" width="12.85546875" style="1" customWidth="1"/>
    <col min="3335" max="3335" width="15.42578125" style="1" customWidth="1"/>
    <col min="3336" max="3337" width="12.85546875" style="1" customWidth="1"/>
    <col min="3338" max="3338" width="3.28515625" style="1" customWidth="1"/>
    <col min="3339" max="3340" width="11.5703125" style="1" customWidth="1"/>
    <col min="3341" max="3341" width="3.28515625" style="1" customWidth="1"/>
    <col min="3342" max="3345" width="14.28515625" style="1" customWidth="1"/>
    <col min="3346" max="3346" width="5.7109375" style="1" customWidth="1"/>
    <col min="3347" max="3347" width="17.42578125" style="1" customWidth="1"/>
    <col min="3348" max="3348" width="6" style="1" customWidth="1"/>
    <col min="3349" max="3349" width="17.28515625" style="1" customWidth="1"/>
    <col min="3350" max="3350" width="5.7109375" style="1" customWidth="1"/>
    <col min="3351" max="3351" width="17.28515625" style="1" customWidth="1"/>
    <col min="3352" max="3585" width="9.140625" style="1"/>
    <col min="3586" max="3586" width="11.42578125" style="1" customWidth="1"/>
    <col min="3587" max="3588" width="12.85546875" style="1" customWidth="1"/>
    <col min="3589" max="3589" width="12.140625" style="1" customWidth="1"/>
    <col min="3590" max="3590" width="12.85546875" style="1" customWidth="1"/>
    <col min="3591" max="3591" width="15.42578125" style="1" customWidth="1"/>
    <col min="3592" max="3593" width="12.85546875" style="1" customWidth="1"/>
    <col min="3594" max="3594" width="3.28515625" style="1" customWidth="1"/>
    <col min="3595" max="3596" width="11.5703125" style="1" customWidth="1"/>
    <col min="3597" max="3597" width="3.28515625" style="1" customWidth="1"/>
    <col min="3598" max="3601" width="14.28515625" style="1" customWidth="1"/>
    <col min="3602" max="3602" width="5.7109375" style="1" customWidth="1"/>
    <col min="3603" max="3603" width="17.42578125" style="1" customWidth="1"/>
    <col min="3604" max="3604" width="6" style="1" customWidth="1"/>
    <col min="3605" max="3605" width="17.28515625" style="1" customWidth="1"/>
    <col min="3606" max="3606" width="5.7109375" style="1" customWidth="1"/>
    <col min="3607" max="3607" width="17.28515625" style="1" customWidth="1"/>
    <col min="3608" max="3841" width="9.140625" style="1"/>
    <col min="3842" max="3842" width="11.42578125" style="1" customWidth="1"/>
    <col min="3843" max="3844" width="12.85546875" style="1" customWidth="1"/>
    <col min="3845" max="3845" width="12.140625" style="1" customWidth="1"/>
    <col min="3846" max="3846" width="12.85546875" style="1" customWidth="1"/>
    <col min="3847" max="3847" width="15.42578125" style="1" customWidth="1"/>
    <col min="3848" max="3849" width="12.85546875" style="1" customWidth="1"/>
    <col min="3850" max="3850" width="3.28515625" style="1" customWidth="1"/>
    <col min="3851" max="3852" width="11.5703125" style="1" customWidth="1"/>
    <col min="3853" max="3853" width="3.28515625" style="1" customWidth="1"/>
    <col min="3854" max="3857" width="14.28515625" style="1" customWidth="1"/>
    <col min="3858" max="3858" width="5.7109375" style="1" customWidth="1"/>
    <col min="3859" max="3859" width="17.42578125" style="1" customWidth="1"/>
    <col min="3860" max="3860" width="6" style="1" customWidth="1"/>
    <col min="3861" max="3861" width="17.28515625" style="1" customWidth="1"/>
    <col min="3862" max="3862" width="5.7109375" style="1" customWidth="1"/>
    <col min="3863" max="3863" width="17.28515625" style="1" customWidth="1"/>
    <col min="3864" max="4097" width="9.140625" style="1"/>
    <col min="4098" max="4098" width="11.42578125" style="1" customWidth="1"/>
    <col min="4099" max="4100" width="12.85546875" style="1" customWidth="1"/>
    <col min="4101" max="4101" width="12.140625" style="1" customWidth="1"/>
    <col min="4102" max="4102" width="12.85546875" style="1" customWidth="1"/>
    <col min="4103" max="4103" width="15.42578125" style="1" customWidth="1"/>
    <col min="4104" max="4105" width="12.85546875" style="1" customWidth="1"/>
    <col min="4106" max="4106" width="3.28515625" style="1" customWidth="1"/>
    <col min="4107" max="4108" width="11.5703125" style="1" customWidth="1"/>
    <col min="4109" max="4109" width="3.28515625" style="1" customWidth="1"/>
    <col min="4110" max="4113" width="14.28515625" style="1" customWidth="1"/>
    <col min="4114" max="4114" width="5.7109375" style="1" customWidth="1"/>
    <col min="4115" max="4115" width="17.42578125" style="1" customWidth="1"/>
    <col min="4116" max="4116" width="6" style="1" customWidth="1"/>
    <col min="4117" max="4117" width="17.28515625" style="1" customWidth="1"/>
    <col min="4118" max="4118" width="5.7109375" style="1" customWidth="1"/>
    <col min="4119" max="4119" width="17.28515625" style="1" customWidth="1"/>
    <col min="4120" max="4353" width="9.140625" style="1"/>
    <col min="4354" max="4354" width="11.42578125" style="1" customWidth="1"/>
    <col min="4355" max="4356" width="12.85546875" style="1" customWidth="1"/>
    <col min="4357" max="4357" width="12.140625" style="1" customWidth="1"/>
    <col min="4358" max="4358" width="12.85546875" style="1" customWidth="1"/>
    <col min="4359" max="4359" width="15.42578125" style="1" customWidth="1"/>
    <col min="4360" max="4361" width="12.85546875" style="1" customWidth="1"/>
    <col min="4362" max="4362" width="3.28515625" style="1" customWidth="1"/>
    <col min="4363" max="4364" width="11.5703125" style="1" customWidth="1"/>
    <col min="4365" max="4365" width="3.28515625" style="1" customWidth="1"/>
    <col min="4366" max="4369" width="14.28515625" style="1" customWidth="1"/>
    <col min="4370" max="4370" width="5.7109375" style="1" customWidth="1"/>
    <col min="4371" max="4371" width="17.42578125" style="1" customWidth="1"/>
    <col min="4372" max="4372" width="6" style="1" customWidth="1"/>
    <col min="4373" max="4373" width="17.28515625" style="1" customWidth="1"/>
    <col min="4374" max="4374" width="5.7109375" style="1" customWidth="1"/>
    <col min="4375" max="4375" width="17.28515625" style="1" customWidth="1"/>
    <col min="4376" max="4609" width="9.140625" style="1"/>
    <col min="4610" max="4610" width="11.42578125" style="1" customWidth="1"/>
    <col min="4611" max="4612" width="12.85546875" style="1" customWidth="1"/>
    <col min="4613" max="4613" width="12.140625" style="1" customWidth="1"/>
    <col min="4614" max="4614" width="12.85546875" style="1" customWidth="1"/>
    <col min="4615" max="4615" width="15.42578125" style="1" customWidth="1"/>
    <col min="4616" max="4617" width="12.85546875" style="1" customWidth="1"/>
    <col min="4618" max="4618" width="3.28515625" style="1" customWidth="1"/>
    <col min="4619" max="4620" width="11.5703125" style="1" customWidth="1"/>
    <col min="4621" max="4621" width="3.28515625" style="1" customWidth="1"/>
    <col min="4622" max="4625" width="14.28515625" style="1" customWidth="1"/>
    <col min="4626" max="4626" width="5.7109375" style="1" customWidth="1"/>
    <col min="4627" max="4627" width="17.42578125" style="1" customWidth="1"/>
    <col min="4628" max="4628" width="6" style="1" customWidth="1"/>
    <col min="4629" max="4629" width="17.28515625" style="1" customWidth="1"/>
    <col min="4630" max="4630" width="5.7109375" style="1" customWidth="1"/>
    <col min="4631" max="4631" width="17.28515625" style="1" customWidth="1"/>
    <col min="4632" max="4865" width="9.140625" style="1"/>
    <col min="4866" max="4866" width="11.42578125" style="1" customWidth="1"/>
    <col min="4867" max="4868" width="12.85546875" style="1" customWidth="1"/>
    <col min="4869" max="4869" width="12.140625" style="1" customWidth="1"/>
    <col min="4870" max="4870" width="12.85546875" style="1" customWidth="1"/>
    <col min="4871" max="4871" width="15.42578125" style="1" customWidth="1"/>
    <col min="4872" max="4873" width="12.85546875" style="1" customWidth="1"/>
    <col min="4874" max="4874" width="3.28515625" style="1" customWidth="1"/>
    <col min="4875" max="4876" width="11.5703125" style="1" customWidth="1"/>
    <col min="4877" max="4877" width="3.28515625" style="1" customWidth="1"/>
    <col min="4878" max="4881" width="14.28515625" style="1" customWidth="1"/>
    <col min="4882" max="4882" width="5.7109375" style="1" customWidth="1"/>
    <col min="4883" max="4883" width="17.42578125" style="1" customWidth="1"/>
    <col min="4884" max="4884" width="6" style="1" customWidth="1"/>
    <col min="4885" max="4885" width="17.28515625" style="1" customWidth="1"/>
    <col min="4886" max="4886" width="5.7109375" style="1" customWidth="1"/>
    <col min="4887" max="4887" width="17.28515625" style="1" customWidth="1"/>
    <col min="4888" max="5121" width="9.140625" style="1"/>
    <col min="5122" max="5122" width="11.42578125" style="1" customWidth="1"/>
    <col min="5123" max="5124" width="12.85546875" style="1" customWidth="1"/>
    <col min="5125" max="5125" width="12.140625" style="1" customWidth="1"/>
    <col min="5126" max="5126" width="12.85546875" style="1" customWidth="1"/>
    <col min="5127" max="5127" width="15.42578125" style="1" customWidth="1"/>
    <col min="5128" max="5129" width="12.85546875" style="1" customWidth="1"/>
    <col min="5130" max="5130" width="3.28515625" style="1" customWidth="1"/>
    <col min="5131" max="5132" width="11.5703125" style="1" customWidth="1"/>
    <col min="5133" max="5133" width="3.28515625" style="1" customWidth="1"/>
    <col min="5134" max="5137" width="14.28515625" style="1" customWidth="1"/>
    <col min="5138" max="5138" width="5.7109375" style="1" customWidth="1"/>
    <col min="5139" max="5139" width="17.42578125" style="1" customWidth="1"/>
    <col min="5140" max="5140" width="6" style="1" customWidth="1"/>
    <col min="5141" max="5141" width="17.28515625" style="1" customWidth="1"/>
    <col min="5142" max="5142" width="5.7109375" style="1" customWidth="1"/>
    <col min="5143" max="5143" width="17.28515625" style="1" customWidth="1"/>
    <col min="5144" max="5377" width="9.140625" style="1"/>
    <col min="5378" max="5378" width="11.42578125" style="1" customWidth="1"/>
    <col min="5379" max="5380" width="12.85546875" style="1" customWidth="1"/>
    <col min="5381" max="5381" width="12.140625" style="1" customWidth="1"/>
    <col min="5382" max="5382" width="12.85546875" style="1" customWidth="1"/>
    <col min="5383" max="5383" width="15.42578125" style="1" customWidth="1"/>
    <col min="5384" max="5385" width="12.85546875" style="1" customWidth="1"/>
    <col min="5386" max="5386" width="3.28515625" style="1" customWidth="1"/>
    <col min="5387" max="5388" width="11.5703125" style="1" customWidth="1"/>
    <col min="5389" max="5389" width="3.28515625" style="1" customWidth="1"/>
    <col min="5390" max="5393" width="14.28515625" style="1" customWidth="1"/>
    <col min="5394" max="5394" width="5.7109375" style="1" customWidth="1"/>
    <col min="5395" max="5395" width="17.42578125" style="1" customWidth="1"/>
    <col min="5396" max="5396" width="6" style="1" customWidth="1"/>
    <col min="5397" max="5397" width="17.28515625" style="1" customWidth="1"/>
    <col min="5398" max="5398" width="5.7109375" style="1" customWidth="1"/>
    <col min="5399" max="5399" width="17.28515625" style="1" customWidth="1"/>
    <col min="5400" max="5633" width="9.140625" style="1"/>
    <col min="5634" max="5634" width="11.42578125" style="1" customWidth="1"/>
    <col min="5635" max="5636" width="12.85546875" style="1" customWidth="1"/>
    <col min="5637" max="5637" width="12.140625" style="1" customWidth="1"/>
    <col min="5638" max="5638" width="12.85546875" style="1" customWidth="1"/>
    <col min="5639" max="5639" width="15.42578125" style="1" customWidth="1"/>
    <col min="5640" max="5641" width="12.85546875" style="1" customWidth="1"/>
    <col min="5642" max="5642" width="3.28515625" style="1" customWidth="1"/>
    <col min="5643" max="5644" width="11.5703125" style="1" customWidth="1"/>
    <col min="5645" max="5645" width="3.28515625" style="1" customWidth="1"/>
    <col min="5646" max="5649" width="14.28515625" style="1" customWidth="1"/>
    <col min="5650" max="5650" width="5.7109375" style="1" customWidth="1"/>
    <col min="5651" max="5651" width="17.42578125" style="1" customWidth="1"/>
    <col min="5652" max="5652" width="6" style="1" customWidth="1"/>
    <col min="5653" max="5653" width="17.28515625" style="1" customWidth="1"/>
    <col min="5654" max="5654" width="5.7109375" style="1" customWidth="1"/>
    <col min="5655" max="5655" width="17.28515625" style="1" customWidth="1"/>
    <col min="5656" max="5889" width="9.140625" style="1"/>
    <col min="5890" max="5890" width="11.42578125" style="1" customWidth="1"/>
    <col min="5891" max="5892" width="12.85546875" style="1" customWidth="1"/>
    <col min="5893" max="5893" width="12.140625" style="1" customWidth="1"/>
    <col min="5894" max="5894" width="12.85546875" style="1" customWidth="1"/>
    <col min="5895" max="5895" width="15.42578125" style="1" customWidth="1"/>
    <col min="5896" max="5897" width="12.85546875" style="1" customWidth="1"/>
    <col min="5898" max="5898" width="3.28515625" style="1" customWidth="1"/>
    <col min="5899" max="5900" width="11.5703125" style="1" customWidth="1"/>
    <col min="5901" max="5901" width="3.28515625" style="1" customWidth="1"/>
    <col min="5902" max="5905" width="14.28515625" style="1" customWidth="1"/>
    <col min="5906" max="5906" width="5.7109375" style="1" customWidth="1"/>
    <col min="5907" max="5907" width="17.42578125" style="1" customWidth="1"/>
    <col min="5908" max="5908" width="6" style="1" customWidth="1"/>
    <col min="5909" max="5909" width="17.28515625" style="1" customWidth="1"/>
    <col min="5910" max="5910" width="5.7109375" style="1" customWidth="1"/>
    <col min="5911" max="5911" width="17.28515625" style="1" customWidth="1"/>
    <col min="5912" max="6145" width="9.140625" style="1"/>
    <col min="6146" max="6146" width="11.42578125" style="1" customWidth="1"/>
    <col min="6147" max="6148" width="12.85546875" style="1" customWidth="1"/>
    <col min="6149" max="6149" width="12.140625" style="1" customWidth="1"/>
    <col min="6150" max="6150" width="12.85546875" style="1" customWidth="1"/>
    <col min="6151" max="6151" width="15.42578125" style="1" customWidth="1"/>
    <col min="6152" max="6153" width="12.85546875" style="1" customWidth="1"/>
    <col min="6154" max="6154" width="3.28515625" style="1" customWidth="1"/>
    <col min="6155" max="6156" width="11.5703125" style="1" customWidth="1"/>
    <col min="6157" max="6157" width="3.28515625" style="1" customWidth="1"/>
    <col min="6158" max="6161" width="14.28515625" style="1" customWidth="1"/>
    <col min="6162" max="6162" width="5.7109375" style="1" customWidth="1"/>
    <col min="6163" max="6163" width="17.42578125" style="1" customWidth="1"/>
    <col min="6164" max="6164" width="6" style="1" customWidth="1"/>
    <col min="6165" max="6165" width="17.28515625" style="1" customWidth="1"/>
    <col min="6166" max="6166" width="5.7109375" style="1" customWidth="1"/>
    <col min="6167" max="6167" width="17.28515625" style="1" customWidth="1"/>
    <col min="6168" max="6401" width="9.140625" style="1"/>
    <col min="6402" max="6402" width="11.42578125" style="1" customWidth="1"/>
    <col min="6403" max="6404" width="12.85546875" style="1" customWidth="1"/>
    <col min="6405" max="6405" width="12.140625" style="1" customWidth="1"/>
    <col min="6406" max="6406" width="12.85546875" style="1" customWidth="1"/>
    <col min="6407" max="6407" width="15.42578125" style="1" customWidth="1"/>
    <col min="6408" max="6409" width="12.85546875" style="1" customWidth="1"/>
    <col min="6410" max="6410" width="3.28515625" style="1" customWidth="1"/>
    <col min="6411" max="6412" width="11.5703125" style="1" customWidth="1"/>
    <col min="6413" max="6413" width="3.28515625" style="1" customWidth="1"/>
    <col min="6414" max="6417" width="14.28515625" style="1" customWidth="1"/>
    <col min="6418" max="6418" width="5.7109375" style="1" customWidth="1"/>
    <col min="6419" max="6419" width="17.42578125" style="1" customWidth="1"/>
    <col min="6420" max="6420" width="6" style="1" customWidth="1"/>
    <col min="6421" max="6421" width="17.28515625" style="1" customWidth="1"/>
    <col min="6422" max="6422" width="5.7109375" style="1" customWidth="1"/>
    <col min="6423" max="6423" width="17.28515625" style="1" customWidth="1"/>
    <col min="6424" max="6657" width="9.140625" style="1"/>
    <col min="6658" max="6658" width="11.42578125" style="1" customWidth="1"/>
    <col min="6659" max="6660" width="12.85546875" style="1" customWidth="1"/>
    <col min="6661" max="6661" width="12.140625" style="1" customWidth="1"/>
    <col min="6662" max="6662" width="12.85546875" style="1" customWidth="1"/>
    <col min="6663" max="6663" width="15.42578125" style="1" customWidth="1"/>
    <col min="6664" max="6665" width="12.85546875" style="1" customWidth="1"/>
    <col min="6666" max="6666" width="3.28515625" style="1" customWidth="1"/>
    <col min="6667" max="6668" width="11.5703125" style="1" customWidth="1"/>
    <col min="6669" max="6669" width="3.28515625" style="1" customWidth="1"/>
    <col min="6670" max="6673" width="14.28515625" style="1" customWidth="1"/>
    <col min="6674" max="6674" width="5.7109375" style="1" customWidth="1"/>
    <col min="6675" max="6675" width="17.42578125" style="1" customWidth="1"/>
    <col min="6676" max="6676" width="6" style="1" customWidth="1"/>
    <col min="6677" max="6677" width="17.28515625" style="1" customWidth="1"/>
    <col min="6678" max="6678" width="5.7109375" style="1" customWidth="1"/>
    <col min="6679" max="6679" width="17.28515625" style="1" customWidth="1"/>
    <col min="6680" max="6913" width="9.140625" style="1"/>
    <col min="6914" max="6914" width="11.42578125" style="1" customWidth="1"/>
    <col min="6915" max="6916" width="12.85546875" style="1" customWidth="1"/>
    <col min="6917" max="6917" width="12.140625" style="1" customWidth="1"/>
    <col min="6918" max="6918" width="12.85546875" style="1" customWidth="1"/>
    <col min="6919" max="6919" width="15.42578125" style="1" customWidth="1"/>
    <col min="6920" max="6921" width="12.85546875" style="1" customWidth="1"/>
    <col min="6922" max="6922" width="3.28515625" style="1" customWidth="1"/>
    <col min="6923" max="6924" width="11.5703125" style="1" customWidth="1"/>
    <col min="6925" max="6925" width="3.28515625" style="1" customWidth="1"/>
    <col min="6926" max="6929" width="14.28515625" style="1" customWidth="1"/>
    <col min="6930" max="6930" width="5.7109375" style="1" customWidth="1"/>
    <col min="6931" max="6931" width="17.42578125" style="1" customWidth="1"/>
    <col min="6932" max="6932" width="6" style="1" customWidth="1"/>
    <col min="6933" max="6933" width="17.28515625" style="1" customWidth="1"/>
    <col min="6934" max="6934" width="5.7109375" style="1" customWidth="1"/>
    <col min="6935" max="6935" width="17.28515625" style="1" customWidth="1"/>
    <col min="6936" max="7169" width="9.140625" style="1"/>
    <col min="7170" max="7170" width="11.42578125" style="1" customWidth="1"/>
    <col min="7171" max="7172" width="12.85546875" style="1" customWidth="1"/>
    <col min="7173" max="7173" width="12.140625" style="1" customWidth="1"/>
    <col min="7174" max="7174" width="12.85546875" style="1" customWidth="1"/>
    <col min="7175" max="7175" width="15.42578125" style="1" customWidth="1"/>
    <col min="7176" max="7177" width="12.85546875" style="1" customWidth="1"/>
    <col min="7178" max="7178" width="3.28515625" style="1" customWidth="1"/>
    <col min="7179" max="7180" width="11.5703125" style="1" customWidth="1"/>
    <col min="7181" max="7181" width="3.28515625" style="1" customWidth="1"/>
    <col min="7182" max="7185" width="14.28515625" style="1" customWidth="1"/>
    <col min="7186" max="7186" width="5.7109375" style="1" customWidth="1"/>
    <col min="7187" max="7187" width="17.42578125" style="1" customWidth="1"/>
    <col min="7188" max="7188" width="6" style="1" customWidth="1"/>
    <col min="7189" max="7189" width="17.28515625" style="1" customWidth="1"/>
    <col min="7190" max="7190" width="5.7109375" style="1" customWidth="1"/>
    <col min="7191" max="7191" width="17.28515625" style="1" customWidth="1"/>
    <col min="7192" max="7425" width="9.140625" style="1"/>
    <col min="7426" max="7426" width="11.42578125" style="1" customWidth="1"/>
    <col min="7427" max="7428" width="12.85546875" style="1" customWidth="1"/>
    <col min="7429" max="7429" width="12.140625" style="1" customWidth="1"/>
    <col min="7430" max="7430" width="12.85546875" style="1" customWidth="1"/>
    <col min="7431" max="7431" width="15.42578125" style="1" customWidth="1"/>
    <col min="7432" max="7433" width="12.85546875" style="1" customWidth="1"/>
    <col min="7434" max="7434" width="3.28515625" style="1" customWidth="1"/>
    <col min="7435" max="7436" width="11.5703125" style="1" customWidth="1"/>
    <col min="7437" max="7437" width="3.28515625" style="1" customWidth="1"/>
    <col min="7438" max="7441" width="14.28515625" style="1" customWidth="1"/>
    <col min="7442" max="7442" width="5.7109375" style="1" customWidth="1"/>
    <col min="7443" max="7443" width="17.42578125" style="1" customWidth="1"/>
    <col min="7444" max="7444" width="6" style="1" customWidth="1"/>
    <col min="7445" max="7445" width="17.28515625" style="1" customWidth="1"/>
    <col min="7446" max="7446" width="5.7109375" style="1" customWidth="1"/>
    <col min="7447" max="7447" width="17.28515625" style="1" customWidth="1"/>
    <col min="7448" max="7681" width="9.140625" style="1"/>
    <col min="7682" max="7682" width="11.42578125" style="1" customWidth="1"/>
    <col min="7683" max="7684" width="12.85546875" style="1" customWidth="1"/>
    <col min="7685" max="7685" width="12.140625" style="1" customWidth="1"/>
    <col min="7686" max="7686" width="12.85546875" style="1" customWidth="1"/>
    <col min="7687" max="7687" width="15.42578125" style="1" customWidth="1"/>
    <col min="7688" max="7689" width="12.85546875" style="1" customWidth="1"/>
    <col min="7690" max="7690" width="3.28515625" style="1" customWidth="1"/>
    <col min="7691" max="7692" width="11.5703125" style="1" customWidth="1"/>
    <col min="7693" max="7693" width="3.28515625" style="1" customWidth="1"/>
    <col min="7694" max="7697" width="14.28515625" style="1" customWidth="1"/>
    <col min="7698" max="7698" width="5.7109375" style="1" customWidth="1"/>
    <col min="7699" max="7699" width="17.42578125" style="1" customWidth="1"/>
    <col min="7700" max="7700" width="6" style="1" customWidth="1"/>
    <col min="7701" max="7701" width="17.28515625" style="1" customWidth="1"/>
    <col min="7702" max="7702" width="5.7109375" style="1" customWidth="1"/>
    <col min="7703" max="7703" width="17.28515625" style="1" customWidth="1"/>
    <col min="7704" max="7937" width="9.140625" style="1"/>
    <col min="7938" max="7938" width="11.42578125" style="1" customWidth="1"/>
    <col min="7939" max="7940" width="12.85546875" style="1" customWidth="1"/>
    <col min="7941" max="7941" width="12.140625" style="1" customWidth="1"/>
    <col min="7942" max="7942" width="12.85546875" style="1" customWidth="1"/>
    <col min="7943" max="7943" width="15.42578125" style="1" customWidth="1"/>
    <col min="7944" max="7945" width="12.85546875" style="1" customWidth="1"/>
    <col min="7946" max="7946" width="3.28515625" style="1" customWidth="1"/>
    <col min="7947" max="7948" width="11.5703125" style="1" customWidth="1"/>
    <col min="7949" max="7949" width="3.28515625" style="1" customWidth="1"/>
    <col min="7950" max="7953" width="14.28515625" style="1" customWidth="1"/>
    <col min="7954" max="7954" width="5.7109375" style="1" customWidth="1"/>
    <col min="7955" max="7955" width="17.42578125" style="1" customWidth="1"/>
    <col min="7956" max="7956" width="6" style="1" customWidth="1"/>
    <col min="7957" max="7957" width="17.28515625" style="1" customWidth="1"/>
    <col min="7958" max="7958" width="5.7109375" style="1" customWidth="1"/>
    <col min="7959" max="7959" width="17.28515625" style="1" customWidth="1"/>
    <col min="7960" max="8193" width="9.140625" style="1"/>
    <col min="8194" max="8194" width="11.42578125" style="1" customWidth="1"/>
    <col min="8195" max="8196" width="12.85546875" style="1" customWidth="1"/>
    <col min="8197" max="8197" width="12.140625" style="1" customWidth="1"/>
    <col min="8198" max="8198" width="12.85546875" style="1" customWidth="1"/>
    <col min="8199" max="8199" width="15.42578125" style="1" customWidth="1"/>
    <col min="8200" max="8201" width="12.85546875" style="1" customWidth="1"/>
    <col min="8202" max="8202" width="3.28515625" style="1" customWidth="1"/>
    <col min="8203" max="8204" width="11.5703125" style="1" customWidth="1"/>
    <col min="8205" max="8205" width="3.28515625" style="1" customWidth="1"/>
    <col min="8206" max="8209" width="14.28515625" style="1" customWidth="1"/>
    <col min="8210" max="8210" width="5.7109375" style="1" customWidth="1"/>
    <col min="8211" max="8211" width="17.42578125" style="1" customWidth="1"/>
    <col min="8212" max="8212" width="6" style="1" customWidth="1"/>
    <col min="8213" max="8213" width="17.28515625" style="1" customWidth="1"/>
    <col min="8214" max="8214" width="5.7109375" style="1" customWidth="1"/>
    <col min="8215" max="8215" width="17.28515625" style="1" customWidth="1"/>
    <col min="8216" max="8449" width="9.140625" style="1"/>
    <col min="8450" max="8450" width="11.42578125" style="1" customWidth="1"/>
    <col min="8451" max="8452" width="12.85546875" style="1" customWidth="1"/>
    <col min="8453" max="8453" width="12.140625" style="1" customWidth="1"/>
    <col min="8454" max="8454" width="12.85546875" style="1" customWidth="1"/>
    <col min="8455" max="8455" width="15.42578125" style="1" customWidth="1"/>
    <col min="8456" max="8457" width="12.85546875" style="1" customWidth="1"/>
    <col min="8458" max="8458" width="3.28515625" style="1" customWidth="1"/>
    <col min="8459" max="8460" width="11.5703125" style="1" customWidth="1"/>
    <col min="8461" max="8461" width="3.28515625" style="1" customWidth="1"/>
    <col min="8462" max="8465" width="14.28515625" style="1" customWidth="1"/>
    <col min="8466" max="8466" width="5.7109375" style="1" customWidth="1"/>
    <col min="8467" max="8467" width="17.42578125" style="1" customWidth="1"/>
    <col min="8468" max="8468" width="6" style="1" customWidth="1"/>
    <col min="8469" max="8469" width="17.28515625" style="1" customWidth="1"/>
    <col min="8470" max="8470" width="5.7109375" style="1" customWidth="1"/>
    <col min="8471" max="8471" width="17.28515625" style="1" customWidth="1"/>
    <col min="8472" max="8705" width="9.140625" style="1"/>
    <col min="8706" max="8706" width="11.42578125" style="1" customWidth="1"/>
    <col min="8707" max="8708" width="12.85546875" style="1" customWidth="1"/>
    <col min="8709" max="8709" width="12.140625" style="1" customWidth="1"/>
    <col min="8710" max="8710" width="12.85546875" style="1" customWidth="1"/>
    <col min="8711" max="8711" width="15.42578125" style="1" customWidth="1"/>
    <col min="8712" max="8713" width="12.85546875" style="1" customWidth="1"/>
    <col min="8714" max="8714" width="3.28515625" style="1" customWidth="1"/>
    <col min="8715" max="8716" width="11.5703125" style="1" customWidth="1"/>
    <col min="8717" max="8717" width="3.28515625" style="1" customWidth="1"/>
    <col min="8718" max="8721" width="14.28515625" style="1" customWidth="1"/>
    <col min="8722" max="8722" width="5.7109375" style="1" customWidth="1"/>
    <col min="8723" max="8723" width="17.42578125" style="1" customWidth="1"/>
    <col min="8724" max="8724" width="6" style="1" customWidth="1"/>
    <col min="8725" max="8725" width="17.28515625" style="1" customWidth="1"/>
    <col min="8726" max="8726" width="5.7109375" style="1" customWidth="1"/>
    <col min="8727" max="8727" width="17.28515625" style="1" customWidth="1"/>
    <col min="8728" max="8961" width="9.140625" style="1"/>
    <col min="8962" max="8962" width="11.42578125" style="1" customWidth="1"/>
    <col min="8963" max="8964" width="12.85546875" style="1" customWidth="1"/>
    <col min="8965" max="8965" width="12.140625" style="1" customWidth="1"/>
    <col min="8966" max="8966" width="12.85546875" style="1" customWidth="1"/>
    <col min="8967" max="8967" width="15.42578125" style="1" customWidth="1"/>
    <col min="8968" max="8969" width="12.85546875" style="1" customWidth="1"/>
    <col min="8970" max="8970" width="3.28515625" style="1" customWidth="1"/>
    <col min="8971" max="8972" width="11.5703125" style="1" customWidth="1"/>
    <col min="8973" max="8973" width="3.28515625" style="1" customWidth="1"/>
    <col min="8974" max="8977" width="14.28515625" style="1" customWidth="1"/>
    <col min="8978" max="8978" width="5.7109375" style="1" customWidth="1"/>
    <col min="8979" max="8979" width="17.42578125" style="1" customWidth="1"/>
    <col min="8980" max="8980" width="6" style="1" customWidth="1"/>
    <col min="8981" max="8981" width="17.28515625" style="1" customWidth="1"/>
    <col min="8982" max="8982" width="5.7109375" style="1" customWidth="1"/>
    <col min="8983" max="8983" width="17.28515625" style="1" customWidth="1"/>
    <col min="8984" max="9217" width="9.140625" style="1"/>
    <col min="9218" max="9218" width="11.42578125" style="1" customWidth="1"/>
    <col min="9219" max="9220" width="12.85546875" style="1" customWidth="1"/>
    <col min="9221" max="9221" width="12.140625" style="1" customWidth="1"/>
    <col min="9222" max="9222" width="12.85546875" style="1" customWidth="1"/>
    <col min="9223" max="9223" width="15.42578125" style="1" customWidth="1"/>
    <col min="9224" max="9225" width="12.85546875" style="1" customWidth="1"/>
    <col min="9226" max="9226" width="3.28515625" style="1" customWidth="1"/>
    <col min="9227" max="9228" width="11.5703125" style="1" customWidth="1"/>
    <col min="9229" max="9229" width="3.28515625" style="1" customWidth="1"/>
    <col min="9230" max="9233" width="14.28515625" style="1" customWidth="1"/>
    <col min="9234" max="9234" width="5.7109375" style="1" customWidth="1"/>
    <col min="9235" max="9235" width="17.42578125" style="1" customWidth="1"/>
    <col min="9236" max="9236" width="6" style="1" customWidth="1"/>
    <col min="9237" max="9237" width="17.28515625" style="1" customWidth="1"/>
    <col min="9238" max="9238" width="5.7109375" style="1" customWidth="1"/>
    <col min="9239" max="9239" width="17.28515625" style="1" customWidth="1"/>
    <col min="9240" max="9473" width="9.140625" style="1"/>
    <col min="9474" max="9474" width="11.42578125" style="1" customWidth="1"/>
    <col min="9475" max="9476" width="12.85546875" style="1" customWidth="1"/>
    <col min="9477" max="9477" width="12.140625" style="1" customWidth="1"/>
    <col min="9478" max="9478" width="12.85546875" style="1" customWidth="1"/>
    <col min="9479" max="9479" width="15.42578125" style="1" customWidth="1"/>
    <col min="9480" max="9481" width="12.85546875" style="1" customWidth="1"/>
    <col min="9482" max="9482" width="3.28515625" style="1" customWidth="1"/>
    <col min="9483" max="9484" width="11.5703125" style="1" customWidth="1"/>
    <col min="9485" max="9485" width="3.28515625" style="1" customWidth="1"/>
    <col min="9486" max="9489" width="14.28515625" style="1" customWidth="1"/>
    <col min="9490" max="9490" width="5.7109375" style="1" customWidth="1"/>
    <col min="9491" max="9491" width="17.42578125" style="1" customWidth="1"/>
    <col min="9492" max="9492" width="6" style="1" customWidth="1"/>
    <col min="9493" max="9493" width="17.28515625" style="1" customWidth="1"/>
    <col min="9494" max="9494" width="5.7109375" style="1" customWidth="1"/>
    <col min="9495" max="9495" width="17.28515625" style="1" customWidth="1"/>
    <col min="9496" max="9729" width="9.140625" style="1"/>
    <col min="9730" max="9730" width="11.42578125" style="1" customWidth="1"/>
    <col min="9731" max="9732" width="12.85546875" style="1" customWidth="1"/>
    <col min="9733" max="9733" width="12.140625" style="1" customWidth="1"/>
    <col min="9734" max="9734" width="12.85546875" style="1" customWidth="1"/>
    <col min="9735" max="9735" width="15.42578125" style="1" customWidth="1"/>
    <col min="9736" max="9737" width="12.85546875" style="1" customWidth="1"/>
    <col min="9738" max="9738" width="3.28515625" style="1" customWidth="1"/>
    <col min="9739" max="9740" width="11.5703125" style="1" customWidth="1"/>
    <col min="9741" max="9741" width="3.28515625" style="1" customWidth="1"/>
    <col min="9742" max="9745" width="14.28515625" style="1" customWidth="1"/>
    <col min="9746" max="9746" width="5.7109375" style="1" customWidth="1"/>
    <col min="9747" max="9747" width="17.42578125" style="1" customWidth="1"/>
    <col min="9748" max="9748" width="6" style="1" customWidth="1"/>
    <col min="9749" max="9749" width="17.28515625" style="1" customWidth="1"/>
    <col min="9750" max="9750" width="5.7109375" style="1" customWidth="1"/>
    <col min="9751" max="9751" width="17.28515625" style="1" customWidth="1"/>
    <col min="9752" max="9985" width="9.140625" style="1"/>
    <col min="9986" max="9986" width="11.42578125" style="1" customWidth="1"/>
    <col min="9987" max="9988" width="12.85546875" style="1" customWidth="1"/>
    <col min="9989" max="9989" width="12.140625" style="1" customWidth="1"/>
    <col min="9990" max="9990" width="12.85546875" style="1" customWidth="1"/>
    <col min="9991" max="9991" width="15.42578125" style="1" customWidth="1"/>
    <col min="9992" max="9993" width="12.85546875" style="1" customWidth="1"/>
    <col min="9994" max="9994" width="3.28515625" style="1" customWidth="1"/>
    <col min="9995" max="9996" width="11.5703125" style="1" customWidth="1"/>
    <col min="9997" max="9997" width="3.28515625" style="1" customWidth="1"/>
    <col min="9998" max="10001" width="14.28515625" style="1" customWidth="1"/>
    <col min="10002" max="10002" width="5.7109375" style="1" customWidth="1"/>
    <col min="10003" max="10003" width="17.42578125" style="1" customWidth="1"/>
    <col min="10004" max="10004" width="6" style="1" customWidth="1"/>
    <col min="10005" max="10005" width="17.28515625" style="1" customWidth="1"/>
    <col min="10006" max="10006" width="5.7109375" style="1" customWidth="1"/>
    <col min="10007" max="10007" width="17.28515625" style="1" customWidth="1"/>
    <col min="10008" max="10241" width="9.140625" style="1"/>
    <col min="10242" max="10242" width="11.42578125" style="1" customWidth="1"/>
    <col min="10243" max="10244" width="12.85546875" style="1" customWidth="1"/>
    <col min="10245" max="10245" width="12.140625" style="1" customWidth="1"/>
    <col min="10246" max="10246" width="12.85546875" style="1" customWidth="1"/>
    <col min="10247" max="10247" width="15.42578125" style="1" customWidth="1"/>
    <col min="10248" max="10249" width="12.85546875" style="1" customWidth="1"/>
    <col min="10250" max="10250" width="3.28515625" style="1" customWidth="1"/>
    <col min="10251" max="10252" width="11.5703125" style="1" customWidth="1"/>
    <col min="10253" max="10253" width="3.28515625" style="1" customWidth="1"/>
    <col min="10254" max="10257" width="14.28515625" style="1" customWidth="1"/>
    <col min="10258" max="10258" width="5.7109375" style="1" customWidth="1"/>
    <col min="10259" max="10259" width="17.42578125" style="1" customWidth="1"/>
    <col min="10260" max="10260" width="6" style="1" customWidth="1"/>
    <col min="10261" max="10261" width="17.28515625" style="1" customWidth="1"/>
    <col min="10262" max="10262" width="5.7109375" style="1" customWidth="1"/>
    <col min="10263" max="10263" width="17.28515625" style="1" customWidth="1"/>
    <col min="10264" max="10497" width="9.140625" style="1"/>
    <col min="10498" max="10498" width="11.42578125" style="1" customWidth="1"/>
    <col min="10499" max="10500" width="12.85546875" style="1" customWidth="1"/>
    <col min="10501" max="10501" width="12.140625" style="1" customWidth="1"/>
    <col min="10502" max="10502" width="12.85546875" style="1" customWidth="1"/>
    <col min="10503" max="10503" width="15.42578125" style="1" customWidth="1"/>
    <col min="10504" max="10505" width="12.85546875" style="1" customWidth="1"/>
    <col min="10506" max="10506" width="3.28515625" style="1" customWidth="1"/>
    <col min="10507" max="10508" width="11.5703125" style="1" customWidth="1"/>
    <col min="10509" max="10509" width="3.28515625" style="1" customWidth="1"/>
    <col min="10510" max="10513" width="14.28515625" style="1" customWidth="1"/>
    <col min="10514" max="10514" width="5.7109375" style="1" customWidth="1"/>
    <col min="10515" max="10515" width="17.42578125" style="1" customWidth="1"/>
    <col min="10516" max="10516" width="6" style="1" customWidth="1"/>
    <col min="10517" max="10517" width="17.28515625" style="1" customWidth="1"/>
    <col min="10518" max="10518" width="5.7109375" style="1" customWidth="1"/>
    <col min="10519" max="10519" width="17.28515625" style="1" customWidth="1"/>
    <col min="10520" max="10753" width="9.140625" style="1"/>
    <col min="10754" max="10754" width="11.42578125" style="1" customWidth="1"/>
    <col min="10755" max="10756" width="12.85546875" style="1" customWidth="1"/>
    <col min="10757" max="10757" width="12.140625" style="1" customWidth="1"/>
    <col min="10758" max="10758" width="12.85546875" style="1" customWidth="1"/>
    <col min="10759" max="10759" width="15.42578125" style="1" customWidth="1"/>
    <col min="10760" max="10761" width="12.85546875" style="1" customWidth="1"/>
    <col min="10762" max="10762" width="3.28515625" style="1" customWidth="1"/>
    <col min="10763" max="10764" width="11.5703125" style="1" customWidth="1"/>
    <col min="10765" max="10765" width="3.28515625" style="1" customWidth="1"/>
    <col min="10766" max="10769" width="14.28515625" style="1" customWidth="1"/>
    <col min="10770" max="10770" width="5.7109375" style="1" customWidth="1"/>
    <col min="10771" max="10771" width="17.42578125" style="1" customWidth="1"/>
    <col min="10772" max="10772" width="6" style="1" customWidth="1"/>
    <col min="10773" max="10773" width="17.28515625" style="1" customWidth="1"/>
    <col min="10774" max="10774" width="5.7109375" style="1" customWidth="1"/>
    <col min="10775" max="10775" width="17.28515625" style="1" customWidth="1"/>
    <col min="10776" max="11009" width="9.140625" style="1"/>
    <col min="11010" max="11010" width="11.42578125" style="1" customWidth="1"/>
    <col min="11011" max="11012" width="12.85546875" style="1" customWidth="1"/>
    <col min="11013" max="11013" width="12.140625" style="1" customWidth="1"/>
    <col min="11014" max="11014" width="12.85546875" style="1" customWidth="1"/>
    <col min="11015" max="11015" width="15.42578125" style="1" customWidth="1"/>
    <col min="11016" max="11017" width="12.85546875" style="1" customWidth="1"/>
    <col min="11018" max="11018" width="3.28515625" style="1" customWidth="1"/>
    <col min="11019" max="11020" width="11.5703125" style="1" customWidth="1"/>
    <col min="11021" max="11021" width="3.28515625" style="1" customWidth="1"/>
    <col min="11022" max="11025" width="14.28515625" style="1" customWidth="1"/>
    <col min="11026" max="11026" width="5.7109375" style="1" customWidth="1"/>
    <col min="11027" max="11027" width="17.42578125" style="1" customWidth="1"/>
    <col min="11028" max="11028" width="6" style="1" customWidth="1"/>
    <col min="11029" max="11029" width="17.28515625" style="1" customWidth="1"/>
    <col min="11030" max="11030" width="5.7109375" style="1" customWidth="1"/>
    <col min="11031" max="11031" width="17.28515625" style="1" customWidth="1"/>
    <col min="11032" max="11265" width="9.140625" style="1"/>
    <col min="11266" max="11266" width="11.42578125" style="1" customWidth="1"/>
    <col min="11267" max="11268" width="12.85546875" style="1" customWidth="1"/>
    <col min="11269" max="11269" width="12.140625" style="1" customWidth="1"/>
    <col min="11270" max="11270" width="12.85546875" style="1" customWidth="1"/>
    <col min="11271" max="11271" width="15.42578125" style="1" customWidth="1"/>
    <col min="11272" max="11273" width="12.85546875" style="1" customWidth="1"/>
    <col min="11274" max="11274" width="3.28515625" style="1" customWidth="1"/>
    <col min="11275" max="11276" width="11.5703125" style="1" customWidth="1"/>
    <col min="11277" max="11277" width="3.28515625" style="1" customWidth="1"/>
    <col min="11278" max="11281" width="14.28515625" style="1" customWidth="1"/>
    <col min="11282" max="11282" width="5.7109375" style="1" customWidth="1"/>
    <col min="11283" max="11283" width="17.42578125" style="1" customWidth="1"/>
    <col min="11284" max="11284" width="6" style="1" customWidth="1"/>
    <col min="11285" max="11285" width="17.28515625" style="1" customWidth="1"/>
    <col min="11286" max="11286" width="5.7109375" style="1" customWidth="1"/>
    <col min="11287" max="11287" width="17.28515625" style="1" customWidth="1"/>
    <col min="11288" max="11521" width="9.140625" style="1"/>
    <col min="11522" max="11522" width="11.42578125" style="1" customWidth="1"/>
    <col min="11523" max="11524" width="12.85546875" style="1" customWidth="1"/>
    <col min="11525" max="11525" width="12.140625" style="1" customWidth="1"/>
    <col min="11526" max="11526" width="12.85546875" style="1" customWidth="1"/>
    <col min="11527" max="11527" width="15.42578125" style="1" customWidth="1"/>
    <col min="11528" max="11529" width="12.85546875" style="1" customWidth="1"/>
    <col min="11530" max="11530" width="3.28515625" style="1" customWidth="1"/>
    <col min="11531" max="11532" width="11.5703125" style="1" customWidth="1"/>
    <col min="11533" max="11533" width="3.28515625" style="1" customWidth="1"/>
    <col min="11534" max="11537" width="14.28515625" style="1" customWidth="1"/>
    <col min="11538" max="11538" width="5.7109375" style="1" customWidth="1"/>
    <col min="11539" max="11539" width="17.42578125" style="1" customWidth="1"/>
    <col min="11540" max="11540" width="6" style="1" customWidth="1"/>
    <col min="11541" max="11541" width="17.28515625" style="1" customWidth="1"/>
    <col min="11542" max="11542" width="5.7109375" style="1" customWidth="1"/>
    <col min="11543" max="11543" width="17.28515625" style="1" customWidth="1"/>
    <col min="11544" max="11777" width="9.140625" style="1"/>
    <col min="11778" max="11778" width="11.42578125" style="1" customWidth="1"/>
    <col min="11779" max="11780" width="12.85546875" style="1" customWidth="1"/>
    <col min="11781" max="11781" width="12.140625" style="1" customWidth="1"/>
    <col min="11782" max="11782" width="12.85546875" style="1" customWidth="1"/>
    <col min="11783" max="11783" width="15.42578125" style="1" customWidth="1"/>
    <col min="11784" max="11785" width="12.85546875" style="1" customWidth="1"/>
    <col min="11786" max="11786" width="3.28515625" style="1" customWidth="1"/>
    <col min="11787" max="11788" width="11.5703125" style="1" customWidth="1"/>
    <col min="11789" max="11789" width="3.28515625" style="1" customWidth="1"/>
    <col min="11790" max="11793" width="14.28515625" style="1" customWidth="1"/>
    <col min="11794" max="11794" width="5.7109375" style="1" customWidth="1"/>
    <col min="11795" max="11795" width="17.42578125" style="1" customWidth="1"/>
    <col min="11796" max="11796" width="6" style="1" customWidth="1"/>
    <col min="11797" max="11797" width="17.28515625" style="1" customWidth="1"/>
    <col min="11798" max="11798" width="5.7109375" style="1" customWidth="1"/>
    <col min="11799" max="11799" width="17.28515625" style="1" customWidth="1"/>
    <col min="11800" max="12033" width="9.140625" style="1"/>
    <col min="12034" max="12034" width="11.42578125" style="1" customWidth="1"/>
    <col min="12035" max="12036" width="12.85546875" style="1" customWidth="1"/>
    <col min="12037" max="12037" width="12.140625" style="1" customWidth="1"/>
    <col min="12038" max="12038" width="12.85546875" style="1" customWidth="1"/>
    <col min="12039" max="12039" width="15.42578125" style="1" customWidth="1"/>
    <col min="12040" max="12041" width="12.85546875" style="1" customWidth="1"/>
    <col min="12042" max="12042" width="3.28515625" style="1" customWidth="1"/>
    <col min="12043" max="12044" width="11.5703125" style="1" customWidth="1"/>
    <col min="12045" max="12045" width="3.28515625" style="1" customWidth="1"/>
    <col min="12046" max="12049" width="14.28515625" style="1" customWidth="1"/>
    <col min="12050" max="12050" width="5.7109375" style="1" customWidth="1"/>
    <col min="12051" max="12051" width="17.42578125" style="1" customWidth="1"/>
    <col min="12052" max="12052" width="6" style="1" customWidth="1"/>
    <col min="12053" max="12053" width="17.28515625" style="1" customWidth="1"/>
    <col min="12054" max="12054" width="5.7109375" style="1" customWidth="1"/>
    <col min="12055" max="12055" width="17.28515625" style="1" customWidth="1"/>
    <col min="12056" max="12289" width="9.140625" style="1"/>
    <col min="12290" max="12290" width="11.42578125" style="1" customWidth="1"/>
    <col min="12291" max="12292" width="12.85546875" style="1" customWidth="1"/>
    <col min="12293" max="12293" width="12.140625" style="1" customWidth="1"/>
    <col min="12294" max="12294" width="12.85546875" style="1" customWidth="1"/>
    <col min="12295" max="12295" width="15.42578125" style="1" customWidth="1"/>
    <col min="12296" max="12297" width="12.85546875" style="1" customWidth="1"/>
    <col min="12298" max="12298" width="3.28515625" style="1" customWidth="1"/>
    <col min="12299" max="12300" width="11.5703125" style="1" customWidth="1"/>
    <col min="12301" max="12301" width="3.28515625" style="1" customWidth="1"/>
    <col min="12302" max="12305" width="14.28515625" style="1" customWidth="1"/>
    <col min="12306" max="12306" width="5.7109375" style="1" customWidth="1"/>
    <col min="12307" max="12307" width="17.42578125" style="1" customWidth="1"/>
    <col min="12308" max="12308" width="6" style="1" customWidth="1"/>
    <col min="12309" max="12309" width="17.28515625" style="1" customWidth="1"/>
    <col min="12310" max="12310" width="5.7109375" style="1" customWidth="1"/>
    <col min="12311" max="12311" width="17.28515625" style="1" customWidth="1"/>
    <col min="12312" max="12545" width="9.140625" style="1"/>
    <col min="12546" max="12546" width="11.42578125" style="1" customWidth="1"/>
    <col min="12547" max="12548" width="12.85546875" style="1" customWidth="1"/>
    <col min="12549" max="12549" width="12.140625" style="1" customWidth="1"/>
    <col min="12550" max="12550" width="12.85546875" style="1" customWidth="1"/>
    <col min="12551" max="12551" width="15.42578125" style="1" customWidth="1"/>
    <col min="12552" max="12553" width="12.85546875" style="1" customWidth="1"/>
    <col min="12554" max="12554" width="3.28515625" style="1" customWidth="1"/>
    <col min="12555" max="12556" width="11.5703125" style="1" customWidth="1"/>
    <col min="12557" max="12557" width="3.28515625" style="1" customWidth="1"/>
    <col min="12558" max="12561" width="14.28515625" style="1" customWidth="1"/>
    <col min="12562" max="12562" width="5.7109375" style="1" customWidth="1"/>
    <col min="12563" max="12563" width="17.42578125" style="1" customWidth="1"/>
    <col min="12564" max="12564" width="6" style="1" customWidth="1"/>
    <col min="12565" max="12565" width="17.28515625" style="1" customWidth="1"/>
    <col min="12566" max="12566" width="5.7109375" style="1" customWidth="1"/>
    <col min="12567" max="12567" width="17.28515625" style="1" customWidth="1"/>
    <col min="12568" max="12801" width="9.140625" style="1"/>
    <col min="12802" max="12802" width="11.42578125" style="1" customWidth="1"/>
    <col min="12803" max="12804" width="12.85546875" style="1" customWidth="1"/>
    <col min="12805" max="12805" width="12.140625" style="1" customWidth="1"/>
    <col min="12806" max="12806" width="12.85546875" style="1" customWidth="1"/>
    <col min="12807" max="12807" width="15.42578125" style="1" customWidth="1"/>
    <col min="12808" max="12809" width="12.85546875" style="1" customWidth="1"/>
    <col min="12810" max="12810" width="3.28515625" style="1" customWidth="1"/>
    <col min="12811" max="12812" width="11.5703125" style="1" customWidth="1"/>
    <col min="12813" max="12813" width="3.28515625" style="1" customWidth="1"/>
    <col min="12814" max="12817" width="14.28515625" style="1" customWidth="1"/>
    <col min="12818" max="12818" width="5.7109375" style="1" customWidth="1"/>
    <col min="12819" max="12819" width="17.42578125" style="1" customWidth="1"/>
    <col min="12820" max="12820" width="6" style="1" customWidth="1"/>
    <col min="12821" max="12821" width="17.28515625" style="1" customWidth="1"/>
    <col min="12822" max="12822" width="5.7109375" style="1" customWidth="1"/>
    <col min="12823" max="12823" width="17.28515625" style="1" customWidth="1"/>
    <col min="12824" max="13057" width="9.140625" style="1"/>
    <col min="13058" max="13058" width="11.42578125" style="1" customWidth="1"/>
    <col min="13059" max="13060" width="12.85546875" style="1" customWidth="1"/>
    <col min="13061" max="13061" width="12.140625" style="1" customWidth="1"/>
    <col min="13062" max="13062" width="12.85546875" style="1" customWidth="1"/>
    <col min="13063" max="13063" width="15.42578125" style="1" customWidth="1"/>
    <col min="13064" max="13065" width="12.85546875" style="1" customWidth="1"/>
    <col min="13066" max="13066" width="3.28515625" style="1" customWidth="1"/>
    <col min="13067" max="13068" width="11.5703125" style="1" customWidth="1"/>
    <col min="13069" max="13069" width="3.28515625" style="1" customWidth="1"/>
    <col min="13070" max="13073" width="14.28515625" style="1" customWidth="1"/>
    <col min="13074" max="13074" width="5.7109375" style="1" customWidth="1"/>
    <col min="13075" max="13075" width="17.42578125" style="1" customWidth="1"/>
    <col min="13076" max="13076" width="6" style="1" customWidth="1"/>
    <col min="13077" max="13077" width="17.28515625" style="1" customWidth="1"/>
    <col min="13078" max="13078" width="5.7109375" style="1" customWidth="1"/>
    <col min="13079" max="13079" width="17.28515625" style="1" customWidth="1"/>
    <col min="13080" max="13313" width="9.140625" style="1"/>
    <col min="13314" max="13314" width="11.42578125" style="1" customWidth="1"/>
    <col min="13315" max="13316" width="12.85546875" style="1" customWidth="1"/>
    <col min="13317" max="13317" width="12.140625" style="1" customWidth="1"/>
    <col min="13318" max="13318" width="12.85546875" style="1" customWidth="1"/>
    <col min="13319" max="13319" width="15.42578125" style="1" customWidth="1"/>
    <col min="13320" max="13321" width="12.85546875" style="1" customWidth="1"/>
    <col min="13322" max="13322" width="3.28515625" style="1" customWidth="1"/>
    <col min="13323" max="13324" width="11.5703125" style="1" customWidth="1"/>
    <col min="13325" max="13325" width="3.28515625" style="1" customWidth="1"/>
    <col min="13326" max="13329" width="14.28515625" style="1" customWidth="1"/>
    <col min="13330" max="13330" width="5.7109375" style="1" customWidth="1"/>
    <col min="13331" max="13331" width="17.42578125" style="1" customWidth="1"/>
    <col min="13332" max="13332" width="6" style="1" customWidth="1"/>
    <col min="13333" max="13333" width="17.28515625" style="1" customWidth="1"/>
    <col min="13334" max="13334" width="5.7109375" style="1" customWidth="1"/>
    <col min="13335" max="13335" width="17.28515625" style="1" customWidth="1"/>
    <col min="13336" max="13569" width="9.140625" style="1"/>
    <col min="13570" max="13570" width="11.42578125" style="1" customWidth="1"/>
    <col min="13571" max="13572" width="12.85546875" style="1" customWidth="1"/>
    <col min="13573" max="13573" width="12.140625" style="1" customWidth="1"/>
    <col min="13574" max="13574" width="12.85546875" style="1" customWidth="1"/>
    <col min="13575" max="13575" width="15.42578125" style="1" customWidth="1"/>
    <col min="13576" max="13577" width="12.85546875" style="1" customWidth="1"/>
    <col min="13578" max="13578" width="3.28515625" style="1" customWidth="1"/>
    <col min="13579" max="13580" width="11.5703125" style="1" customWidth="1"/>
    <col min="13581" max="13581" width="3.28515625" style="1" customWidth="1"/>
    <col min="13582" max="13585" width="14.28515625" style="1" customWidth="1"/>
    <col min="13586" max="13586" width="5.7109375" style="1" customWidth="1"/>
    <col min="13587" max="13587" width="17.42578125" style="1" customWidth="1"/>
    <col min="13588" max="13588" width="6" style="1" customWidth="1"/>
    <col min="13589" max="13589" width="17.28515625" style="1" customWidth="1"/>
    <col min="13590" max="13590" width="5.7109375" style="1" customWidth="1"/>
    <col min="13591" max="13591" width="17.28515625" style="1" customWidth="1"/>
    <col min="13592" max="13825" width="9.140625" style="1"/>
    <col min="13826" max="13826" width="11.42578125" style="1" customWidth="1"/>
    <col min="13827" max="13828" width="12.85546875" style="1" customWidth="1"/>
    <col min="13829" max="13829" width="12.140625" style="1" customWidth="1"/>
    <col min="13830" max="13830" width="12.85546875" style="1" customWidth="1"/>
    <col min="13831" max="13831" width="15.42578125" style="1" customWidth="1"/>
    <col min="13832" max="13833" width="12.85546875" style="1" customWidth="1"/>
    <col min="13834" max="13834" width="3.28515625" style="1" customWidth="1"/>
    <col min="13835" max="13836" width="11.5703125" style="1" customWidth="1"/>
    <col min="13837" max="13837" width="3.28515625" style="1" customWidth="1"/>
    <col min="13838" max="13841" width="14.28515625" style="1" customWidth="1"/>
    <col min="13842" max="13842" width="5.7109375" style="1" customWidth="1"/>
    <col min="13843" max="13843" width="17.42578125" style="1" customWidth="1"/>
    <col min="13844" max="13844" width="6" style="1" customWidth="1"/>
    <col min="13845" max="13845" width="17.28515625" style="1" customWidth="1"/>
    <col min="13846" max="13846" width="5.7109375" style="1" customWidth="1"/>
    <col min="13847" max="13847" width="17.28515625" style="1" customWidth="1"/>
    <col min="13848" max="14081" width="9.140625" style="1"/>
    <col min="14082" max="14082" width="11.42578125" style="1" customWidth="1"/>
    <col min="14083" max="14084" width="12.85546875" style="1" customWidth="1"/>
    <col min="14085" max="14085" width="12.140625" style="1" customWidth="1"/>
    <col min="14086" max="14086" width="12.85546875" style="1" customWidth="1"/>
    <col min="14087" max="14087" width="15.42578125" style="1" customWidth="1"/>
    <col min="14088" max="14089" width="12.85546875" style="1" customWidth="1"/>
    <col min="14090" max="14090" width="3.28515625" style="1" customWidth="1"/>
    <col min="14091" max="14092" width="11.5703125" style="1" customWidth="1"/>
    <col min="14093" max="14093" width="3.28515625" style="1" customWidth="1"/>
    <col min="14094" max="14097" width="14.28515625" style="1" customWidth="1"/>
    <col min="14098" max="14098" width="5.7109375" style="1" customWidth="1"/>
    <col min="14099" max="14099" width="17.42578125" style="1" customWidth="1"/>
    <col min="14100" max="14100" width="6" style="1" customWidth="1"/>
    <col min="14101" max="14101" width="17.28515625" style="1" customWidth="1"/>
    <col min="14102" max="14102" width="5.7109375" style="1" customWidth="1"/>
    <col min="14103" max="14103" width="17.28515625" style="1" customWidth="1"/>
    <col min="14104" max="14337" width="9.140625" style="1"/>
    <col min="14338" max="14338" width="11.42578125" style="1" customWidth="1"/>
    <col min="14339" max="14340" width="12.85546875" style="1" customWidth="1"/>
    <col min="14341" max="14341" width="12.140625" style="1" customWidth="1"/>
    <col min="14342" max="14342" width="12.85546875" style="1" customWidth="1"/>
    <col min="14343" max="14343" width="15.42578125" style="1" customWidth="1"/>
    <col min="14344" max="14345" width="12.85546875" style="1" customWidth="1"/>
    <col min="14346" max="14346" width="3.28515625" style="1" customWidth="1"/>
    <col min="14347" max="14348" width="11.5703125" style="1" customWidth="1"/>
    <col min="14349" max="14349" width="3.28515625" style="1" customWidth="1"/>
    <col min="14350" max="14353" width="14.28515625" style="1" customWidth="1"/>
    <col min="14354" max="14354" width="5.7109375" style="1" customWidth="1"/>
    <col min="14355" max="14355" width="17.42578125" style="1" customWidth="1"/>
    <col min="14356" max="14356" width="6" style="1" customWidth="1"/>
    <col min="14357" max="14357" width="17.28515625" style="1" customWidth="1"/>
    <col min="14358" max="14358" width="5.7109375" style="1" customWidth="1"/>
    <col min="14359" max="14359" width="17.28515625" style="1" customWidth="1"/>
    <col min="14360" max="14593" width="9.140625" style="1"/>
    <col min="14594" max="14594" width="11.42578125" style="1" customWidth="1"/>
    <col min="14595" max="14596" width="12.85546875" style="1" customWidth="1"/>
    <col min="14597" max="14597" width="12.140625" style="1" customWidth="1"/>
    <col min="14598" max="14598" width="12.85546875" style="1" customWidth="1"/>
    <col min="14599" max="14599" width="15.42578125" style="1" customWidth="1"/>
    <col min="14600" max="14601" width="12.85546875" style="1" customWidth="1"/>
    <col min="14602" max="14602" width="3.28515625" style="1" customWidth="1"/>
    <col min="14603" max="14604" width="11.5703125" style="1" customWidth="1"/>
    <col min="14605" max="14605" width="3.28515625" style="1" customWidth="1"/>
    <col min="14606" max="14609" width="14.28515625" style="1" customWidth="1"/>
    <col min="14610" max="14610" width="5.7109375" style="1" customWidth="1"/>
    <col min="14611" max="14611" width="17.42578125" style="1" customWidth="1"/>
    <col min="14612" max="14612" width="6" style="1" customWidth="1"/>
    <col min="14613" max="14613" width="17.28515625" style="1" customWidth="1"/>
    <col min="14614" max="14614" width="5.7109375" style="1" customWidth="1"/>
    <col min="14615" max="14615" width="17.28515625" style="1" customWidth="1"/>
    <col min="14616" max="14849" width="9.140625" style="1"/>
    <col min="14850" max="14850" width="11.42578125" style="1" customWidth="1"/>
    <col min="14851" max="14852" width="12.85546875" style="1" customWidth="1"/>
    <col min="14853" max="14853" width="12.140625" style="1" customWidth="1"/>
    <col min="14854" max="14854" width="12.85546875" style="1" customWidth="1"/>
    <col min="14855" max="14855" width="15.42578125" style="1" customWidth="1"/>
    <col min="14856" max="14857" width="12.85546875" style="1" customWidth="1"/>
    <col min="14858" max="14858" width="3.28515625" style="1" customWidth="1"/>
    <col min="14859" max="14860" width="11.5703125" style="1" customWidth="1"/>
    <col min="14861" max="14861" width="3.28515625" style="1" customWidth="1"/>
    <col min="14862" max="14865" width="14.28515625" style="1" customWidth="1"/>
    <col min="14866" max="14866" width="5.7109375" style="1" customWidth="1"/>
    <col min="14867" max="14867" width="17.42578125" style="1" customWidth="1"/>
    <col min="14868" max="14868" width="6" style="1" customWidth="1"/>
    <col min="14869" max="14869" width="17.28515625" style="1" customWidth="1"/>
    <col min="14870" max="14870" width="5.7109375" style="1" customWidth="1"/>
    <col min="14871" max="14871" width="17.28515625" style="1" customWidth="1"/>
    <col min="14872" max="15105" width="9.140625" style="1"/>
    <col min="15106" max="15106" width="11.42578125" style="1" customWidth="1"/>
    <col min="15107" max="15108" width="12.85546875" style="1" customWidth="1"/>
    <col min="15109" max="15109" width="12.140625" style="1" customWidth="1"/>
    <col min="15110" max="15110" width="12.85546875" style="1" customWidth="1"/>
    <col min="15111" max="15111" width="15.42578125" style="1" customWidth="1"/>
    <col min="15112" max="15113" width="12.85546875" style="1" customWidth="1"/>
    <col min="15114" max="15114" width="3.28515625" style="1" customWidth="1"/>
    <col min="15115" max="15116" width="11.5703125" style="1" customWidth="1"/>
    <col min="15117" max="15117" width="3.28515625" style="1" customWidth="1"/>
    <col min="15118" max="15121" width="14.28515625" style="1" customWidth="1"/>
    <col min="15122" max="15122" width="5.7109375" style="1" customWidth="1"/>
    <col min="15123" max="15123" width="17.42578125" style="1" customWidth="1"/>
    <col min="15124" max="15124" width="6" style="1" customWidth="1"/>
    <col min="15125" max="15125" width="17.28515625" style="1" customWidth="1"/>
    <col min="15126" max="15126" width="5.7109375" style="1" customWidth="1"/>
    <col min="15127" max="15127" width="17.28515625" style="1" customWidth="1"/>
    <col min="15128" max="15361" width="9.140625" style="1"/>
    <col min="15362" max="15362" width="11.42578125" style="1" customWidth="1"/>
    <col min="15363" max="15364" width="12.85546875" style="1" customWidth="1"/>
    <col min="15365" max="15365" width="12.140625" style="1" customWidth="1"/>
    <col min="15366" max="15366" width="12.85546875" style="1" customWidth="1"/>
    <col min="15367" max="15367" width="15.42578125" style="1" customWidth="1"/>
    <col min="15368" max="15369" width="12.85546875" style="1" customWidth="1"/>
    <col min="15370" max="15370" width="3.28515625" style="1" customWidth="1"/>
    <col min="15371" max="15372" width="11.5703125" style="1" customWidth="1"/>
    <col min="15373" max="15373" width="3.28515625" style="1" customWidth="1"/>
    <col min="15374" max="15377" width="14.28515625" style="1" customWidth="1"/>
    <col min="15378" max="15378" width="5.7109375" style="1" customWidth="1"/>
    <col min="15379" max="15379" width="17.42578125" style="1" customWidth="1"/>
    <col min="15380" max="15380" width="6" style="1" customWidth="1"/>
    <col min="15381" max="15381" width="17.28515625" style="1" customWidth="1"/>
    <col min="15382" max="15382" width="5.7109375" style="1" customWidth="1"/>
    <col min="15383" max="15383" width="17.28515625" style="1" customWidth="1"/>
    <col min="15384" max="15617" width="9.140625" style="1"/>
    <col min="15618" max="15618" width="11.42578125" style="1" customWidth="1"/>
    <col min="15619" max="15620" width="12.85546875" style="1" customWidth="1"/>
    <col min="15621" max="15621" width="12.140625" style="1" customWidth="1"/>
    <col min="15622" max="15622" width="12.85546875" style="1" customWidth="1"/>
    <col min="15623" max="15623" width="15.42578125" style="1" customWidth="1"/>
    <col min="15624" max="15625" width="12.85546875" style="1" customWidth="1"/>
    <col min="15626" max="15626" width="3.28515625" style="1" customWidth="1"/>
    <col min="15627" max="15628" width="11.5703125" style="1" customWidth="1"/>
    <col min="15629" max="15629" width="3.28515625" style="1" customWidth="1"/>
    <col min="15630" max="15633" width="14.28515625" style="1" customWidth="1"/>
    <col min="15634" max="15634" width="5.7109375" style="1" customWidth="1"/>
    <col min="15635" max="15635" width="17.42578125" style="1" customWidth="1"/>
    <col min="15636" max="15636" width="6" style="1" customWidth="1"/>
    <col min="15637" max="15637" width="17.28515625" style="1" customWidth="1"/>
    <col min="15638" max="15638" width="5.7109375" style="1" customWidth="1"/>
    <col min="15639" max="15639" width="17.28515625" style="1" customWidth="1"/>
    <col min="15640" max="15873" width="9.140625" style="1"/>
    <col min="15874" max="15874" width="11.42578125" style="1" customWidth="1"/>
    <col min="15875" max="15876" width="12.85546875" style="1" customWidth="1"/>
    <col min="15877" max="15877" width="12.140625" style="1" customWidth="1"/>
    <col min="15878" max="15878" width="12.85546875" style="1" customWidth="1"/>
    <col min="15879" max="15879" width="15.42578125" style="1" customWidth="1"/>
    <col min="15880" max="15881" width="12.85546875" style="1" customWidth="1"/>
    <col min="15882" max="15882" width="3.28515625" style="1" customWidth="1"/>
    <col min="15883" max="15884" width="11.5703125" style="1" customWidth="1"/>
    <col min="15885" max="15885" width="3.28515625" style="1" customWidth="1"/>
    <col min="15886" max="15889" width="14.28515625" style="1" customWidth="1"/>
    <col min="15890" max="15890" width="5.7109375" style="1" customWidth="1"/>
    <col min="15891" max="15891" width="17.42578125" style="1" customWidth="1"/>
    <col min="15892" max="15892" width="6" style="1" customWidth="1"/>
    <col min="15893" max="15893" width="17.28515625" style="1" customWidth="1"/>
    <col min="15894" max="15894" width="5.7109375" style="1" customWidth="1"/>
    <col min="15895" max="15895" width="17.28515625" style="1" customWidth="1"/>
    <col min="15896" max="16129" width="9.140625" style="1"/>
    <col min="16130" max="16130" width="11.42578125" style="1" customWidth="1"/>
    <col min="16131" max="16132" width="12.85546875" style="1" customWidth="1"/>
    <col min="16133" max="16133" width="12.140625" style="1" customWidth="1"/>
    <col min="16134" max="16134" width="12.85546875" style="1" customWidth="1"/>
    <col min="16135" max="16135" width="15.42578125" style="1" customWidth="1"/>
    <col min="16136" max="16137" width="12.85546875" style="1" customWidth="1"/>
    <col min="16138" max="16138" width="3.28515625" style="1" customWidth="1"/>
    <col min="16139" max="16140" width="11.5703125" style="1" customWidth="1"/>
    <col min="16141" max="16141" width="3.28515625" style="1" customWidth="1"/>
    <col min="16142" max="16145" width="14.28515625" style="1" customWidth="1"/>
    <col min="16146" max="16146" width="5.7109375" style="1" customWidth="1"/>
    <col min="16147" max="16147" width="17.42578125" style="1" customWidth="1"/>
    <col min="16148" max="16148" width="6" style="1" customWidth="1"/>
    <col min="16149" max="16149" width="17.28515625" style="1" customWidth="1"/>
    <col min="16150" max="16150" width="5.7109375" style="1" customWidth="1"/>
    <col min="16151" max="16151" width="17.28515625" style="1" customWidth="1"/>
    <col min="16152" max="16384" width="9.140625" style="1"/>
  </cols>
  <sheetData>
    <row r="1" spans="1:25" customFormat="1" ht="37.5" customHeight="1" x14ac:dyDescent="0.2">
      <c r="A1" s="1628" t="s">
        <v>378</v>
      </c>
      <c r="B1" s="1628"/>
      <c r="C1" s="1628"/>
      <c r="D1" s="1628"/>
      <c r="E1" s="1628"/>
      <c r="F1" s="1628"/>
      <c r="G1" s="1628"/>
      <c r="H1" s="1628"/>
      <c r="I1" s="1628"/>
      <c r="J1" s="1628"/>
      <c r="K1" s="1628"/>
      <c r="L1" s="1628"/>
      <c r="M1" s="1628"/>
      <c r="N1" s="1628"/>
      <c r="O1" s="1628"/>
      <c r="P1" s="1628"/>
    </row>
    <row r="2" spans="1:25" ht="13.5" customHeight="1" x14ac:dyDescent="0.2">
      <c r="B2" s="1622"/>
      <c r="C2" s="1622"/>
      <c r="D2" s="1622"/>
      <c r="E2" s="1622"/>
      <c r="F2" s="1622"/>
      <c r="G2" s="1622"/>
      <c r="H2" s="1622"/>
      <c r="Y2" s="1287"/>
    </row>
    <row r="3" spans="1:25" s="101" customFormat="1" ht="27.75" customHeight="1" x14ac:dyDescent="0.2">
      <c r="A3" s="1629" t="s">
        <v>4</v>
      </c>
      <c r="B3" s="1623" t="s">
        <v>21</v>
      </c>
      <c r="C3" s="1624"/>
      <c r="D3" s="1624"/>
      <c r="E3" s="1624"/>
      <c r="F3" s="1624"/>
      <c r="G3" s="1620" t="s">
        <v>115</v>
      </c>
      <c r="H3" s="1620" t="s">
        <v>157</v>
      </c>
      <c r="I3" s="1620" t="s">
        <v>212</v>
      </c>
      <c r="K3" s="1625" t="s">
        <v>149</v>
      </c>
      <c r="L3" s="1626"/>
      <c r="M3" s="452"/>
      <c r="N3" s="1623" t="s">
        <v>116</v>
      </c>
      <c r="O3" s="1624"/>
      <c r="P3" s="1624"/>
      <c r="Q3" s="1627"/>
      <c r="R3" s="451" t="s">
        <v>395</v>
      </c>
      <c r="S3" s="838"/>
      <c r="U3" s="1620" t="s">
        <v>396</v>
      </c>
      <c r="W3" s="1620" t="s">
        <v>604</v>
      </c>
    </row>
    <row r="4" spans="1:25" ht="33.75" customHeight="1" x14ac:dyDescent="0.2">
      <c r="A4" s="1630"/>
      <c r="B4" s="839" t="s">
        <v>5</v>
      </c>
      <c r="C4" s="1248" t="s">
        <v>6</v>
      </c>
      <c r="D4" s="1248" t="s">
        <v>7</v>
      </c>
      <c r="E4" s="1249" t="s">
        <v>8</v>
      </c>
      <c r="F4" s="1249" t="s">
        <v>11</v>
      </c>
      <c r="G4" s="1621"/>
      <c r="H4" s="1621"/>
      <c r="I4" s="1631"/>
      <c r="J4" s="938"/>
      <c r="K4" s="779" t="s">
        <v>99</v>
      </c>
      <c r="L4" s="779" t="s">
        <v>150</v>
      </c>
      <c r="M4" s="136"/>
      <c r="N4" s="839" t="s">
        <v>151</v>
      </c>
      <c r="O4" s="1248" t="s">
        <v>152</v>
      </c>
      <c r="P4" s="1249" t="s">
        <v>153</v>
      </c>
      <c r="Q4" s="451" t="s">
        <v>11</v>
      </c>
      <c r="R4" s="451" t="s">
        <v>0</v>
      </c>
      <c r="S4" s="451" t="s">
        <v>167</v>
      </c>
      <c r="T4" s="136"/>
      <c r="U4" s="1621"/>
      <c r="V4"/>
      <c r="W4" s="1621"/>
    </row>
    <row r="5" spans="1:25" ht="18.75" customHeight="1" x14ac:dyDescent="0.2">
      <c r="A5" s="916">
        <v>1990</v>
      </c>
      <c r="B5" s="917">
        <v>9811</v>
      </c>
      <c r="C5" s="918">
        <v>4404</v>
      </c>
      <c r="D5" s="918">
        <v>4030</v>
      </c>
      <c r="E5" s="919">
        <v>1299</v>
      </c>
      <c r="F5" s="1250">
        <f>SUM(B5:E5)</f>
        <v>19544</v>
      </c>
      <c r="G5" s="920">
        <v>23023</v>
      </c>
      <c r="H5" s="1036">
        <v>7400</v>
      </c>
      <c r="I5" s="921">
        <f>SUM(F5:H5)</f>
        <v>49967</v>
      </c>
      <c r="J5" s="939"/>
      <c r="K5" s="920">
        <v>115</v>
      </c>
      <c r="L5" s="920">
        <v>1831</v>
      </c>
      <c r="M5" s="940"/>
      <c r="N5" s="842"/>
      <c r="O5" s="843"/>
      <c r="P5" s="844"/>
      <c r="Q5" s="922">
        <v>40600</v>
      </c>
      <c r="R5" s="850"/>
      <c r="S5" s="1255"/>
      <c r="T5" s="136"/>
      <c r="U5" s="848"/>
      <c r="V5"/>
      <c r="W5" s="848"/>
    </row>
    <row r="6" spans="1:25" ht="13.5" customHeight="1" x14ac:dyDescent="0.2">
      <c r="A6" s="840">
        <v>1991</v>
      </c>
      <c r="B6" s="454">
        <v>9799</v>
      </c>
      <c r="C6" s="455">
        <v>4461</v>
      </c>
      <c r="D6" s="455">
        <v>5338</v>
      </c>
      <c r="E6" s="456">
        <v>1310</v>
      </c>
      <c r="F6" s="1251">
        <f t="shared" ref="F6:F29" si="0">SUM(B6:E6)</f>
        <v>20908</v>
      </c>
      <c r="G6" s="457">
        <v>27517</v>
      </c>
      <c r="H6" s="460">
        <v>8700</v>
      </c>
      <c r="I6" s="9">
        <f t="shared" ref="I6:I29" si="1">SUM(F6:H6)</f>
        <v>57125</v>
      </c>
      <c r="J6" s="939"/>
      <c r="K6" s="457">
        <v>137</v>
      </c>
      <c r="L6" s="457">
        <v>1942</v>
      </c>
      <c r="M6" s="937"/>
      <c r="N6" s="845"/>
      <c r="O6" s="846"/>
      <c r="P6" s="847"/>
      <c r="Q6" s="459">
        <v>47000</v>
      </c>
      <c r="R6" s="851"/>
      <c r="S6" s="851"/>
      <c r="T6" s="936"/>
      <c r="U6" s="849"/>
      <c r="V6" s="385"/>
      <c r="W6" s="849"/>
    </row>
    <row r="7" spans="1:25" ht="13.5" customHeight="1" x14ac:dyDescent="0.2">
      <c r="A7" s="923">
        <v>1992</v>
      </c>
      <c r="B7" s="924">
        <v>9612</v>
      </c>
      <c r="C7" s="925">
        <v>4313</v>
      </c>
      <c r="D7" s="925">
        <v>5766</v>
      </c>
      <c r="E7" s="926">
        <v>1232</v>
      </c>
      <c r="F7" s="1252">
        <f t="shared" si="0"/>
        <v>20923</v>
      </c>
      <c r="G7" s="927">
        <v>23444</v>
      </c>
      <c r="H7" s="934">
        <v>7800</v>
      </c>
      <c r="I7" s="978">
        <f t="shared" si="1"/>
        <v>52167</v>
      </c>
      <c r="J7" s="939"/>
      <c r="K7" s="927">
        <v>102</v>
      </c>
      <c r="L7" s="927">
        <v>1881</v>
      </c>
      <c r="M7" s="937"/>
      <c r="N7" s="845"/>
      <c r="O7" s="846"/>
      <c r="P7" s="847"/>
      <c r="Q7" s="929">
        <v>52800</v>
      </c>
      <c r="R7" s="851"/>
      <c r="S7" s="851"/>
      <c r="T7" s="936"/>
      <c r="U7" s="849"/>
      <c r="V7" s="385"/>
      <c r="W7" s="849"/>
    </row>
    <row r="8" spans="1:25" ht="13.5" customHeight="1" x14ac:dyDescent="0.2">
      <c r="A8" s="840">
        <v>1993</v>
      </c>
      <c r="B8" s="454">
        <v>9786</v>
      </c>
      <c r="C8" s="455">
        <v>4270</v>
      </c>
      <c r="D8" s="455">
        <v>5280</v>
      </c>
      <c r="E8" s="456">
        <v>1202</v>
      </c>
      <c r="F8" s="1251">
        <f t="shared" si="0"/>
        <v>20538</v>
      </c>
      <c r="G8" s="457">
        <v>27707</v>
      </c>
      <c r="H8" s="460">
        <v>7900</v>
      </c>
      <c r="I8" s="9">
        <f t="shared" si="1"/>
        <v>56145</v>
      </c>
      <c r="J8" s="939"/>
      <c r="K8" s="457">
        <v>127</v>
      </c>
      <c r="L8" s="457">
        <v>1908</v>
      </c>
      <c r="M8" s="937"/>
      <c r="N8" s="845"/>
      <c r="O8" s="846"/>
      <c r="P8" s="847"/>
      <c r="Q8" s="459">
        <v>52220</v>
      </c>
      <c r="R8" s="851"/>
      <c r="S8" s="851"/>
      <c r="T8" s="936"/>
      <c r="U8" s="849"/>
      <c r="V8" s="385"/>
      <c r="W8" s="849"/>
    </row>
    <row r="9" spans="1:25" ht="13.5" customHeight="1" x14ac:dyDescent="0.2">
      <c r="A9" s="1038" t="s">
        <v>605</v>
      </c>
      <c r="B9" s="930">
        <v>9139</v>
      </c>
      <c r="C9" s="931">
        <v>4098</v>
      </c>
      <c r="D9" s="931">
        <v>4496</v>
      </c>
      <c r="E9" s="931">
        <v>1088</v>
      </c>
      <c r="F9" s="1253">
        <f t="shared" si="0"/>
        <v>18821</v>
      </c>
      <c r="G9" s="1040"/>
      <c r="H9" s="1040"/>
      <c r="I9" s="1041"/>
      <c r="J9" s="939"/>
      <c r="K9" s="932">
        <v>84</v>
      </c>
      <c r="L9" s="1039">
        <v>1895</v>
      </c>
      <c r="M9" s="937"/>
      <c r="N9" s="1047"/>
      <c r="O9" s="1048"/>
      <c r="P9" s="1048"/>
      <c r="Q9" s="1042"/>
      <c r="R9" s="851"/>
      <c r="S9" s="851"/>
      <c r="T9" s="936"/>
      <c r="U9" s="849"/>
      <c r="V9" s="385"/>
      <c r="W9" s="849"/>
    </row>
    <row r="10" spans="1:25" ht="13.5" customHeight="1" x14ac:dyDescent="0.2">
      <c r="A10" s="841" t="s">
        <v>119</v>
      </c>
      <c r="B10" s="454">
        <v>9313</v>
      </c>
      <c r="C10" s="455">
        <v>4377</v>
      </c>
      <c r="D10" s="455">
        <v>4858</v>
      </c>
      <c r="E10" s="456">
        <v>1303</v>
      </c>
      <c r="F10" s="1251">
        <f t="shared" si="0"/>
        <v>19851</v>
      </c>
      <c r="G10" s="1050">
        <v>39933</v>
      </c>
      <c r="H10" s="1050">
        <v>6057</v>
      </c>
      <c r="I10" s="458">
        <f t="shared" si="1"/>
        <v>65841</v>
      </c>
      <c r="J10" s="939"/>
      <c r="K10" s="457">
        <v>90</v>
      </c>
      <c r="L10" s="457">
        <v>1880</v>
      </c>
      <c r="M10" s="937"/>
      <c r="N10" s="1045">
        <v>9613</v>
      </c>
      <c r="O10" s="1046">
        <v>14742</v>
      </c>
      <c r="P10" s="1046">
        <v>26587</v>
      </c>
      <c r="Q10" s="1043">
        <f>SUM(N10:P10)</f>
        <v>50942</v>
      </c>
      <c r="R10" s="851"/>
      <c r="S10" s="851"/>
      <c r="T10" s="937"/>
      <c r="U10" s="849"/>
      <c r="V10" s="385"/>
      <c r="W10" s="849"/>
    </row>
    <row r="11" spans="1:25" ht="13.5" customHeight="1" x14ac:dyDescent="0.2">
      <c r="A11" s="933" t="s">
        <v>120</v>
      </c>
      <c r="B11" s="924">
        <v>9461</v>
      </c>
      <c r="C11" s="925">
        <v>4193</v>
      </c>
      <c r="D11" s="925">
        <v>4691</v>
      </c>
      <c r="E11" s="926">
        <v>1044</v>
      </c>
      <c r="F11" s="1252">
        <f t="shared" si="0"/>
        <v>19389</v>
      </c>
      <c r="G11" s="927">
        <v>32303</v>
      </c>
      <c r="H11" s="927">
        <v>5416</v>
      </c>
      <c r="I11" s="928">
        <f t="shared" si="1"/>
        <v>57108</v>
      </c>
      <c r="J11" s="939"/>
      <c r="K11" s="927">
        <v>101</v>
      </c>
      <c r="L11" s="927">
        <v>2097</v>
      </c>
      <c r="M11" s="937"/>
      <c r="N11" s="934">
        <v>9092</v>
      </c>
      <c r="O11" s="935">
        <v>23407</v>
      </c>
      <c r="P11" s="935">
        <v>16763</v>
      </c>
      <c r="Q11" s="1044">
        <f t="shared" ref="Q11:Q32" si="2">SUM(N11:P11)</f>
        <v>49262</v>
      </c>
      <c r="R11" s="851"/>
      <c r="S11" s="851"/>
      <c r="T11" s="937"/>
      <c r="U11" s="849"/>
      <c r="V11" s="385"/>
      <c r="W11" s="849"/>
    </row>
    <row r="12" spans="1:25" ht="13.5" customHeight="1" x14ac:dyDescent="0.2">
      <c r="A12" s="841" t="s">
        <v>121</v>
      </c>
      <c r="B12" s="454">
        <v>9282</v>
      </c>
      <c r="C12" s="455">
        <v>3908</v>
      </c>
      <c r="D12" s="455">
        <v>4625</v>
      </c>
      <c r="E12" s="456">
        <v>970</v>
      </c>
      <c r="F12" s="1251">
        <f t="shared" si="0"/>
        <v>18785</v>
      </c>
      <c r="G12" s="457">
        <v>27347</v>
      </c>
      <c r="H12" s="457">
        <v>4279</v>
      </c>
      <c r="I12" s="458">
        <f t="shared" si="1"/>
        <v>50411</v>
      </c>
      <c r="J12" s="939"/>
      <c r="K12" s="457">
        <v>89</v>
      </c>
      <c r="L12" s="457">
        <v>2118</v>
      </c>
      <c r="M12" s="937"/>
      <c r="N12" s="460">
        <v>8106</v>
      </c>
      <c r="O12" s="453">
        <v>25048</v>
      </c>
      <c r="P12" s="453">
        <v>15496</v>
      </c>
      <c r="Q12" s="1043">
        <f t="shared" si="2"/>
        <v>48650</v>
      </c>
      <c r="R12" s="851"/>
      <c r="S12" s="851"/>
      <c r="T12" s="937"/>
      <c r="U12" s="849"/>
      <c r="V12" s="385"/>
      <c r="W12" s="849"/>
    </row>
    <row r="13" spans="1:25" ht="13.5" customHeight="1" x14ac:dyDescent="0.2">
      <c r="A13" s="933" t="s">
        <v>122</v>
      </c>
      <c r="B13" s="924">
        <v>9222</v>
      </c>
      <c r="C13" s="925">
        <v>3946</v>
      </c>
      <c r="D13" s="925">
        <v>5352</v>
      </c>
      <c r="E13" s="926">
        <v>819</v>
      </c>
      <c r="F13" s="1252">
        <f t="shared" si="0"/>
        <v>19339</v>
      </c>
      <c r="G13" s="927">
        <v>23329</v>
      </c>
      <c r="H13" s="927">
        <v>3863</v>
      </c>
      <c r="I13" s="928">
        <f t="shared" si="1"/>
        <v>46531</v>
      </c>
      <c r="J13" s="939"/>
      <c r="K13" s="927">
        <v>98</v>
      </c>
      <c r="L13" s="927">
        <v>2171</v>
      </c>
      <c r="M13" s="937"/>
      <c r="N13" s="934">
        <v>7601</v>
      </c>
      <c r="O13" s="935">
        <v>27283</v>
      </c>
      <c r="P13" s="935">
        <v>13299</v>
      </c>
      <c r="Q13" s="1044">
        <f t="shared" si="2"/>
        <v>48183</v>
      </c>
      <c r="R13" s="851"/>
      <c r="S13" s="851"/>
      <c r="T13" s="937"/>
      <c r="U13" s="849"/>
      <c r="V13" s="385"/>
      <c r="W13" s="849"/>
    </row>
    <row r="14" spans="1:25" ht="13.5" customHeight="1" x14ac:dyDescent="0.2">
      <c r="A14" s="841" t="s">
        <v>123</v>
      </c>
      <c r="B14" s="454">
        <v>9316</v>
      </c>
      <c r="C14" s="455">
        <v>4122</v>
      </c>
      <c r="D14" s="455">
        <v>6078</v>
      </c>
      <c r="E14" s="456">
        <v>1161</v>
      </c>
      <c r="F14" s="1251">
        <f t="shared" si="0"/>
        <v>20677</v>
      </c>
      <c r="G14" s="457">
        <v>29414</v>
      </c>
      <c r="H14" s="457">
        <v>3249</v>
      </c>
      <c r="I14" s="458">
        <f t="shared" si="1"/>
        <v>53340</v>
      </c>
      <c r="J14" s="939"/>
      <c r="K14" s="457">
        <v>111</v>
      </c>
      <c r="L14" s="457">
        <v>2366</v>
      </c>
      <c r="M14" s="937"/>
      <c r="N14" s="460">
        <v>8022</v>
      </c>
      <c r="O14" s="453">
        <v>30160</v>
      </c>
      <c r="P14" s="453">
        <v>13643</v>
      </c>
      <c r="Q14" s="1043">
        <f t="shared" si="2"/>
        <v>51825</v>
      </c>
      <c r="R14" s="851"/>
      <c r="S14" s="851"/>
      <c r="T14" s="937"/>
      <c r="U14" s="849"/>
      <c r="V14" s="385"/>
      <c r="W14" s="849"/>
    </row>
    <row r="15" spans="1:25" ht="13.5" customHeight="1" x14ac:dyDescent="0.2">
      <c r="A15" s="933" t="s">
        <v>124</v>
      </c>
      <c r="B15" s="924">
        <v>9257</v>
      </c>
      <c r="C15" s="925">
        <v>3835</v>
      </c>
      <c r="D15" s="925">
        <v>5983</v>
      </c>
      <c r="E15" s="926">
        <v>895</v>
      </c>
      <c r="F15" s="1252">
        <f t="shared" si="0"/>
        <v>19970</v>
      </c>
      <c r="G15" s="927">
        <v>32615</v>
      </c>
      <c r="H15" s="927">
        <v>3485</v>
      </c>
      <c r="I15" s="928">
        <f t="shared" si="1"/>
        <v>56070</v>
      </c>
      <c r="J15" s="939"/>
      <c r="K15" s="927">
        <v>74</v>
      </c>
      <c r="L15" s="927">
        <v>2245</v>
      </c>
      <c r="M15" s="937"/>
      <c r="N15" s="934">
        <v>7965</v>
      </c>
      <c r="O15" s="935">
        <v>30132</v>
      </c>
      <c r="P15" s="935">
        <v>14043</v>
      </c>
      <c r="Q15" s="1044">
        <f t="shared" si="2"/>
        <v>52140</v>
      </c>
      <c r="R15" s="851"/>
      <c r="S15" s="851"/>
      <c r="T15" s="937"/>
      <c r="U15" s="849"/>
      <c r="V15" s="385"/>
      <c r="W15" s="849"/>
    </row>
    <row r="16" spans="1:25" ht="13.5" customHeight="1" x14ac:dyDescent="0.2">
      <c r="A16" s="841" t="s">
        <v>125</v>
      </c>
      <c r="B16" s="454">
        <v>8895</v>
      </c>
      <c r="C16" s="455">
        <v>3893</v>
      </c>
      <c r="D16" s="455">
        <v>5651</v>
      </c>
      <c r="E16" s="456">
        <v>1260</v>
      </c>
      <c r="F16" s="1251">
        <f t="shared" si="0"/>
        <v>19699</v>
      </c>
      <c r="G16" s="457">
        <v>35459</v>
      </c>
      <c r="H16" s="457">
        <v>2761</v>
      </c>
      <c r="I16" s="458">
        <f t="shared" si="1"/>
        <v>57919</v>
      </c>
      <c r="J16" s="939"/>
      <c r="K16" s="457">
        <v>87</v>
      </c>
      <c r="L16" s="457">
        <v>2026</v>
      </c>
      <c r="M16" s="937"/>
      <c r="N16" s="460">
        <v>8153</v>
      </c>
      <c r="O16" s="453">
        <v>30972</v>
      </c>
      <c r="P16" s="453">
        <v>14681</v>
      </c>
      <c r="Q16" s="1043">
        <f t="shared" si="2"/>
        <v>53806</v>
      </c>
      <c r="R16" s="851"/>
      <c r="S16" s="851"/>
      <c r="T16" s="937"/>
      <c r="U16" s="849"/>
      <c r="V16" s="385"/>
      <c r="W16" s="849"/>
    </row>
    <row r="17" spans="1:32" ht="13.5" customHeight="1" x14ac:dyDescent="0.2">
      <c r="A17" s="933" t="s">
        <v>606</v>
      </c>
      <c r="B17" s="924">
        <v>7875</v>
      </c>
      <c r="C17" s="925">
        <v>3669</v>
      </c>
      <c r="D17" s="925">
        <v>5401</v>
      </c>
      <c r="E17" s="926">
        <v>1262</v>
      </c>
      <c r="F17" s="1252">
        <f t="shared" si="0"/>
        <v>18207</v>
      </c>
      <c r="G17" s="927">
        <v>34723</v>
      </c>
      <c r="H17" s="927">
        <v>2396</v>
      </c>
      <c r="I17" s="928">
        <f t="shared" si="1"/>
        <v>55326</v>
      </c>
      <c r="J17" s="939"/>
      <c r="K17" s="927">
        <v>80</v>
      </c>
      <c r="L17" s="927">
        <v>1876</v>
      </c>
      <c r="M17" s="937"/>
      <c r="N17" s="934">
        <v>7407</v>
      </c>
      <c r="O17" s="935">
        <v>29807</v>
      </c>
      <c r="P17" s="935">
        <v>14889</v>
      </c>
      <c r="Q17" s="1044">
        <f t="shared" si="2"/>
        <v>52103</v>
      </c>
      <c r="R17" s="851"/>
      <c r="S17" s="851"/>
      <c r="T17" s="937"/>
      <c r="U17" s="849"/>
      <c r="V17" s="385"/>
      <c r="W17" s="849"/>
    </row>
    <row r="18" spans="1:32" ht="13.5" customHeight="1" x14ac:dyDescent="0.2">
      <c r="A18" s="841" t="s">
        <v>114</v>
      </c>
      <c r="B18" s="454">
        <v>8131</v>
      </c>
      <c r="C18" s="455">
        <v>3445</v>
      </c>
      <c r="D18" s="455">
        <v>4921</v>
      </c>
      <c r="E18" s="456">
        <v>1191</v>
      </c>
      <c r="F18" s="1251">
        <f t="shared" si="0"/>
        <v>17688</v>
      </c>
      <c r="G18" s="457">
        <v>42181</v>
      </c>
      <c r="H18" s="457">
        <v>1893</v>
      </c>
      <c r="I18" s="458">
        <f t="shared" si="1"/>
        <v>61762</v>
      </c>
      <c r="J18" s="939"/>
      <c r="K18" s="457">
        <v>89</v>
      </c>
      <c r="L18" s="457">
        <v>1951</v>
      </c>
      <c r="M18" s="937"/>
      <c r="N18" s="460">
        <v>6877</v>
      </c>
      <c r="O18" s="453">
        <v>30886</v>
      </c>
      <c r="P18" s="453">
        <v>15193</v>
      </c>
      <c r="Q18" s="1043">
        <f t="shared" si="2"/>
        <v>52956</v>
      </c>
      <c r="R18" s="851"/>
      <c r="S18" s="851"/>
      <c r="T18" s="937"/>
      <c r="U18" s="849"/>
      <c r="V18" s="385"/>
      <c r="W18" s="849"/>
    </row>
    <row r="19" spans="1:32" ht="13.5" customHeight="1" x14ac:dyDescent="0.2">
      <c r="A19" s="933" t="s">
        <v>9</v>
      </c>
      <c r="B19" s="924">
        <v>7048</v>
      </c>
      <c r="C19" s="925">
        <v>3134</v>
      </c>
      <c r="D19" s="925">
        <v>4002</v>
      </c>
      <c r="E19" s="926">
        <v>966</v>
      </c>
      <c r="F19" s="1252">
        <f t="shared" si="0"/>
        <v>15150</v>
      </c>
      <c r="G19" s="927">
        <v>27547</v>
      </c>
      <c r="H19" s="927">
        <v>1474</v>
      </c>
      <c r="I19" s="928">
        <f t="shared" si="1"/>
        <v>44171</v>
      </c>
      <c r="J19" s="939"/>
      <c r="K19" s="927">
        <v>85</v>
      </c>
      <c r="L19" s="927">
        <v>1730</v>
      </c>
      <c r="M19" s="937"/>
      <c r="N19" s="934">
        <v>6050</v>
      </c>
      <c r="O19" s="935">
        <v>33471</v>
      </c>
      <c r="P19" s="935">
        <v>14321</v>
      </c>
      <c r="Q19" s="1044">
        <f t="shared" si="2"/>
        <v>53842</v>
      </c>
      <c r="R19" s="851"/>
      <c r="S19" s="851"/>
      <c r="T19" s="937"/>
      <c r="U19" s="849"/>
      <c r="V19" s="385"/>
      <c r="W19" s="849"/>
    </row>
    <row r="20" spans="1:32" ht="13.5" customHeight="1" x14ac:dyDescent="0.2">
      <c r="A20" s="841" t="s">
        <v>12</v>
      </c>
      <c r="B20" s="454">
        <v>7061</v>
      </c>
      <c r="C20" s="455">
        <v>3258</v>
      </c>
      <c r="D20" s="455">
        <v>3868</v>
      </c>
      <c r="E20" s="456">
        <v>938</v>
      </c>
      <c r="F20" s="1251">
        <f t="shared" si="0"/>
        <v>15125</v>
      </c>
      <c r="G20" s="457">
        <v>31554</v>
      </c>
      <c r="H20" s="457">
        <v>1696</v>
      </c>
      <c r="I20" s="458">
        <f t="shared" si="1"/>
        <v>48375</v>
      </c>
      <c r="J20" s="939"/>
      <c r="K20" s="457">
        <v>60</v>
      </c>
      <c r="L20" s="457">
        <v>1692</v>
      </c>
      <c r="M20" s="937"/>
      <c r="N20" s="460">
        <v>5629</v>
      </c>
      <c r="O20" s="453">
        <v>32678</v>
      </c>
      <c r="P20" s="453">
        <v>14900</v>
      </c>
      <c r="Q20" s="1043">
        <f t="shared" si="2"/>
        <v>53207</v>
      </c>
      <c r="R20" s="851"/>
      <c r="S20" s="851"/>
      <c r="T20" s="937"/>
      <c r="U20" s="849"/>
      <c r="V20" s="385"/>
      <c r="W20" s="849"/>
      <c r="Y20"/>
      <c r="Z20"/>
      <c r="AA20"/>
      <c r="AB20"/>
      <c r="AC20"/>
      <c r="AD20"/>
      <c r="AE20"/>
      <c r="AF20"/>
    </row>
    <row r="21" spans="1:32" ht="13.5" customHeight="1" x14ac:dyDescent="0.2">
      <c r="A21" s="933" t="s">
        <v>14</v>
      </c>
      <c r="B21" s="924">
        <v>6963</v>
      </c>
      <c r="C21" s="925">
        <v>2887</v>
      </c>
      <c r="D21" s="925">
        <v>3856</v>
      </c>
      <c r="E21" s="926">
        <v>1052</v>
      </c>
      <c r="F21" s="1252">
        <f t="shared" si="0"/>
        <v>14758</v>
      </c>
      <c r="G21" s="927">
        <v>32397</v>
      </c>
      <c r="H21" s="927">
        <v>1430</v>
      </c>
      <c r="I21" s="928">
        <f t="shared" si="1"/>
        <v>48585</v>
      </c>
      <c r="J21" s="939"/>
      <c r="K21" s="927">
        <v>46</v>
      </c>
      <c r="L21" s="927">
        <v>1673</v>
      </c>
      <c r="M21" s="937"/>
      <c r="N21" s="934">
        <v>5255</v>
      </c>
      <c r="O21" s="935">
        <v>33858</v>
      </c>
      <c r="P21" s="935">
        <v>15168</v>
      </c>
      <c r="Q21" s="1044">
        <f t="shared" si="2"/>
        <v>54281</v>
      </c>
      <c r="R21" s="851"/>
      <c r="S21" s="851"/>
      <c r="T21" s="937"/>
      <c r="U21" s="849"/>
      <c r="V21" s="385"/>
      <c r="W21" s="849"/>
      <c r="Y21"/>
      <c r="Z21"/>
      <c r="AA21"/>
      <c r="AB21"/>
      <c r="AC21"/>
      <c r="AD21"/>
      <c r="AE21"/>
      <c r="AF21"/>
    </row>
    <row r="22" spans="1:32" ht="13.5" customHeight="1" x14ac:dyDescent="0.2">
      <c r="A22" s="841" t="s">
        <v>16</v>
      </c>
      <c r="B22" s="454">
        <v>6666</v>
      </c>
      <c r="C22" s="455">
        <v>2922</v>
      </c>
      <c r="D22" s="455">
        <v>3064</v>
      </c>
      <c r="E22" s="456">
        <v>966</v>
      </c>
      <c r="F22" s="1251">
        <f t="shared" si="0"/>
        <v>13618</v>
      </c>
      <c r="G22" s="457">
        <v>30385</v>
      </c>
      <c r="H22" s="457">
        <v>1633</v>
      </c>
      <c r="I22" s="458">
        <f t="shared" si="1"/>
        <v>45636</v>
      </c>
      <c r="J22" s="939"/>
      <c r="K22" s="457">
        <v>72</v>
      </c>
      <c r="L22" s="457">
        <v>1719</v>
      </c>
      <c r="M22" s="937"/>
      <c r="N22" s="460">
        <v>4783</v>
      </c>
      <c r="O22" s="453">
        <v>35056</v>
      </c>
      <c r="P22" s="453">
        <v>14594</v>
      </c>
      <c r="Q22" s="1043">
        <f t="shared" si="2"/>
        <v>54433</v>
      </c>
      <c r="R22" s="851"/>
      <c r="S22" s="851"/>
      <c r="T22" s="937"/>
      <c r="U22" s="849"/>
      <c r="V22" s="385"/>
      <c r="W22" s="849"/>
      <c r="Y22"/>
      <c r="Z22"/>
      <c r="AA22"/>
      <c r="AB22"/>
      <c r="AC22"/>
      <c r="AD22"/>
      <c r="AE22"/>
      <c r="AF22"/>
    </row>
    <row r="23" spans="1:32" ht="13.5" customHeight="1" thickBot="1" x14ac:dyDescent="0.25">
      <c r="A23" s="933" t="s">
        <v>18</v>
      </c>
      <c r="B23" s="924">
        <v>6705</v>
      </c>
      <c r="C23" s="925">
        <v>2630</v>
      </c>
      <c r="D23" s="925">
        <v>2931</v>
      </c>
      <c r="E23" s="926">
        <v>908</v>
      </c>
      <c r="F23" s="1252">
        <f t="shared" si="0"/>
        <v>13174</v>
      </c>
      <c r="G23" s="927">
        <v>25651</v>
      </c>
      <c r="H23" s="927">
        <v>1745</v>
      </c>
      <c r="I23" s="928">
        <f t="shared" si="1"/>
        <v>40570</v>
      </c>
      <c r="J23" s="939"/>
      <c r="K23" s="927">
        <v>64</v>
      </c>
      <c r="L23" s="1355">
        <v>1648</v>
      </c>
      <c r="M23" s="937"/>
      <c r="N23" s="934">
        <v>3895</v>
      </c>
      <c r="O23" s="935">
        <v>37063</v>
      </c>
      <c r="P23" s="935">
        <v>12277</v>
      </c>
      <c r="Q23" s="1044">
        <f t="shared" si="2"/>
        <v>53235</v>
      </c>
      <c r="R23" s="851"/>
      <c r="S23" s="851"/>
      <c r="T23" s="937"/>
      <c r="U23" s="849"/>
      <c r="V23" s="385"/>
      <c r="W23" s="1049"/>
      <c r="Y23"/>
      <c r="Z23"/>
      <c r="AA23"/>
      <c r="AB23"/>
      <c r="AC23"/>
      <c r="AD23"/>
      <c r="AE23"/>
      <c r="AF23"/>
    </row>
    <row r="24" spans="1:32" ht="13.5" customHeight="1" x14ac:dyDescent="0.2">
      <c r="A24" s="841" t="s">
        <v>19</v>
      </c>
      <c r="B24" s="454">
        <v>6573</v>
      </c>
      <c r="C24" s="455">
        <v>3008</v>
      </c>
      <c r="D24" s="455">
        <v>2992</v>
      </c>
      <c r="E24" s="456">
        <v>1445</v>
      </c>
      <c r="F24" s="1251">
        <f t="shared" si="0"/>
        <v>14018</v>
      </c>
      <c r="G24" s="457">
        <v>22981</v>
      </c>
      <c r="H24" s="457">
        <v>1738</v>
      </c>
      <c r="I24" s="458">
        <f t="shared" si="1"/>
        <v>38737</v>
      </c>
      <c r="J24" s="939"/>
      <c r="K24" s="457">
        <v>62</v>
      </c>
      <c r="L24" s="457">
        <v>1214</v>
      </c>
      <c r="M24" s="937"/>
      <c r="N24" s="460">
        <v>2935</v>
      </c>
      <c r="O24" s="453">
        <v>36277</v>
      </c>
      <c r="P24" s="453">
        <v>12836</v>
      </c>
      <c r="Q24" s="1043">
        <f t="shared" si="2"/>
        <v>52048</v>
      </c>
      <c r="R24" s="1256">
        <v>1501</v>
      </c>
      <c r="S24" s="459">
        <f>R24+Q24</f>
        <v>53549</v>
      </c>
      <c r="T24" s="937"/>
      <c r="U24" s="1256">
        <v>11495</v>
      </c>
      <c r="V24" s="385"/>
      <c r="W24" s="458">
        <f>U24+S24+I24</f>
        <v>103781</v>
      </c>
      <c r="Y24"/>
      <c r="Z24"/>
      <c r="AA24"/>
      <c r="AB24"/>
      <c r="AC24"/>
      <c r="AD24"/>
      <c r="AE24"/>
      <c r="AF24"/>
    </row>
    <row r="25" spans="1:32" ht="13.5" customHeight="1" x14ac:dyDescent="0.2">
      <c r="A25" s="933" t="s">
        <v>20</v>
      </c>
      <c r="B25" s="924">
        <v>6300</v>
      </c>
      <c r="C25" s="925">
        <v>2838</v>
      </c>
      <c r="D25" s="925">
        <v>2688</v>
      </c>
      <c r="E25" s="926">
        <v>1372</v>
      </c>
      <c r="F25" s="1252">
        <f t="shared" si="0"/>
        <v>13198</v>
      </c>
      <c r="G25" s="927">
        <v>24207</v>
      </c>
      <c r="H25" s="927">
        <v>1565</v>
      </c>
      <c r="I25" s="928">
        <f t="shared" si="1"/>
        <v>38970</v>
      </c>
      <c r="J25" s="939"/>
      <c r="K25" s="934">
        <v>52</v>
      </c>
      <c r="L25" s="927">
        <v>1328</v>
      </c>
      <c r="M25" s="937"/>
      <c r="N25" s="934">
        <v>2753</v>
      </c>
      <c r="O25" s="935">
        <v>35235</v>
      </c>
      <c r="P25" s="935">
        <v>11825</v>
      </c>
      <c r="Q25" s="1044">
        <f t="shared" si="2"/>
        <v>49813</v>
      </c>
      <c r="R25" s="927">
        <v>1312</v>
      </c>
      <c r="S25" s="928">
        <f t="shared" ref="S25:S32" si="3">R25+Q25</f>
        <v>51125</v>
      </c>
      <c r="T25" s="937"/>
      <c r="U25" s="1257">
        <v>11319</v>
      </c>
      <c r="V25" s="385"/>
      <c r="W25" s="928">
        <f t="shared" ref="W25:W32" si="4">U25+S25+I25</f>
        <v>101414</v>
      </c>
      <c r="X25" s="7"/>
      <c r="Y25"/>
      <c r="Z25"/>
      <c r="AA25"/>
      <c r="AB25"/>
      <c r="AC25"/>
      <c r="AD25"/>
      <c r="AE25"/>
      <c r="AF25"/>
    </row>
    <row r="26" spans="1:32" ht="13.5" customHeight="1" x14ac:dyDescent="0.2">
      <c r="A26" s="841" t="s">
        <v>13</v>
      </c>
      <c r="B26" s="454">
        <v>6160</v>
      </c>
      <c r="C26" s="455">
        <v>2717</v>
      </c>
      <c r="D26" s="455">
        <v>2362</v>
      </c>
      <c r="E26" s="456">
        <v>1175</v>
      </c>
      <c r="F26" s="1251">
        <f t="shared" si="0"/>
        <v>12414</v>
      </c>
      <c r="G26" s="457">
        <v>18681</v>
      </c>
      <c r="H26" s="457">
        <v>1243</v>
      </c>
      <c r="I26" s="458">
        <f t="shared" si="1"/>
        <v>32338</v>
      </c>
      <c r="J26" s="939"/>
      <c r="K26" s="457">
        <v>59</v>
      </c>
      <c r="L26" s="457">
        <v>1416</v>
      </c>
      <c r="M26" s="453"/>
      <c r="N26" s="460">
        <v>2621</v>
      </c>
      <c r="O26" s="453">
        <v>34935</v>
      </c>
      <c r="P26" s="453">
        <v>10361</v>
      </c>
      <c r="Q26" s="1043">
        <f t="shared" si="2"/>
        <v>47917</v>
      </c>
      <c r="R26" s="457">
        <v>1186</v>
      </c>
      <c r="S26" s="458">
        <f t="shared" si="3"/>
        <v>49103</v>
      </c>
      <c r="T26" s="453"/>
      <c r="U26" s="1256">
        <v>10117</v>
      </c>
      <c r="V26" s="385"/>
      <c r="W26" s="458">
        <f t="shared" si="4"/>
        <v>91558</v>
      </c>
      <c r="X26" s="7"/>
      <c r="Y26"/>
      <c r="Z26"/>
      <c r="AA26"/>
      <c r="AB26"/>
      <c r="AC26"/>
      <c r="AD26"/>
      <c r="AE26"/>
      <c r="AF26"/>
    </row>
    <row r="27" spans="1:32" ht="13.5" customHeight="1" x14ac:dyDescent="0.2">
      <c r="A27" s="933" t="s">
        <v>15</v>
      </c>
      <c r="B27" s="924">
        <v>5836</v>
      </c>
      <c r="C27" s="925">
        <v>2409</v>
      </c>
      <c r="D27" s="925">
        <v>2034</v>
      </c>
      <c r="E27" s="926">
        <v>814</v>
      </c>
      <c r="F27" s="1252">
        <f t="shared" si="0"/>
        <v>11093</v>
      </c>
      <c r="G27" s="927">
        <v>14278</v>
      </c>
      <c r="H27" s="927">
        <v>1375</v>
      </c>
      <c r="I27" s="928">
        <f t="shared" si="1"/>
        <v>26746</v>
      </c>
      <c r="J27" s="939"/>
      <c r="K27" s="927">
        <v>46</v>
      </c>
      <c r="L27" s="927">
        <v>1319</v>
      </c>
      <c r="M27" s="453"/>
      <c r="N27" s="934">
        <v>2308</v>
      </c>
      <c r="O27" s="935">
        <v>35107</v>
      </c>
      <c r="P27" s="935">
        <v>9873</v>
      </c>
      <c r="Q27" s="1044">
        <f t="shared" si="2"/>
        <v>47288</v>
      </c>
      <c r="R27" s="927">
        <v>638</v>
      </c>
      <c r="S27" s="928">
        <f t="shared" si="3"/>
        <v>47926</v>
      </c>
      <c r="T27" s="453"/>
      <c r="U27" s="1257">
        <v>9158</v>
      </c>
      <c r="V27" s="385"/>
      <c r="W27" s="928">
        <f t="shared" si="4"/>
        <v>83830</v>
      </c>
      <c r="X27" s="7"/>
      <c r="Y27"/>
      <c r="Z27"/>
      <c r="AA27"/>
      <c r="AB27"/>
      <c r="AC27"/>
      <c r="AD27"/>
      <c r="AE27"/>
      <c r="AF27"/>
    </row>
    <row r="28" spans="1:32" ht="13.5" customHeight="1" x14ac:dyDescent="0.2">
      <c r="A28" s="841" t="s">
        <v>17</v>
      </c>
      <c r="B28" s="454">
        <v>5334</v>
      </c>
      <c r="C28" s="455">
        <v>2353</v>
      </c>
      <c r="D28" s="455">
        <v>1938</v>
      </c>
      <c r="E28" s="456">
        <v>914</v>
      </c>
      <c r="F28" s="1251">
        <f t="shared" si="0"/>
        <v>10539</v>
      </c>
      <c r="G28" s="457">
        <v>16360</v>
      </c>
      <c r="H28" s="457">
        <v>1093</v>
      </c>
      <c r="I28" s="458">
        <f t="shared" si="1"/>
        <v>27992</v>
      </c>
      <c r="J28" s="939"/>
      <c r="K28" s="457">
        <v>31</v>
      </c>
      <c r="L28" s="457">
        <v>1311</v>
      </c>
      <c r="M28" s="453"/>
      <c r="N28" s="460">
        <v>2366</v>
      </c>
      <c r="O28" s="453">
        <v>35236</v>
      </c>
      <c r="P28" s="453">
        <v>9618</v>
      </c>
      <c r="Q28" s="1043">
        <f t="shared" si="2"/>
        <v>47220</v>
      </c>
      <c r="R28" s="457">
        <v>533</v>
      </c>
      <c r="S28" s="458">
        <f t="shared" si="3"/>
        <v>47753</v>
      </c>
      <c r="T28" s="453"/>
      <c r="U28" s="1256">
        <v>9162</v>
      </c>
      <c r="V28" s="101"/>
      <c r="W28" s="458">
        <f t="shared" si="4"/>
        <v>84907</v>
      </c>
      <c r="X28" s="7"/>
      <c r="Y28"/>
      <c r="Z28"/>
      <c r="AA28"/>
      <c r="AB28"/>
      <c r="AC28"/>
      <c r="AD28"/>
      <c r="AE28"/>
      <c r="AF28"/>
    </row>
    <row r="29" spans="1:32" ht="13.5" customHeight="1" x14ac:dyDescent="0.2">
      <c r="A29" s="933" t="s">
        <v>147</v>
      </c>
      <c r="B29" s="924">
        <v>5582</v>
      </c>
      <c r="C29" s="925">
        <v>2326</v>
      </c>
      <c r="D29" s="925">
        <v>1897</v>
      </c>
      <c r="E29" s="926">
        <v>838</v>
      </c>
      <c r="F29" s="1252">
        <f t="shared" si="0"/>
        <v>10643</v>
      </c>
      <c r="G29" s="927">
        <v>13406</v>
      </c>
      <c r="H29" s="927">
        <v>977</v>
      </c>
      <c r="I29" s="928">
        <f t="shared" si="1"/>
        <v>25026</v>
      </c>
      <c r="J29" s="939"/>
      <c r="K29" s="927">
        <v>40</v>
      </c>
      <c r="L29" s="927">
        <v>1101</v>
      </c>
      <c r="M29" s="453"/>
      <c r="N29" s="934">
        <v>2056</v>
      </c>
      <c r="O29" s="935">
        <v>37355</v>
      </c>
      <c r="P29" s="935">
        <v>9257</v>
      </c>
      <c r="Q29" s="1044">
        <f t="shared" si="2"/>
        <v>48668</v>
      </c>
      <c r="R29" s="927">
        <v>635</v>
      </c>
      <c r="S29" s="928">
        <f t="shared" si="3"/>
        <v>49303</v>
      </c>
      <c r="T29" s="453"/>
      <c r="U29" s="1257">
        <v>10743</v>
      </c>
      <c r="V29" s="385"/>
      <c r="W29" s="928">
        <f t="shared" si="4"/>
        <v>85072</v>
      </c>
      <c r="X29" s="7" t="s">
        <v>145</v>
      </c>
      <c r="Y29"/>
      <c r="Z29"/>
      <c r="AA29"/>
      <c r="AB29"/>
      <c r="AC29"/>
      <c r="AD29"/>
      <c r="AE29"/>
      <c r="AF29"/>
    </row>
    <row r="30" spans="1:32" ht="13.5" customHeight="1" x14ac:dyDescent="0.2">
      <c r="A30" s="841" t="str">
        <f>'1 1a 1b'!A13</f>
        <v>2015-16</v>
      </c>
      <c r="B30" s="454">
        <f>'1 1a 1b'!B13</f>
        <v>5677</v>
      </c>
      <c r="C30" s="455">
        <f>'1 1a 1b'!C13</f>
        <v>2497</v>
      </c>
      <c r="D30" s="455">
        <f>'1 1a 1b'!D13</f>
        <v>1965</v>
      </c>
      <c r="E30" s="456">
        <f>'1 1a 1b'!E13</f>
        <v>874</v>
      </c>
      <c r="F30" s="1251">
        <f>'1 1a 1b'!F13</f>
        <v>11013</v>
      </c>
      <c r="G30" s="457">
        <f>'1 1a 1b'!H13</f>
        <v>14732</v>
      </c>
      <c r="H30" s="457">
        <f>'1 1a 1b'!I13</f>
        <v>883</v>
      </c>
      <c r="I30" s="458">
        <f>SUM(F30:H30)</f>
        <v>26628</v>
      </c>
      <c r="J30" s="939"/>
      <c r="K30" s="457">
        <f>'2 2a 2b'!F13</f>
        <v>45</v>
      </c>
      <c r="L30" s="457">
        <f>'2 2a 2b'!L13</f>
        <v>1276</v>
      </c>
      <c r="M30" s="453"/>
      <c r="N30" s="460">
        <f>'4 4a 4b'!D12</f>
        <v>2375</v>
      </c>
      <c r="O30" s="453">
        <f>'4 4a 4b'!E12</f>
        <v>37621</v>
      </c>
      <c r="P30" s="453">
        <f>'4 4a 4b'!F12</f>
        <v>8849</v>
      </c>
      <c r="Q30" s="1043">
        <f t="shared" si="2"/>
        <v>48845</v>
      </c>
      <c r="R30" s="457">
        <f>'5 5a'!B9</f>
        <v>556</v>
      </c>
      <c r="S30" s="458">
        <f t="shared" si="3"/>
        <v>49401</v>
      </c>
      <c r="T30" s="453"/>
      <c r="U30" s="1256">
        <f>'6 6a'!V9</f>
        <v>12840</v>
      </c>
      <c r="V30" s="385"/>
      <c r="W30" s="458">
        <f t="shared" si="4"/>
        <v>88869</v>
      </c>
      <c r="X30" s="7" t="s">
        <v>145</v>
      </c>
      <c r="Y30"/>
      <c r="Z30"/>
      <c r="AA30"/>
      <c r="AB30"/>
      <c r="AC30"/>
      <c r="AD30"/>
      <c r="AE30"/>
      <c r="AF30"/>
    </row>
    <row r="31" spans="1:32" ht="13.5" customHeight="1" x14ac:dyDescent="0.2">
      <c r="A31" s="933" t="str">
        <f>'1 1a 1b'!A14</f>
        <v>2016-17</v>
      </c>
      <c r="B31" s="924">
        <f>'1 1a 1b'!B14</f>
        <v>5548</v>
      </c>
      <c r="C31" s="925">
        <f>'1 1a 1b'!C14</f>
        <v>2279</v>
      </c>
      <c r="D31" s="925">
        <f>'1 1a 1b'!D14</f>
        <v>2119</v>
      </c>
      <c r="E31" s="926">
        <f>'1 1a 1b'!E14</f>
        <v>958</v>
      </c>
      <c r="F31" s="1252">
        <f>'1 1a 1b'!F14</f>
        <v>10904</v>
      </c>
      <c r="G31" s="927">
        <f>'1 1a 1b'!H14</f>
        <v>15657</v>
      </c>
      <c r="H31" s="927">
        <f>'1 1a 1b'!I14</f>
        <v>710</v>
      </c>
      <c r="I31" s="928">
        <f t="shared" ref="I31:I32" si="5">SUM(F31:H31)</f>
        <v>27271</v>
      </c>
      <c r="J31" s="939"/>
      <c r="K31" s="927">
        <f>'2 2a 2b'!F14</f>
        <v>44</v>
      </c>
      <c r="L31" s="927">
        <f>'2 2a 2b'!L14</f>
        <v>1266</v>
      </c>
      <c r="M31" s="453"/>
      <c r="N31" s="934">
        <f>'4 4a 4b'!D13</f>
        <v>2281</v>
      </c>
      <c r="O31" s="935">
        <f>'4 4a 4b'!E13</f>
        <v>39626</v>
      </c>
      <c r="P31" s="935">
        <f>'4 4a 4b'!F13</f>
        <v>8956</v>
      </c>
      <c r="Q31" s="1044">
        <f t="shared" si="2"/>
        <v>50863</v>
      </c>
      <c r="R31" s="927">
        <f>'5 5a'!B10</f>
        <v>717</v>
      </c>
      <c r="S31" s="928">
        <f t="shared" si="3"/>
        <v>51580</v>
      </c>
      <c r="T31" s="453"/>
      <c r="U31" s="1257">
        <f>'6 6a'!V10</f>
        <v>12369</v>
      </c>
      <c r="V31" s="385"/>
      <c r="W31" s="928">
        <f t="shared" si="4"/>
        <v>91220</v>
      </c>
      <c r="X31" s="7" t="s">
        <v>145</v>
      </c>
      <c r="Y31"/>
      <c r="Z31"/>
      <c r="AA31"/>
      <c r="AB31"/>
      <c r="AC31"/>
      <c r="AD31"/>
      <c r="AE31"/>
      <c r="AF31"/>
    </row>
    <row r="32" spans="1:32" ht="13.5" customHeight="1" x14ac:dyDescent="0.2">
      <c r="A32" s="1289" t="str">
        <f>'1 1a 1b'!A15</f>
        <v>2017-18</v>
      </c>
      <c r="B32" s="1290">
        <f>'1 1a 1b'!B15</f>
        <v>5310</v>
      </c>
      <c r="C32" s="1291">
        <f>'1 1a 1b'!C15</f>
        <v>2281</v>
      </c>
      <c r="D32" s="1291">
        <f>'1 1a 1b'!D15</f>
        <v>2008</v>
      </c>
      <c r="E32" s="1292">
        <f>'1 1a 1b'!E15</f>
        <v>1055</v>
      </c>
      <c r="F32" s="1293">
        <f>'1 1a 1b'!F15</f>
        <v>10654</v>
      </c>
      <c r="G32" s="1294">
        <f>'1 1a 1b'!H15</f>
        <v>14698</v>
      </c>
      <c r="H32" s="1294">
        <f>'1 1a 1b'!I15</f>
        <v>763</v>
      </c>
      <c r="I32" s="1295">
        <f t="shared" si="5"/>
        <v>26115</v>
      </c>
      <c r="J32" s="1288"/>
      <c r="K32" s="1294">
        <f>'2 2a 2b'!F15</f>
        <v>44</v>
      </c>
      <c r="L32" s="1294">
        <f>'2 2a 2b'!L15</f>
        <v>1113</v>
      </c>
      <c r="M32" s="1296"/>
      <c r="N32" s="1297">
        <f>'4 4a 4b'!D14</f>
        <v>2338</v>
      </c>
      <c r="O32" s="1298">
        <f>'4 4a 4b'!E14</f>
        <v>40359</v>
      </c>
      <c r="P32" s="1298">
        <f>'4 4a 4b'!F14</f>
        <v>9090</v>
      </c>
      <c r="Q32" s="1299">
        <f t="shared" si="2"/>
        <v>51787</v>
      </c>
      <c r="R32" s="1294">
        <f>'5 5a'!B11</f>
        <v>665</v>
      </c>
      <c r="S32" s="1295">
        <f t="shared" si="3"/>
        <v>52452</v>
      </c>
      <c r="T32" s="1296"/>
      <c r="U32" s="1294">
        <f>'6 6a'!V11</f>
        <v>13128</v>
      </c>
      <c r="V32" s="1296"/>
      <c r="W32" s="1295">
        <f t="shared" si="4"/>
        <v>91695</v>
      </c>
      <c r="X32" s="7" t="s">
        <v>143</v>
      </c>
      <c r="Y32"/>
      <c r="Z32"/>
      <c r="AA32"/>
      <c r="AB32"/>
      <c r="AC32"/>
      <c r="AD32"/>
      <c r="AE32"/>
      <c r="AF32"/>
    </row>
    <row r="33" spans="1:32" ht="13.5" customHeight="1" x14ac:dyDescent="0.2">
      <c r="B33" s="1353"/>
      <c r="C33" s="1353"/>
      <c r="D33" s="1353"/>
      <c r="E33" s="1353"/>
      <c r="F33" s="1513"/>
      <c r="G33" s="1353"/>
      <c r="H33" s="1353"/>
      <c r="I33" s="1353"/>
      <c r="J33" s="1353"/>
      <c r="K33" s="1353"/>
      <c r="L33" s="1353"/>
      <c r="M33" s="1353"/>
      <c r="N33" s="1353"/>
      <c r="O33" s="1353"/>
      <c r="P33" s="1353"/>
      <c r="Q33" s="1353"/>
      <c r="R33" s="1353"/>
      <c r="S33" s="1353"/>
      <c r="T33" s="1353"/>
      <c r="U33" s="1353"/>
      <c r="V33" s="1353"/>
      <c r="W33" s="1353"/>
      <c r="X33"/>
      <c r="Y33"/>
      <c r="Z33"/>
      <c r="AA33"/>
      <c r="AB33"/>
      <c r="AC33"/>
      <c r="AD33"/>
      <c r="AE33"/>
      <c r="AF33"/>
    </row>
    <row r="34" spans="1:32" ht="14.25" x14ac:dyDescent="0.2">
      <c r="A34" s="68" t="s">
        <v>162</v>
      </c>
      <c r="B34" s="71"/>
      <c r="C34" s="124"/>
      <c r="I34" s="1354"/>
      <c r="K34"/>
      <c r="L34"/>
      <c r="M34"/>
      <c r="N34"/>
      <c r="O34"/>
      <c r="P34"/>
      <c r="Q34"/>
      <c r="R34"/>
      <c r="S34"/>
      <c r="T34"/>
      <c r="U34"/>
      <c r="V34"/>
      <c r="W34"/>
      <c r="X34"/>
      <c r="Y34"/>
      <c r="Z34"/>
      <c r="AA34"/>
      <c r="AB34"/>
      <c r="AC34"/>
      <c r="AD34"/>
      <c r="AE34"/>
      <c r="AF34"/>
    </row>
    <row r="35" spans="1:32" ht="14.25" x14ac:dyDescent="0.2">
      <c r="A35" s="122" t="s">
        <v>967</v>
      </c>
      <c r="B35" s="71"/>
      <c r="C35" s="124"/>
      <c r="K35" s="768"/>
      <c r="L35"/>
      <c r="M35"/>
      <c r="N35"/>
      <c r="O35"/>
      <c r="P35"/>
      <c r="Q35"/>
      <c r="R35"/>
      <c r="S35"/>
      <c r="T35"/>
      <c r="U35"/>
      <c r="V35"/>
      <c r="W35"/>
      <c r="X35"/>
      <c r="Y35"/>
      <c r="Z35"/>
      <c r="AA35"/>
      <c r="AB35"/>
      <c r="AC35"/>
      <c r="AD35"/>
      <c r="AE35"/>
      <c r="AF35"/>
    </row>
    <row r="36" spans="1:32" ht="14.25" x14ac:dyDescent="0.2">
      <c r="A36" s="122" t="s">
        <v>971</v>
      </c>
      <c r="B36" s="71"/>
      <c r="C36" s="124"/>
      <c r="K36"/>
      <c r="L36"/>
      <c r="M36"/>
      <c r="N36"/>
      <c r="O36"/>
      <c r="P36"/>
      <c r="Q36"/>
      <c r="R36"/>
      <c r="S36"/>
      <c r="T36"/>
      <c r="U36"/>
      <c r="V36"/>
      <c r="W36"/>
      <c r="X36"/>
      <c r="Y36"/>
      <c r="Z36"/>
      <c r="AA36"/>
      <c r="AB36"/>
      <c r="AC36"/>
      <c r="AD36"/>
      <c r="AE36"/>
      <c r="AF36"/>
    </row>
    <row r="37" spans="1:32" ht="14.25" x14ac:dyDescent="0.2">
      <c r="A37" s="852"/>
      <c r="B37" s="1539" t="s">
        <v>366</v>
      </c>
      <c r="C37" s="124"/>
      <c r="K37"/>
      <c r="L37"/>
      <c r="M37"/>
      <c r="N37"/>
      <c r="O37"/>
      <c r="P37"/>
      <c r="Q37"/>
      <c r="R37"/>
      <c r="S37"/>
      <c r="T37"/>
      <c r="U37"/>
      <c r="V37"/>
      <c r="W37"/>
      <c r="X37"/>
      <c r="Y37"/>
      <c r="Z37"/>
      <c r="AA37"/>
      <c r="AB37"/>
      <c r="AC37"/>
      <c r="AD37"/>
      <c r="AE37"/>
      <c r="AF37"/>
    </row>
    <row r="38" spans="1:32" ht="14.25" x14ac:dyDescent="0.2">
      <c r="A38" s="122" t="s">
        <v>959</v>
      </c>
      <c r="B38" s="71"/>
      <c r="C38" s="124"/>
      <c r="K38"/>
      <c r="L38"/>
      <c r="M38"/>
      <c r="N38"/>
      <c r="O38"/>
      <c r="P38"/>
      <c r="Q38"/>
      <c r="R38"/>
      <c r="S38"/>
      <c r="T38"/>
      <c r="U38"/>
      <c r="V38"/>
      <c r="W38"/>
      <c r="X38"/>
      <c r="Y38"/>
      <c r="Z38"/>
      <c r="AA38"/>
      <c r="AB38"/>
      <c r="AC38"/>
      <c r="AD38"/>
      <c r="AE38"/>
      <c r="AF38"/>
    </row>
    <row r="39" spans="1:32" ht="14.25" x14ac:dyDescent="0.2">
      <c r="A39" s="122" t="s">
        <v>960</v>
      </c>
      <c r="B39" s="71"/>
      <c r="C39" s="124"/>
      <c r="K39"/>
      <c r="L39"/>
      <c r="M39"/>
      <c r="N39"/>
      <c r="O39"/>
      <c r="P39"/>
      <c r="Q39"/>
      <c r="R39"/>
      <c r="S39"/>
      <c r="T39"/>
      <c r="U39"/>
      <c r="V39"/>
      <c r="W39"/>
      <c r="X39"/>
      <c r="Y39"/>
      <c r="Z39"/>
      <c r="AA39"/>
      <c r="AB39"/>
      <c r="AC39"/>
      <c r="AD39"/>
      <c r="AE39"/>
      <c r="AF39"/>
    </row>
    <row r="40" spans="1:32" ht="14.25" x14ac:dyDescent="0.2">
      <c r="A40" s="122" t="s">
        <v>961</v>
      </c>
      <c r="B40" s="71"/>
      <c r="C40" s="124"/>
      <c r="K40"/>
      <c r="L40"/>
      <c r="M40"/>
      <c r="N40"/>
      <c r="O40"/>
      <c r="P40"/>
      <c r="Q40"/>
      <c r="R40"/>
      <c r="S40"/>
      <c r="T40"/>
      <c r="U40"/>
      <c r="V40"/>
      <c r="W40"/>
      <c r="X40"/>
      <c r="Y40"/>
      <c r="Z40"/>
      <c r="AA40"/>
      <c r="AB40"/>
      <c r="AC40"/>
      <c r="AD40"/>
      <c r="AE40"/>
      <c r="AF40"/>
    </row>
    <row r="41" spans="1:32" ht="14.25" x14ac:dyDescent="0.2">
      <c r="A41" s="122" t="s">
        <v>878</v>
      </c>
      <c r="B41" s="71"/>
      <c r="C41" s="124"/>
      <c r="K41"/>
      <c r="L41"/>
      <c r="M41"/>
      <c r="N41"/>
      <c r="O41"/>
      <c r="P41"/>
      <c r="Q41"/>
      <c r="R41"/>
      <c r="S41"/>
      <c r="T41"/>
      <c r="U41"/>
      <c r="V41"/>
    </row>
    <row r="42" spans="1:32" ht="15" x14ac:dyDescent="0.2">
      <c r="B42" s="1540"/>
      <c r="C42" s="125"/>
      <c r="D42" s="125"/>
      <c r="E42" s="125"/>
      <c r="F42" s="61"/>
      <c r="K42"/>
      <c r="L42"/>
      <c r="M42"/>
      <c r="N42"/>
      <c r="O42"/>
      <c r="P42"/>
      <c r="Q42"/>
      <c r="R42"/>
      <c r="S42"/>
      <c r="T42"/>
      <c r="U42"/>
      <c r="V42"/>
    </row>
    <row r="43" spans="1:32" ht="14.25" x14ac:dyDescent="0.2">
      <c r="A43" s="51" t="s">
        <v>136</v>
      </c>
      <c r="B43" s="71"/>
      <c r="C43" s="124"/>
      <c r="L43"/>
      <c r="M43"/>
      <c r="N43"/>
      <c r="O43"/>
      <c r="P43"/>
      <c r="Q43"/>
      <c r="R43"/>
      <c r="S43"/>
      <c r="T43"/>
      <c r="U43"/>
      <c r="V43"/>
    </row>
    <row r="44" spans="1:32" ht="15" x14ac:dyDescent="0.2">
      <c r="A44" s="1"/>
      <c r="B44" s="61"/>
      <c r="C44" s="61"/>
    </row>
    <row r="46" spans="1:32" x14ac:dyDescent="0.2">
      <c r="A46" s="303"/>
    </row>
  </sheetData>
  <sheetProtection algorithmName="SHA-512" hashValue="E/pgNRBCf7ICnIqAYoYfoRUQROelWuvPUpQUzavccPv8w1P0aCb5rOHPJPS6hrp8VXWhgrYRI3hu8rUoGlvmeA==" saltValue="lQywy5OG4ytzC9kUxMwNxQ==" spinCount="100000" sheet="1" objects="1" scenarios="1"/>
  <mergeCells count="11">
    <mergeCell ref="A1:P1"/>
    <mergeCell ref="A3:A4"/>
    <mergeCell ref="I3:I4"/>
    <mergeCell ref="H3:H4"/>
    <mergeCell ref="G3:G4"/>
    <mergeCell ref="U3:U4"/>
    <mergeCell ref="W3:W4"/>
    <mergeCell ref="B2:H2"/>
    <mergeCell ref="B3:F3"/>
    <mergeCell ref="K3:L3"/>
    <mergeCell ref="N3:Q3"/>
  </mergeCells>
  <hyperlinks>
    <hyperlink ref="A43" location="Contents!A1" display="Return to contents " xr:uid="{00000000-0004-0000-0200-000000000000}"/>
  </hyperlinks>
  <pageMargins left="0.70866141732283472" right="0.70866141732283472" top="0.74803149606299213" bottom="0.74803149606299213" header="0.31496062992125984" footer="0.31496062992125984"/>
  <pageSetup paperSize="9" scale="60" orientation="landscape" r:id="rId1"/>
  <headerFooter>
    <oddFooter>&amp;L&amp;P&amp;C&amp;A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tabColor theme="4"/>
    <pageSetUpPr fitToPage="1"/>
  </sheetPr>
  <dimension ref="A1:CK193"/>
  <sheetViews>
    <sheetView showGridLines="0" zoomScaleNormal="100" zoomScaleSheetLayoutView="90" workbookViewId="0"/>
  </sheetViews>
  <sheetFormatPr defaultRowHeight="12.75" x14ac:dyDescent="0.2"/>
  <cols>
    <col min="1" max="1" width="24.85546875" style="1" customWidth="1"/>
    <col min="2" max="2" width="9.7109375" style="1" customWidth="1"/>
    <col min="3" max="3" width="9.42578125" style="1" customWidth="1"/>
    <col min="4" max="4" width="8.85546875" style="1" customWidth="1"/>
    <col min="5" max="5" width="10.85546875" style="1" customWidth="1"/>
    <col min="6" max="6" width="9.85546875" style="1" customWidth="1"/>
    <col min="7" max="7" width="10.85546875" style="1" customWidth="1"/>
    <col min="8" max="8" width="8.7109375" style="1" customWidth="1"/>
    <col min="9" max="9" width="11" style="1" customWidth="1"/>
    <col min="10" max="10" width="8.85546875" style="1" customWidth="1"/>
    <col min="11" max="11" width="10.28515625" style="1" customWidth="1"/>
    <col min="12" max="12" width="9.85546875" style="1" customWidth="1"/>
    <col min="13" max="13" width="9" style="1" customWidth="1"/>
    <col min="14" max="14" width="10.5703125" style="1" customWidth="1"/>
    <col min="15" max="15" width="10" style="1" customWidth="1"/>
    <col min="16" max="16" width="9.28515625" style="1" customWidth="1"/>
    <col min="17" max="17" width="9.140625" style="1" customWidth="1"/>
    <col min="18" max="18" width="9.140625" style="1"/>
    <col min="19" max="20" width="9.28515625" style="1" customWidth="1"/>
    <col min="21" max="21" width="9.140625" style="1" customWidth="1"/>
    <col min="22" max="22" width="11.7109375" style="1" customWidth="1"/>
    <col min="23" max="23" width="8" style="1" customWidth="1"/>
    <col min="24" max="16384" width="9.140625" style="1"/>
  </cols>
  <sheetData>
    <row r="1" spans="1:24" ht="38.25" customHeight="1" x14ac:dyDescent="0.2">
      <c r="A1" s="516" t="s">
        <v>613</v>
      </c>
      <c r="B1" s="516"/>
      <c r="C1" s="516"/>
      <c r="D1" s="516"/>
      <c r="E1" s="516"/>
      <c r="F1" s="516"/>
      <c r="G1" s="516"/>
      <c r="H1" s="516"/>
      <c r="I1" s="516"/>
      <c r="J1" s="516"/>
      <c r="K1" s="516"/>
      <c r="L1" s="516"/>
      <c r="M1" s="516"/>
    </row>
    <row r="2" spans="1:24" ht="15" x14ac:dyDescent="0.25">
      <c r="A2" s="90"/>
      <c r="V2" s="253" t="s">
        <v>0</v>
      </c>
    </row>
    <row r="3" spans="1:24" s="101" customFormat="1" ht="82.5" customHeight="1" x14ac:dyDescent="0.2">
      <c r="A3" s="17" t="s">
        <v>4</v>
      </c>
      <c r="B3" s="117" t="s">
        <v>65</v>
      </c>
      <c r="C3" s="1115" t="s">
        <v>981</v>
      </c>
      <c r="D3" s="1115" t="s">
        <v>66</v>
      </c>
      <c r="E3" s="1115" t="s">
        <v>982</v>
      </c>
      <c r="F3" s="1115" t="s">
        <v>983</v>
      </c>
      <c r="G3" s="1115" t="s">
        <v>67</v>
      </c>
      <c r="H3" s="1115" t="s">
        <v>68</v>
      </c>
      <c r="I3" s="1115" t="s">
        <v>984</v>
      </c>
      <c r="J3" s="1115" t="s">
        <v>985</v>
      </c>
      <c r="K3" s="1115" t="s">
        <v>986</v>
      </c>
      <c r="L3" s="1115" t="s">
        <v>69</v>
      </c>
      <c r="M3" s="1115" t="s">
        <v>987</v>
      </c>
      <c r="N3" s="1115" t="s">
        <v>988</v>
      </c>
      <c r="O3" s="1115" t="s">
        <v>979</v>
      </c>
      <c r="P3" s="1115" t="s">
        <v>70</v>
      </c>
      <c r="Q3" s="1115" t="s">
        <v>989</v>
      </c>
      <c r="R3" s="1115" t="s">
        <v>990</v>
      </c>
      <c r="S3" s="1115" t="s">
        <v>71</v>
      </c>
      <c r="T3" s="1115" t="s">
        <v>991</v>
      </c>
      <c r="U3" s="229" t="s">
        <v>72</v>
      </c>
      <c r="V3" s="765" t="s">
        <v>347</v>
      </c>
      <c r="X3"/>
    </row>
    <row r="4" spans="1:24" ht="18.75" customHeight="1" x14ac:dyDescent="0.2">
      <c r="A4" s="1017" t="s">
        <v>20</v>
      </c>
      <c r="B4" s="380">
        <v>2412</v>
      </c>
      <c r="C4" s="380">
        <v>147</v>
      </c>
      <c r="D4" s="380">
        <v>2473</v>
      </c>
      <c r="E4" s="380">
        <v>141</v>
      </c>
      <c r="F4" s="380">
        <v>664</v>
      </c>
      <c r="G4" s="380">
        <v>51</v>
      </c>
      <c r="H4" s="380">
        <v>704</v>
      </c>
      <c r="I4" s="380">
        <v>327</v>
      </c>
      <c r="J4" s="380">
        <v>137</v>
      </c>
      <c r="K4" s="380">
        <v>132</v>
      </c>
      <c r="L4" s="380">
        <v>430</v>
      </c>
      <c r="M4" s="380">
        <v>169</v>
      </c>
      <c r="N4" s="380">
        <v>339</v>
      </c>
      <c r="O4" s="380">
        <v>899</v>
      </c>
      <c r="P4" s="380">
        <v>509</v>
      </c>
      <c r="Q4" s="380">
        <v>703</v>
      </c>
      <c r="R4" s="381">
        <v>23</v>
      </c>
      <c r="S4" s="380">
        <v>215</v>
      </c>
      <c r="T4" s="380">
        <v>571</v>
      </c>
      <c r="U4" s="380">
        <v>273</v>
      </c>
      <c r="V4" s="40">
        <f>SUM(B4:U4)</f>
        <v>11319</v>
      </c>
      <c r="W4" s="7"/>
      <c r="X4"/>
    </row>
    <row r="5" spans="1:24" ht="13.5" customHeight="1" x14ac:dyDescent="0.2">
      <c r="A5" s="30" t="s">
        <v>13</v>
      </c>
      <c r="B5" s="7">
        <v>2223</v>
      </c>
      <c r="C5" s="7">
        <v>116</v>
      </c>
      <c r="D5" s="7">
        <v>1136</v>
      </c>
      <c r="E5" s="7">
        <v>163</v>
      </c>
      <c r="F5" s="7">
        <v>689</v>
      </c>
      <c r="G5" s="7">
        <v>72</v>
      </c>
      <c r="H5" s="7">
        <v>677</v>
      </c>
      <c r="I5" s="7">
        <v>284</v>
      </c>
      <c r="J5" s="7">
        <v>138</v>
      </c>
      <c r="K5" s="7">
        <v>140</v>
      </c>
      <c r="L5" s="7">
        <v>287</v>
      </c>
      <c r="M5" s="7">
        <v>154</v>
      </c>
      <c r="N5" s="7">
        <v>319</v>
      </c>
      <c r="O5" s="7">
        <v>882</v>
      </c>
      <c r="P5" s="7">
        <v>925</v>
      </c>
      <c r="Q5" s="7">
        <v>859</v>
      </c>
      <c r="R5" s="382">
        <v>9</v>
      </c>
      <c r="S5" s="7">
        <v>161</v>
      </c>
      <c r="T5" s="7">
        <v>566</v>
      </c>
      <c r="U5" s="7">
        <v>317</v>
      </c>
      <c r="V5" s="9">
        <f t="shared" ref="V5:V8" si="0">SUM(B5:U5)</f>
        <v>10117</v>
      </c>
      <c r="W5" s="7"/>
      <c r="X5"/>
    </row>
    <row r="6" spans="1:24" ht="13.5" customHeight="1" x14ac:dyDescent="0.2">
      <c r="A6" s="30" t="s">
        <v>15</v>
      </c>
      <c r="B6" s="7">
        <v>2267</v>
      </c>
      <c r="C6" s="7">
        <v>98</v>
      </c>
      <c r="D6" s="7">
        <v>1351</v>
      </c>
      <c r="E6" s="7">
        <v>167</v>
      </c>
      <c r="F6" s="7">
        <v>556</v>
      </c>
      <c r="G6" s="7">
        <v>63</v>
      </c>
      <c r="H6" s="7">
        <v>617</v>
      </c>
      <c r="I6" s="7">
        <v>244</v>
      </c>
      <c r="J6" s="7">
        <v>111</v>
      </c>
      <c r="K6" s="7">
        <v>174</v>
      </c>
      <c r="L6" s="7">
        <v>286</v>
      </c>
      <c r="M6" s="7">
        <v>218</v>
      </c>
      <c r="N6" s="7">
        <v>350</v>
      </c>
      <c r="O6" s="7">
        <v>883</v>
      </c>
      <c r="P6" s="7">
        <v>246</v>
      </c>
      <c r="Q6" s="7">
        <v>740</v>
      </c>
      <c r="R6" s="382">
        <v>4</v>
      </c>
      <c r="S6" s="7">
        <v>112</v>
      </c>
      <c r="T6" s="7">
        <v>470</v>
      </c>
      <c r="U6" s="7">
        <v>201</v>
      </c>
      <c r="V6" s="9">
        <f t="shared" si="0"/>
        <v>9158</v>
      </c>
      <c r="W6" s="7"/>
      <c r="X6"/>
    </row>
    <row r="7" spans="1:24" ht="13.5" customHeight="1" x14ac:dyDescent="0.2">
      <c r="A7" s="30" t="s">
        <v>17</v>
      </c>
      <c r="B7" s="7">
        <v>2136</v>
      </c>
      <c r="C7" s="7">
        <v>78</v>
      </c>
      <c r="D7" s="7">
        <v>1065</v>
      </c>
      <c r="E7" s="7">
        <v>149</v>
      </c>
      <c r="F7" s="7">
        <v>454</v>
      </c>
      <c r="G7" s="7">
        <v>60</v>
      </c>
      <c r="H7" s="7">
        <v>667</v>
      </c>
      <c r="I7" s="7">
        <v>278</v>
      </c>
      <c r="J7" s="7">
        <v>94</v>
      </c>
      <c r="K7" s="7">
        <v>194</v>
      </c>
      <c r="L7" s="7">
        <v>252</v>
      </c>
      <c r="M7" s="7">
        <v>248</v>
      </c>
      <c r="N7" s="7">
        <v>364</v>
      </c>
      <c r="O7" s="7">
        <v>1073</v>
      </c>
      <c r="P7" s="7">
        <v>418</v>
      </c>
      <c r="Q7" s="7">
        <v>763</v>
      </c>
      <c r="R7" s="382">
        <v>18</v>
      </c>
      <c r="S7" s="7">
        <v>81</v>
      </c>
      <c r="T7" s="7">
        <v>555</v>
      </c>
      <c r="U7" s="7">
        <v>215</v>
      </c>
      <c r="V7" s="9">
        <f t="shared" si="0"/>
        <v>9162</v>
      </c>
      <c r="W7" s="7"/>
      <c r="X7"/>
    </row>
    <row r="8" spans="1:24" s="71" customFormat="1" ht="13.5" customHeight="1" x14ac:dyDescent="0.2">
      <c r="A8" s="30" t="s">
        <v>147</v>
      </c>
      <c r="B8" s="72">
        <v>2293</v>
      </c>
      <c r="C8" s="72">
        <v>96</v>
      </c>
      <c r="D8" s="72">
        <v>1251</v>
      </c>
      <c r="E8" s="72">
        <v>116</v>
      </c>
      <c r="F8" s="72">
        <v>497</v>
      </c>
      <c r="G8" s="131">
        <v>59</v>
      </c>
      <c r="H8" s="72">
        <v>613</v>
      </c>
      <c r="I8" s="72">
        <v>374</v>
      </c>
      <c r="J8" s="72">
        <v>123</v>
      </c>
      <c r="K8" s="72">
        <v>189</v>
      </c>
      <c r="L8" s="72">
        <v>233</v>
      </c>
      <c r="M8" s="72">
        <v>253</v>
      </c>
      <c r="N8" s="72">
        <v>374</v>
      </c>
      <c r="O8" s="72">
        <v>1782</v>
      </c>
      <c r="P8" s="72">
        <v>353</v>
      </c>
      <c r="Q8" s="72">
        <v>1076</v>
      </c>
      <c r="R8" s="72">
        <v>8</v>
      </c>
      <c r="S8" s="131">
        <v>79</v>
      </c>
      <c r="T8" s="72">
        <v>774</v>
      </c>
      <c r="U8" s="72">
        <v>200</v>
      </c>
      <c r="V8" s="9">
        <f t="shared" si="0"/>
        <v>10743</v>
      </c>
      <c r="W8" s="7"/>
      <c r="X8"/>
    </row>
    <row r="9" spans="1:24" ht="13.5" customHeight="1" x14ac:dyDescent="0.2">
      <c r="A9" s="30" t="str">
        <f>'T06'!$A$5</f>
        <v>2015-16</v>
      </c>
      <c r="B9" s="7">
        <f>'T06'!B5</f>
        <v>2444</v>
      </c>
      <c r="C9" s="7">
        <f>'T06'!C5</f>
        <v>89</v>
      </c>
      <c r="D9" s="7">
        <f>'T06'!D5</f>
        <v>1488</v>
      </c>
      <c r="E9" s="7">
        <f>'T06'!E5</f>
        <v>176</v>
      </c>
      <c r="F9" s="7">
        <f>'T06'!F5</f>
        <v>526</v>
      </c>
      <c r="G9" s="382">
        <f>'T06'!G5</f>
        <v>51</v>
      </c>
      <c r="H9" s="7">
        <f>'T06'!H5</f>
        <v>652</v>
      </c>
      <c r="I9" s="7">
        <f>'T06'!I5</f>
        <v>523</v>
      </c>
      <c r="J9" s="7">
        <f>'T06'!J5</f>
        <v>113</v>
      </c>
      <c r="K9" s="7">
        <f>'T06'!K5</f>
        <v>183</v>
      </c>
      <c r="L9" s="7">
        <f>'T06'!L5</f>
        <v>222</v>
      </c>
      <c r="M9" s="7">
        <f>'T06'!M5</f>
        <v>283</v>
      </c>
      <c r="N9" s="7">
        <f>'T06'!N5</f>
        <v>384</v>
      </c>
      <c r="O9" s="7">
        <f>'T06'!O5</f>
        <v>2495</v>
      </c>
      <c r="P9" s="7">
        <f>'T06'!P5</f>
        <v>403</v>
      </c>
      <c r="Q9" s="7">
        <f>'T06'!Q5</f>
        <v>1331</v>
      </c>
      <c r="R9" s="7">
        <f>'T06'!R5</f>
        <v>8</v>
      </c>
      <c r="S9" s="382">
        <f>'T06'!S5</f>
        <v>76</v>
      </c>
      <c r="T9" s="7">
        <f>'T06'!T5</f>
        <v>1201</v>
      </c>
      <c r="U9" s="7">
        <f>'T06'!U5</f>
        <v>192</v>
      </c>
      <c r="V9" s="9">
        <f>SUM(B9:U9)</f>
        <v>12840</v>
      </c>
      <c r="W9" s="7" t="s">
        <v>145</v>
      </c>
      <c r="X9"/>
    </row>
    <row r="10" spans="1:24" ht="13.5" customHeight="1" x14ac:dyDescent="0.2">
      <c r="A10" s="30" t="str">
        <f>'T06'!$A$6</f>
        <v>2016-17</v>
      </c>
      <c r="B10" s="7">
        <f>'T06'!B6</f>
        <v>2461</v>
      </c>
      <c r="C10" s="7">
        <f>'T06'!C6</f>
        <v>85</v>
      </c>
      <c r="D10" s="7">
        <f>'T06'!D6</f>
        <v>1005</v>
      </c>
      <c r="E10" s="7">
        <f>'T06'!E6</f>
        <v>119</v>
      </c>
      <c r="F10" s="7">
        <f>'T06'!F6</f>
        <v>546</v>
      </c>
      <c r="G10" s="382">
        <f>'T06'!G6</f>
        <v>71</v>
      </c>
      <c r="H10" s="7">
        <f>'T06'!H6</f>
        <v>695</v>
      </c>
      <c r="I10" s="7">
        <f>'T06'!I6</f>
        <v>539</v>
      </c>
      <c r="J10" s="7">
        <f>'T06'!J6</f>
        <v>138</v>
      </c>
      <c r="K10" s="7">
        <f>'T06'!K6</f>
        <v>193</v>
      </c>
      <c r="L10" s="7">
        <f>'T06'!L6</f>
        <v>255</v>
      </c>
      <c r="M10" s="7">
        <f>'T06'!M6</f>
        <v>273</v>
      </c>
      <c r="N10" s="7">
        <f>'T06'!N6</f>
        <v>401</v>
      </c>
      <c r="O10" s="7">
        <f>'T06'!O6</f>
        <v>2852</v>
      </c>
      <c r="P10" s="7">
        <f>'T06'!P6</f>
        <v>216</v>
      </c>
      <c r="Q10" s="7">
        <f>'T06'!Q6</f>
        <v>1122</v>
      </c>
      <c r="R10" s="7">
        <f>'T06'!R6</f>
        <v>7</v>
      </c>
      <c r="S10" s="382">
        <f>'T06'!S6</f>
        <v>73</v>
      </c>
      <c r="T10" s="7">
        <f>'T06'!T6</f>
        <v>1167</v>
      </c>
      <c r="U10" s="7">
        <f>'T06'!U6</f>
        <v>151</v>
      </c>
      <c r="V10" s="9">
        <f t="shared" ref="V10:V11" si="1">SUM(B10:U10)</f>
        <v>12369</v>
      </c>
      <c r="W10" s="7" t="s">
        <v>145</v>
      </c>
      <c r="X10"/>
    </row>
    <row r="11" spans="1:24" ht="13.5" customHeight="1" x14ac:dyDescent="0.2">
      <c r="A11" s="1261" t="str">
        <f>'T06'!$A$7</f>
        <v>2017-18</v>
      </c>
      <c r="B11" s="792">
        <f>'T06'!B7</f>
        <v>2525</v>
      </c>
      <c r="C11" s="792">
        <f>'T06'!C7</f>
        <v>84</v>
      </c>
      <c r="D11" s="792">
        <f>'T06'!D7</f>
        <v>1297</v>
      </c>
      <c r="E11" s="792">
        <f>'T06'!E7</f>
        <v>146</v>
      </c>
      <c r="F11" s="336">
        <f>'T06'!F7</f>
        <v>559</v>
      </c>
      <c r="G11" s="383">
        <f>'T06'!G7</f>
        <v>84</v>
      </c>
      <c r="H11" s="336">
        <f>'T06'!H7</f>
        <v>717</v>
      </c>
      <c r="I11" s="336">
        <f>'T06'!I7</f>
        <v>486</v>
      </c>
      <c r="J11" s="336">
        <f>'T06'!J7</f>
        <v>132</v>
      </c>
      <c r="K11" s="336">
        <f>'T06'!K7</f>
        <v>192</v>
      </c>
      <c r="L11" s="336">
        <f>'T06'!L7</f>
        <v>196</v>
      </c>
      <c r="M11" s="336">
        <f>'T06'!M7</f>
        <v>261</v>
      </c>
      <c r="N11" s="336">
        <f>'T06'!N7</f>
        <v>415</v>
      </c>
      <c r="O11" s="336">
        <f>'T06'!O7</f>
        <v>3116</v>
      </c>
      <c r="P11" s="336">
        <f>'T06'!P7</f>
        <v>293</v>
      </c>
      <c r="Q11" s="336">
        <f>'T06'!Q7</f>
        <v>1212</v>
      </c>
      <c r="R11" s="336">
        <f>'T06'!R7</f>
        <v>3</v>
      </c>
      <c r="S11" s="383">
        <f>'T06'!S7</f>
        <v>76</v>
      </c>
      <c r="T11" s="336">
        <f>'T06'!T7</f>
        <v>1164</v>
      </c>
      <c r="U11" s="336">
        <f>'T06'!U7</f>
        <v>170</v>
      </c>
      <c r="V11" s="12">
        <f t="shared" si="1"/>
        <v>13128</v>
      </c>
      <c r="W11" s="7" t="s">
        <v>143</v>
      </c>
      <c r="X11"/>
    </row>
    <row r="12" spans="1:24" x14ac:dyDescent="0.2">
      <c r="A12" s="68"/>
      <c r="B12" s="7"/>
      <c r="C12" s="7"/>
      <c r="D12" s="7"/>
      <c r="E12" s="7"/>
      <c r="F12" s="7"/>
      <c r="G12" s="382"/>
      <c r="H12" s="7"/>
      <c r="I12" s="7"/>
      <c r="J12" s="7"/>
      <c r="K12" s="7"/>
      <c r="L12" s="7"/>
      <c r="M12" s="7"/>
      <c r="N12" s="7"/>
      <c r="O12" s="7"/>
      <c r="P12" s="7"/>
      <c r="Q12" s="7"/>
      <c r="R12" s="7"/>
      <c r="S12" s="382"/>
      <c r="T12" s="7"/>
      <c r="U12" s="7"/>
      <c r="V12" s="34"/>
      <c r="X12"/>
    </row>
    <row r="13" spans="1:24" x14ac:dyDescent="0.2">
      <c r="A13" s="2" t="s">
        <v>162</v>
      </c>
      <c r="B13" s="384"/>
      <c r="C13" s="384"/>
      <c r="D13" s="384"/>
      <c r="E13" s="384"/>
      <c r="F13" s="384"/>
      <c r="G13" s="384"/>
      <c r="H13" s="384"/>
      <c r="I13" s="384"/>
      <c r="J13" s="384"/>
      <c r="K13" s="384"/>
      <c r="L13" s="384"/>
      <c r="M13" s="384"/>
      <c r="N13" s="384"/>
      <c r="O13" s="384"/>
      <c r="P13" s="384"/>
      <c r="Q13" s="384"/>
      <c r="R13" s="384"/>
      <c r="S13" s="384"/>
      <c r="T13" s="384"/>
      <c r="U13" s="384"/>
      <c r="V13" s="7"/>
      <c r="X13"/>
    </row>
    <row r="14" spans="1:24" x14ac:dyDescent="0.2">
      <c r="A14" s="71" t="s">
        <v>967</v>
      </c>
      <c r="B14" s="76"/>
      <c r="C14" s="76"/>
      <c r="D14" s="76"/>
      <c r="E14" s="76"/>
      <c r="F14" s="76"/>
      <c r="G14" s="76"/>
      <c r="H14" s="76"/>
      <c r="I14" s="76"/>
      <c r="J14" s="76"/>
      <c r="K14" s="76"/>
      <c r="L14" s="76"/>
      <c r="M14" s="76"/>
      <c r="N14" s="76"/>
      <c r="O14" s="76"/>
      <c r="P14" s="77"/>
      <c r="Q14" s="76"/>
      <c r="R14" s="76"/>
      <c r="S14" s="76"/>
      <c r="T14" s="76"/>
      <c r="U14" s="76"/>
      <c r="V14" s="76"/>
      <c r="X14"/>
    </row>
    <row r="15" spans="1:24" x14ac:dyDescent="0.2">
      <c r="A15" s="71" t="s">
        <v>971</v>
      </c>
      <c r="B15" s="76"/>
      <c r="C15" s="76"/>
      <c r="D15" s="76"/>
      <c r="E15" s="76"/>
      <c r="F15" s="76"/>
      <c r="G15" s="76"/>
      <c r="H15" s="76"/>
      <c r="I15" s="76"/>
      <c r="J15" s="76"/>
      <c r="K15" s="76"/>
      <c r="L15" s="76"/>
      <c r="M15" s="76"/>
      <c r="N15" s="76"/>
      <c r="O15" s="76"/>
      <c r="P15" s="77"/>
      <c r="Q15" s="76"/>
      <c r="R15" s="76"/>
      <c r="S15" s="76"/>
      <c r="T15" s="76"/>
      <c r="U15" s="76"/>
      <c r="V15" s="76"/>
      <c r="X15"/>
    </row>
    <row r="16" spans="1:24" x14ac:dyDescent="0.2">
      <c r="A16" s="71"/>
      <c r="B16" s="130"/>
      <c r="C16" s="76"/>
      <c r="D16" s="76"/>
      <c r="E16" s="76"/>
      <c r="F16" s="76"/>
      <c r="G16" s="76"/>
      <c r="H16" s="76"/>
      <c r="I16" s="76"/>
      <c r="J16" s="76"/>
      <c r="K16" s="76"/>
      <c r="L16" s="76"/>
      <c r="M16" s="76"/>
      <c r="N16" s="76"/>
      <c r="O16" s="76"/>
      <c r="P16" s="77"/>
      <c r="Q16" s="76"/>
      <c r="R16" s="76"/>
      <c r="S16" s="76"/>
      <c r="T16" s="76"/>
      <c r="U16" s="76"/>
      <c r="V16" s="76"/>
      <c r="X16"/>
    </row>
    <row r="17" spans="1:89" s="101" customFormat="1" ht="38.25" customHeight="1" x14ac:dyDescent="0.2">
      <c r="A17" s="1653" t="s">
        <v>694</v>
      </c>
      <c r="B17" s="1653"/>
      <c r="C17" s="1653"/>
      <c r="D17" s="1653"/>
      <c r="E17" s="1653"/>
      <c r="F17" s="467"/>
      <c r="G17" s="467"/>
      <c r="H17" s="467"/>
      <c r="I17" s="467"/>
      <c r="J17" s="467"/>
      <c r="K17" s="467"/>
      <c r="X17" s="385"/>
    </row>
    <row r="18" spans="1:89" ht="15" x14ac:dyDescent="0.25">
      <c r="V18" s="253" t="s">
        <v>0</v>
      </c>
      <c r="W18"/>
      <c r="X18"/>
      <c r="Y18"/>
      <c r="Z18"/>
      <c r="AA18"/>
      <c r="AB18"/>
      <c r="AC18"/>
      <c r="AD18"/>
      <c r="AE18"/>
      <c r="AF18"/>
      <c r="AG18"/>
      <c r="AH18"/>
      <c r="AI18"/>
      <c r="AJ18"/>
      <c r="AK18"/>
      <c r="AL18"/>
      <c r="AM18"/>
      <c r="AN18"/>
      <c r="AO18"/>
      <c r="AP18"/>
      <c r="AQ18"/>
    </row>
    <row r="19" spans="1:89" ht="82.5" customHeight="1" x14ac:dyDescent="0.2">
      <c r="A19" s="4" t="s">
        <v>22</v>
      </c>
      <c r="B19" s="117" t="s">
        <v>65</v>
      </c>
      <c r="C19" s="1115" t="s">
        <v>981</v>
      </c>
      <c r="D19" s="1115" t="s">
        <v>66</v>
      </c>
      <c r="E19" s="1115" t="s">
        <v>982</v>
      </c>
      <c r="F19" s="1115" t="s">
        <v>983</v>
      </c>
      <c r="G19" s="1115" t="s">
        <v>67</v>
      </c>
      <c r="H19" s="1115" t="s">
        <v>68</v>
      </c>
      <c r="I19" s="1115" t="s">
        <v>984</v>
      </c>
      <c r="J19" s="1115" t="s">
        <v>985</v>
      </c>
      <c r="K19" s="1115" t="s">
        <v>986</v>
      </c>
      <c r="L19" s="1115" t="s">
        <v>69</v>
      </c>
      <c r="M19" s="1115" t="s">
        <v>987</v>
      </c>
      <c r="N19" s="1115" t="s">
        <v>988</v>
      </c>
      <c r="O19" s="1115" t="s">
        <v>979</v>
      </c>
      <c r="P19" s="1115" t="s">
        <v>70</v>
      </c>
      <c r="Q19" s="1115" t="s">
        <v>989</v>
      </c>
      <c r="R19" s="1115" t="s">
        <v>990</v>
      </c>
      <c r="S19" s="1115" t="s">
        <v>71</v>
      </c>
      <c r="T19" s="1115" t="s">
        <v>991</v>
      </c>
      <c r="U19" s="229" t="s">
        <v>72</v>
      </c>
      <c r="V19" s="765" t="s">
        <v>347</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row>
    <row r="20" spans="1:89" ht="18.75" customHeight="1" x14ac:dyDescent="0.2">
      <c r="A20" s="343" t="s">
        <v>23</v>
      </c>
      <c r="B20" s="872">
        <f>IFERROR(GETPIVOTDATA("Sum of 01:RTC",T_06!$A$4,"PubLANAME",$A20), 0)</f>
        <v>52</v>
      </c>
      <c r="C20" s="873">
        <f>IFERROR(GETPIVOTDATA("Sum of 02:Other Transport incident",T_06!$A$4,"PubLANAME",$A20), 0)</f>
        <v>13</v>
      </c>
      <c r="D20" s="873">
        <f>IFERROR(GETPIVOTDATA("Sum of 03:Flooding",T_06!$A$4,"PubLANAME",$A20), 0)</f>
        <v>58</v>
      </c>
      <c r="E20" s="874">
        <f>IFERROR(GETPIVOTDATA("Sum of 04:Rescue or evacuation from water",T_06!$A$4,"PubLANAME",$A20), 0)</f>
        <v>1</v>
      </c>
      <c r="F20" s="873">
        <f>IFERROR(GETPIVOTDATA("Sum of 05:Other rescue/release of persons",T_06!$A$4,"PubLANAME",$A20), 0)</f>
        <v>26</v>
      </c>
      <c r="G20" s="873">
        <f>IFERROR(GETPIVOTDATA("Sum of 06:Evacuation (no fire)",T_06!$A$4,"PubLANAME",$A20), 0)</f>
        <v>5</v>
      </c>
      <c r="H20" s="873">
        <f>IFERROR(GETPIVOTDATA("Sum of 07:Lift Release",T_06!$A$4,"PubLANAME",$A20), 0)</f>
        <v>151</v>
      </c>
      <c r="I20" s="873">
        <f>IFERROR(GETPIVOTDATA("Sum of 08:Medical Incident - First responder/Co-responder",T_06!$A$4,"PubLANAME",$A20), 0)</f>
        <v>18</v>
      </c>
      <c r="J20" s="873">
        <f>IFERROR(GETPIVOTDATA("Sum of 09:Suicide/attempts",T_06!$A$4,"PubLANAME",$A20), 0)</f>
        <v>3</v>
      </c>
      <c r="K20" s="873">
        <f>IFERROR(GETPIVOTDATA("Sum of 10:Hazardous Materials incident",T_06!$A$4,"PubLANAME",$A20), 0)</f>
        <v>16</v>
      </c>
      <c r="L20" s="873">
        <f>IFERROR(GETPIVOTDATA("Sum of 11:Spills and Leaks (not RTC)",T_06!$A$4,"PubLANAME",$A20), 0)</f>
        <v>3</v>
      </c>
      <c r="M20" s="873">
        <f>IFERROR(GETPIVOTDATA("Sum of 12:Removal of objects",T_06!$A$4,"PubLANAME",$A20), 0)</f>
        <v>5</v>
      </c>
      <c r="N20" s="873">
        <f>IFERROR(GETPIVOTDATA("Sum of 13:Animal assistance incidents",T_06!$A$4,"PubLANAME",$A20), 0)</f>
        <v>20</v>
      </c>
      <c r="O20" s="873">
        <f>IFERROR(GETPIVOTDATA("Sum of 14:Effecting entry/exit",T_06!$A$4,"PubLANAME",$A20), 0)</f>
        <v>146</v>
      </c>
      <c r="P20" s="873">
        <f>IFERROR(GETPIVOTDATA("Sum of 15:Making Safe (not RTC)",T_06!$A$4,"PubLANAME",$A20), 0)</f>
        <v>11</v>
      </c>
      <c r="Q20" s="873">
        <f>IFERROR(GETPIVOTDATA("Sum of 16:No action (not false alarm)",T_06!$A$4,"PubLANAME",$A20), 0)</f>
        <v>29</v>
      </c>
      <c r="R20" s="873">
        <f>IFERROR(GETPIVOTDATA("Sum of 17:Water provision",T_06!$A$4,"PubLANAME",$A20), 0)</f>
        <v>0</v>
      </c>
      <c r="S20" s="873">
        <f>IFERROR(GETPIVOTDATA("Sum of 18:Stand By",T_06!$A$4,"PubLANAME",$A20), 0)</f>
        <v>1</v>
      </c>
      <c r="T20" s="873">
        <f>IFERROR(GETPIVOTDATA("Sum of 19:Assist other agencies",T_06!$A$4,"PubLANAME",$A20), 0)</f>
        <v>28</v>
      </c>
      <c r="U20" s="873">
        <f>IFERROR(GETPIVOTDATA("Sum of 20:Advice Only",T_06!$A$4,"PubLANAME",$A20), 0)</f>
        <v>8</v>
      </c>
      <c r="V20" s="875">
        <f>SUM(B20:U20)</f>
        <v>594</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row>
    <row r="21" spans="1:89" ht="13.5" customHeight="1" x14ac:dyDescent="0.2">
      <c r="A21" s="46" t="s">
        <v>24</v>
      </c>
      <c r="B21" s="876">
        <f>IFERROR(GETPIVOTDATA("Sum of 01:RTC",T_06!$A$4,"PubLANAME",$A21), 0)</f>
        <v>182</v>
      </c>
      <c r="C21" s="877">
        <f>IFERROR(GETPIVOTDATA("Sum of 02:Other Transport incident",T_06!$A$4,"PubLANAME",$A21), 0)</f>
        <v>0</v>
      </c>
      <c r="D21" s="877">
        <f>IFERROR(GETPIVOTDATA("Sum of 03:Flooding",T_06!$A$4,"PubLANAME",$A21), 0)</f>
        <v>26</v>
      </c>
      <c r="E21" s="877">
        <f>IFERROR(GETPIVOTDATA("Sum of 04:Rescue or evacuation from water",T_06!$A$4,"PubLANAME",$A21), 0)</f>
        <v>5</v>
      </c>
      <c r="F21" s="877">
        <f>IFERROR(GETPIVOTDATA("Sum of 05:Other rescue/release of persons",T_06!$A$4,"PubLANAME",$A21), 0)</f>
        <v>17</v>
      </c>
      <c r="G21" s="877">
        <f>IFERROR(GETPIVOTDATA("Sum of 06:Evacuation (no fire)",T_06!$A$4,"PubLANAME",$A21), 0)</f>
        <v>1</v>
      </c>
      <c r="H21" s="877">
        <f>IFERROR(GETPIVOTDATA("Sum of 07:Lift Release",T_06!$A$4,"PubLANAME",$A21), 0)</f>
        <v>14</v>
      </c>
      <c r="I21" s="877">
        <f>IFERROR(GETPIVOTDATA("Sum of 08:Medical Incident - First responder/Co-responder",T_06!$A$4,"PubLANAME",$A21), 0)</f>
        <v>26</v>
      </c>
      <c r="J21" s="878">
        <f>IFERROR(GETPIVOTDATA("Sum of 09:Suicide/attempts",T_06!$A$4,"PubLANAME",$A21), 0)</f>
        <v>0</v>
      </c>
      <c r="K21" s="877">
        <f>IFERROR(GETPIVOTDATA("Sum of 10:Hazardous Materials incident",T_06!$A$4,"PubLANAME",$A21), 0)</f>
        <v>7</v>
      </c>
      <c r="L21" s="877">
        <f>IFERROR(GETPIVOTDATA("Sum of 11:Spills and Leaks (not RTC)",T_06!$A$4,"PubLANAME",$A21), 0)</f>
        <v>4</v>
      </c>
      <c r="M21" s="877">
        <f>IFERROR(GETPIVOTDATA("Sum of 12:Removal of objects",T_06!$A$4,"PubLANAME",$A21), 0)</f>
        <v>6</v>
      </c>
      <c r="N21" s="877">
        <f>IFERROR(GETPIVOTDATA("Sum of 13:Animal assistance incidents",T_06!$A$4,"PubLANAME",$A21), 0)</f>
        <v>24</v>
      </c>
      <c r="O21" s="877">
        <f>IFERROR(GETPIVOTDATA("Sum of 14:Effecting entry/exit",T_06!$A$4,"PubLANAME",$A21), 0)</f>
        <v>57</v>
      </c>
      <c r="P21" s="877">
        <f>IFERROR(GETPIVOTDATA("Sum of 15:Making Safe (not RTC)",T_06!$A$4,"PubLANAME",$A21), 0)</f>
        <v>8</v>
      </c>
      <c r="Q21" s="877">
        <f>IFERROR(GETPIVOTDATA("Sum of 16:No action (not false alarm)",T_06!$A$4,"PubLANAME",$A21), 0)</f>
        <v>12</v>
      </c>
      <c r="R21" s="878">
        <f>IFERROR(GETPIVOTDATA("Sum of 17:Water provision",T_06!$A$4,"PubLANAME",$A21), 0)</f>
        <v>0</v>
      </c>
      <c r="S21" s="878">
        <f>IFERROR(GETPIVOTDATA("Sum of 18:Stand By",T_06!$A$4,"PubLANAME",$A21), 0)</f>
        <v>0</v>
      </c>
      <c r="T21" s="877">
        <f>IFERROR(GETPIVOTDATA("Sum of 19:Assist other agencies",T_06!$A$4,"PubLANAME",$A21), 0)</f>
        <v>34</v>
      </c>
      <c r="U21" s="877">
        <f>IFERROR(GETPIVOTDATA("Sum of 20:Advice Only",T_06!$A$4,"PubLANAME",$A21), 0)</f>
        <v>2</v>
      </c>
      <c r="V21" s="879">
        <f t="shared" ref="V21:V51" si="2">SUM(B21:U21)</f>
        <v>425</v>
      </c>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row>
    <row r="22" spans="1:89" ht="13.5" customHeight="1" x14ac:dyDescent="0.2">
      <c r="A22" s="343" t="s">
        <v>25</v>
      </c>
      <c r="B22" s="880">
        <f>IFERROR(GETPIVOTDATA("Sum of 01:RTC",T_06!$A$4,"PubLANAME",$A22), 0)</f>
        <v>65</v>
      </c>
      <c r="C22" s="881">
        <f>IFERROR(GETPIVOTDATA("Sum of 02:Other Transport incident",T_06!$A$4,"PubLANAME",$A22), 0)</f>
        <v>1</v>
      </c>
      <c r="D22" s="881">
        <f>IFERROR(GETPIVOTDATA("Sum of 03:Flooding",T_06!$A$4,"PubLANAME",$A22), 0)</f>
        <v>20</v>
      </c>
      <c r="E22" s="881">
        <f>IFERROR(GETPIVOTDATA("Sum of 04:Rescue or evacuation from water",T_06!$A$4,"PubLANAME",$A22), 0)</f>
        <v>2</v>
      </c>
      <c r="F22" s="881">
        <f>IFERROR(GETPIVOTDATA("Sum of 05:Other rescue/release of persons",T_06!$A$4,"PubLANAME",$A22), 0)</f>
        <v>16</v>
      </c>
      <c r="G22" s="882">
        <f>IFERROR(GETPIVOTDATA("Sum of 06:Evacuation (no fire)",T_06!$A$4,"PubLANAME",$A22), 0)</f>
        <v>1</v>
      </c>
      <c r="H22" s="881">
        <f>IFERROR(GETPIVOTDATA("Sum of 07:Lift Release",T_06!$A$4,"PubLANAME",$A22), 0)</f>
        <v>3</v>
      </c>
      <c r="I22" s="881">
        <f>IFERROR(GETPIVOTDATA("Sum of 08:Medical Incident - First responder/Co-responder",T_06!$A$4,"PubLANAME",$A22), 0)</f>
        <v>11</v>
      </c>
      <c r="J22" s="881">
        <f>IFERROR(GETPIVOTDATA("Sum of 09:Suicide/attempts",T_06!$A$4,"PubLANAME",$A22), 0)</f>
        <v>3</v>
      </c>
      <c r="K22" s="881">
        <f>IFERROR(GETPIVOTDATA("Sum of 10:Hazardous Materials incident",T_06!$A$4,"PubLANAME",$A22), 0)</f>
        <v>4</v>
      </c>
      <c r="L22" s="881">
        <f>IFERROR(GETPIVOTDATA("Sum of 11:Spills and Leaks (not RTC)",T_06!$A$4,"PubLANAME",$A22), 0)</f>
        <v>2</v>
      </c>
      <c r="M22" s="881">
        <f>IFERROR(GETPIVOTDATA("Sum of 12:Removal of objects",T_06!$A$4,"PubLANAME",$A22), 0)</f>
        <v>3</v>
      </c>
      <c r="N22" s="881">
        <f>IFERROR(GETPIVOTDATA("Sum of 13:Animal assistance incidents",T_06!$A$4,"PubLANAME",$A22), 0)</f>
        <v>9</v>
      </c>
      <c r="O22" s="881">
        <f>IFERROR(GETPIVOTDATA("Sum of 14:Effecting entry/exit",T_06!$A$4,"PubLANAME",$A22), 0)</f>
        <v>77</v>
      </c>
      <c r="P22" s="881">
        <f>IFERROR(GETPIVOTDATA("Sum of 15:Making Safe (not RTC)",T_06!$A$4,"PubLANAME",$A22), 0)</f>
        <v>7</v>
      </c>
      <c r="Q22" s="881">
        <f>IFERROR(GETPIVOTDATA("Sum of 16:No action (not false alarm)",T_06!$A$4,"PubLANAME",$A22), 0)</f>
        <v>20</v>
      </c>
      <c r="R22" s="882">
        <f>IFERROR(GETPIVOTDATA("Sum of 17:Water provision",T_06!$A$4,"PubLANAME",$A22), 0)</f>
        <v>0</v>
      </c>
      <c r="S22" s="882">
        <f>IFERROR(GETPIVOTDATA("Sum of 18:Stand By",T_06!$A$4,"PubLANAME",$A22), 0)</f>
        <v>0</v>
      </c>
      <c r="T22" s="881">
        <f>IFERROR(GETPIVOTDATA("Sum of 19:Assist other agencies",T_06!$A$4,"PubLANAME",$A22), 0)</f>
        <v>28</v>
      </c>
      <c r="U22" s="881">
        <f>IFERROR(GETPIVOTDATA("Sum of 20:Advice Only",T_06!$A$4,"PubLANAME",$A22), 0)</f>
        <v>4</v>
      </c>
      <c r="V22" s="883">
        <f t="shared" si="2"/>
        <v>276</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row>
    <row r="23" spans="1:89" ht="13.5" customHeight="1" x14ac:dyDescent="0.2">
      <c r="A23" s="46" t="s">
        <v>26</v>
      </c>
      <c r="B23" s="876">
        <f>IFERROR(GETPIVOTDATA("Sum of 01:RTC",T_06!$A$4,"PubLANAME",$A23), 0)</f>
        <v>77</v>
      </c>
      <c r="C23" s="877">
        <f>IFERROR(GETPIVOTDATA("Sum of 02:Other Transport incident",T_06!$A$4,"PubLANAME",$A23), 0)</f>
        <v>2</v>
      </c>
      <c r="D23" s="877">
        <f>IFERROR(GETPIVOTDATA("Sum of 03:Flooding",T_06!$A$4,"PubLANAME",$A23), 0)</f>
        <v>22</v>
      </c>
      <c r="E23" s="877">
        <f>IFERROR(GETPIVOTDATA("Sum of 04:Rescue or evacuation from water",T_06!$A$4,"PubLANAME",$A23), 0)</f>
        <v>3</v>
      </c>
      <c r="F23" s="877">
        <f>IFERROR(GETPIVOTDATA("Sum of 05:Other rescue/release of persons",T_06!$A$4,"PubLANAME",$A23), 0)</f>
        <v>6</v>
      </c>
      <c r="G23" s="878">
        <f>IFERROR(GETPIVOTDATA("Sum of 06:Evacuation (no fire)",T_06!$A$4,"PubLANAME",$A23), 0)</f>
        <v>2</v>
      </c>
      <c r="H23" s="877">
        <f>IFERROR(GETPIVOTDATA("Sum of 07:Lift Release",T_06!$A$4,"PubLANAME",$A23), 0)</f>
        <v>8</v>
      </c>
      <c r="I23" s="877">
        <f>IFERROR(GETPIVOTDATA("Sum of 08:Medical Incident - First responder/Co-responder",T_06!$A$4,"PubLANAME",$A23), 0)</f>
        <v>15</v>
      </c>
      <c r="J23" s="877">
        <f>IFERROR(GETPIVOTDATA("Sum of 09:Suicide/attempts",T_06!$A$4,"PubLANAME",$A23), 0)</f>
        <v>4</v>
      </c>
      <c r="K23" s="877">
        <f>IFERROR(GETPIVOTDATA("Sum of 10:Hazardous Materials incident",T_06!$A$4,"PubLANAME",$A23), 0)</f>
        <v>2</v>
      </c>
      <c r="L23" s="877">
        <f>IFERROR(GETPIVOTDATA("Sum of 11:Spills and Leaks (not RTC)",T_06!$A$4,"PubLANAME",$A23), 0)</f>
        <v>6</v>
      </c>
      <c r="M23" s="877">
        <f>IFERROR(GETPIVOTDATA("Sum of 12:Removal of objects",T_06!$A$4,"PubLANAME",$A23), 0)</f>
        <v>3</v>
      </c>
      <c r="N23" s="877">
        <f>IFERROR(GETPIVOTDATA("Sum of 13:Animal assistance incidents",T_06!$A$4,"PubLANAME",$A23), 0)</f>
        <v>10</v>
      </c>
      <c r="O23" s="877">
        <f>IFERROR(GETPIVOTDATA("Sum of 14:Effecting entry/exit",T_06!$A$4,"PubLANAME",$A23), 0)</f>
        <v>28</v>
      </c>
      <c r="P23" s="877">
        <f>IFERROR(GETPIVOTDATA("Sum of 15:Making Safe (not RTC)",T_06!$A$4,"PubLANAME",$A23), 0)</f>
        <v>6</v>
      </c>
      <c r="Q23" s="877">
        <f>IFERROR(GETPIVOTDATA("Sum of 16:No action (not false alarm)",T_06!$A$4,"PubLANAME",$A23), 0)</f>
        <v>29</v>
      </c>
      <c r="R23" s="878">
        <f>IFERROR(GETPIVOTDATA("Sum of 17:Water provision",T_06!$A$4,"PubLANAME",$A23), 0)</f>
        <v>0</v>
      </c>
      <c r="S23" s="877">
        <f>IFERROR(GETPIVOTDATA("Sum of 18:Stand By",T_06!$A$4,"PubLANAME",$A23), 0)</f>
        <v>25</v>
      </c>
      <c r="T23" s="877">
        <f>IFERROR(GETPIVOTDATA("Sum of 19:Assist other agencies",T_06!$A$4,"PubLANAME",$A23), 0)</f>
        <v>53</v>
      </c>
      <c r="U23" s="877">
        <f>IFERROR(GETPIVOTDATA("Sum of 20:Advice Only",T_06!$A$4,"PubLANAME",$A23), 0)</f>
        <v>3</v>
      </c>
      <c r="V23" s="879">
        <f t="shared" si="2"/>
        <v>304</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row>
    <row r="24" spans="1:89" ht="13.5" customHeight="1" x14ac:dyDescent="0.2">
      <c r="A24" s="343" t="s">
        <v>27</v>
      </c>
      <c r="B24" s="880">
        <f>IFERROR(GETPIVOTDATA("Sum of 01:RTC",T_06!$A$4,"PubLANAME",$A24), 0)</f>
        <v>12</v>
      </c>
      <c r="C24" s="881">
        <f>IFERROR(GETPIVOTDATA("Sum of 02:Other Transport incident",T_06!$A$4,"PubLANAME",$A24), 0)</f>
        <v>0</v>
      </c>
      <c r="D24" s="881">
        <f>IFERROR(GETPIVOTDATA("Sum of 03:Flooding",T_06!$A$4,"PubLANAME",$A24), 0)</f>
        <v>9</v>
      </c>
      <c r="E24" s="882">
        <f>IFERROR(GETPIVOTDATA("Sum of 04:Rescue or evacuation from water",T_06!$A$4,"PubLANAME",$A24), 0)</f>
        <v>0</v>
      </c>
      <c r="F24" s="881">
        <f>IFERROR(GETPIVOTDATA("Sum of 05:Other rescue/release of persons",T_06!$A$4,"PubLANAME",$A24), 0)</f>
        <v>8</v>
      </c>
      <c r="G24" s="882">
        <f>IFERROR(GETPIVOTDATA("Sum of 06:Evacuation (no fire)",T_06!$A$4,"PubLANAME",$A24), 0)</f>
        <v>1</v>
      </c>
      <c r="H24" s="882">
        <f>IFERROR(GETPIVOTDATA("Sum of 07:Lift Release",T_06!$A$4,"PubLANAME",$A24), 0)</f>
        <v>1</v>
      </c>
      <c r="I24" s="881">
        <f>IFERROR(GETPIVOTDATA("Sum of 08:Medical Incident - First responder/Co-responder",T_06!$A$4,"PubLANAME",$A24), 0)</f>
        <v>4</v>
      </c>
      <c r="J24" s="882">
        <f>IFERROR(GETPIVOTDATA("Sum of 09:Suicide/attempts",T_06!$A$4,"PubLANAME",$A24), 0)</f>
        <v>2</v>
      </c>
      <c r="K24" s="881">
        <f>IFERROR(GETPIVOTDATA("Sum of 10:Hazardous Materials incident",T_06!$A$4,"PubLANAME",$A24), 0)</f>
        <v>1</v>
      </c>
      <c r="L24" s="881">
        <f>IFERROR(GETPIVOTDATA("Sum of 11:Spills and Leaks (not RTC)",T_06!$A$4,"PubLANAME",$A24), 0)</f>
        <v>2</v>
      </c>
      <c r="M24" s="881">
        <f>IFERROR(GETPIVOTDATA("Sum of 12:Removal of objects",T_06!$A$4,"PubLANAME",$A24), 0)</f>
        <v>6</v>
      </c>
      <c r="N24" s="881">
        <f>IFERROR(GETPIVOTDATA("Sum of 13:Animal assistance incidents",T_06!$A$4,"PubLANAME",$A24), 0)</f>
        <v>4</v>
      </c>
      <c r="O24" s="881">
        <f>IFERROR(GETPIVOTDATA("Sum of 14:Effecting entry/exit",T_06!$A$4,"PubLANAME",$A24), 0)</f>
        <v>41</v>
      </c>
      <c r="P24" s="881">
        <f>IFERROR(GETPIVOTDATA("Sum of 15:Making Safe (not RTC)",T_06!$A$4,"PubLANAME",$A24), 0)</f>
        <v>0</v>
      </c>
      <c r="Q24" s="882">
        <f>IFERROR(GETPIVOTDATA("Sum of 16:No action (not false alarm)",T_06!$A$4,"PubLANAME",$A24), 0)</f>
        <v>3</v>
      </c>
      <c r="R24" s="882">
        <f>IFERROR(GETPIVOTDATA("Sum of 17:Water provision",T_06!$A$4,"PubLANAME",$A24), 0)</f>
        <v>0</v>
      </c>
      <c r="S24" s="882">
        <f>IFERROR(GETPIVOTDATA("Sum of 18:Stand By",T_06!$A$4,"PubLANAME",$A24), 0)</f>
        <v>0</v>
      </c>
      <c r="T24" s="881">
        <f>IFERROR(GETPIVOTDATA("Sum of 19:Assist other agencies",T_06!$A$4,"PubLANAME",$A24), 0)</f>
        <v>12</v>
      </c>
      <c r="U24" s="882">
        <f>IFERROR(GETPIVOTDATA("Sum of 20:Advice Only",T_06!$A$4,"PubLANAME",$A24), 0)</f>
        <v>1</v>
      </c>
      <c r="V24" s="883">
        <f t="shared" si="2"/>
        <v>107</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row>
    <row r="25" spans="1:89" ht="13.5" customHeight="1" x14ac:dyDescent="0.2">
      <c r="A25" s="46" t="s">
        <v>28</v>
      </c>
      <c r="B25" s="876">
        <f>IFERROR(GETPIVOTDATA("Sum of 01:RTC",T_06!$A$4,"PubLANAME",$A25), 0)</f>
        <v>91</v>
      </c>
      <c r="C25" s="878">
        <f>IFERROR(GETPIVOTDATA("Sum of 02:Other Transport incident",T_06!$A$4,"PubLANAME",$A25), 0)</f>
        <v>4</v>
      </c>
      <c r="D25" s="877">
        <f>IFERROR(GETPIVOTDATA("Sum of 03:Flooding",T_06!$A$4,"PubLANAME",$A25), 0)</f>
        <v>30</v>
      </c>
      <c r="E25" s="877">
        <f>IFERROR(GETPIVOTDATA("Sum of 04:Rescue or evacuation from water",T_06!$A$4,"PubLANAME",$A25), 0)</f>
        <v>13</v>
      </c>
      <c r="F25" s="877">
        <f>IFERROR(GETPIVOTDATA("Sum of 05:Other rescue/release of persons",T_06!$A$4,"PubLANAME",$A25), 0)</f>
        <v>11</v>
      </c>
      <c r="G25" s="877">
        <f>IFERROR(GETPIVOTDATA("Sum of 06:Evacuation (no fire)",T_06!$A$4,"PubLANAME",$A25), 0)</f>
        <v>1</v>
      </c>
      <c r="H25" s="877">
        <f>IFERROR(GETPIVOTDATA("Sum of 07:Lift Release",T_06!$A$4,"PubLANAME",$A25), 0)</f>
        <v>12</v>
      </c>
      <c r="I25" s="877">
        <f>IFERROR(GETPIVOTDATA("Sum of 08:Medical Incident - First responder/Co-responder",T_06!$A$4,"PubLANAME",$A25), 0)</f>
        <v>23</v>
      </c>
      <c r="J25" s="878">
        <f>IFERROR(GETPIVOTDATA("Sum of 09:Suicide/attempts",T_06!$A$4,"PubLANAME",$A25), 0)</f>
        <v>8</v>
      </c>
      <c r="K25" s="877">
        <f>IFERROR(GETPIVOTDATA("Sum of 10:Hazardous Materials incident",T_06!$A$4,"PubLANAME",$A25), 0)</f>
        <v>6</v>
      </c>
      <c r="L25" s="877">
        <f>IFERROR(GETPIVOTDATA("Sum of 11:Spills and Leaks (not RTC)",T_06!$A$4,"PubLANAME",$A25), 0)</f>
        <v>7</v>
      </c>
      <c r="M25" s="877">
        <f>IFERROR(GETPIVOTDATA("Sum of 12:Removal of objects",T_06!$A$4,"PubLANAME",$A25), 0)</f>
        <v>5</v>
      </c>
      <c r="N25" s="877">
        <f>IFERROR(GETPIVOTDATA("Sum of 13:Animal assistance incidents",T_06!$A$4,"PubLANAME",$A25), 0)</f>
        <v>19</v>
      </c>
      <c r="O25" s="877">
        <f>IFERROR(GETPIVOTDATA("Sum of 14:Effecting entry/exit",T_06!$A$4,"PubLANAME",$A25), 0)</f>
        <v>45</v>
      </c>
      <c r="P25" s="877">
        <f>IFERROR(GETPIVOTDATA("Sum of 15:Making Safe (not RTC)",T_06!$A$4,"PubLANAME",$A25), 0)</f>
        <v>7</v>
      </c>
      <c r="Q25" s="877">
        <f>IFERROR(GETPIVOTDATA("Sum of 16:No action (not false alarm)",T_06!$A$4,"PubLANAME",$A25), 0)</f>
        <v>7</v>
      </c>
      <c r="R25" s="877">
        <f>IFERROR(GETPIVOTDATA("Sum of 17:Water provision",T_06!$A$4,"PubLANAME",$A25), 0)</f>
        <v>0</v>
      </c>
      <c r="S25" s="878">
        <f>IFERROR(GETPIVOTDATA("Sum of 18:Stand By",T_06!$A$4,"PubLANAME",$A25), 0)</f>
        <v>1</v>
      </c>
      <c r="T25" s="877">
        <f>IFERROR(GETPIVOTDATA("Sum of 19:Assist other agencies",T_06!$A$4,"PubLANAME",$A25), 0)</f>
        <v>35</v>
      </c>
      <c r="U25" s="877">
        <f>IFERROR(GETPIVOTDATA("Sum of 20:Advice Only",T_06!$A$4,"PubLANAME",$A25), 0)</f>
        <v>5</v>
      </c>
      <c r="V25" s="879">
        <f t="shared" si="2"/>
        <v>330</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row>
    <row r="26" spans="1:89" ht="13.5" customHeight="1" x14ac:dyDescent="0.2">
      <c r="A26" s="343" t="s">
        <v>29</v>
      </c>
      <c r="B26" s="880">
        <f>IFERROR(GETPIVOTDATA("Sum of 01:RTC",T_06!$A$4,"PubLANAME",$A26), 0)</f>
        <v>34</v>
      </c>
      <c r="C26" s="881">
        <f>IFERROR(GETPIVOTDATA("Sum of 02:Other Transport incident",T_06!$A$4,"PubLANAME",$A26), 0)</f>
        <v>3</v>
      </c>
      <c r="D26" s="881">
        <f>IFERROR(GETPIVOTDATA("Sum of 03:Flooding",T_06!$A$4,"PubLANAME",$A26), 0)</f>
        <v>45</v>
      </c>
      <c r="E26" s="881">
        <f>IFERROR(GETPIVOTDATA("Sum of 04:Rescue or evacuation from water",T_06!$A$4,"PubLANAME",$A26), 0)</f>
        <v>2</v>
      </c>
      <c r="F26" s="881">
        <f>IFERROR(GETPIVOTDATA("Sum of 05:Other rescue/release of persons",T_06!$A$4,"PubLANAME",$A26), 0)</f>
        <v>12</v>
      </c>
      <c r="G26" s="881">
        <f>IFERROR(GETPIVOTDATA("Sum of 06:Evacuation (no fire)",T_06!$A$4,"PubLANAME",$A26), 0)</f>
        <v>6</v>
      </c>
      <c r="H26" s="881">
        <f>IFERROR(GETPIVOTDATA("Sum of 07:Lift Release",T_06!$A$4,"PubLANAME",$A26), 0)</f>
        <v>54</v>
      </c>
      <c r="I26" s="881">
        <f>IFERROR(GETPIVOTDATA("Sum of 08:Medical Incident - First responder/Co-responder",T_06!$A$4,"PubLANAME",$A26), 0)</f>
        <v>8</v>
      </c>
      <c r="J26" s="881">
        <f>IFERROR(GETPIVOTDATA("Sum of 09:Suicide/attempts",T_06!$A$4,"PubLANAME",$A26), 0)</f>
        <v>5</v>
      </c>
      <c r="K26" s="882">
        <f>IFERROR(GETPIVOTDATA("Sum of 10:Hazardous Materials incident",T_06!$A$4,"PubLANAME",$A26), 0)</f>
        <v>4</v>
      </c>
      <c r="L26" s="881">
        <f>IFERROR(GETPIVOTDATA("Sum of 11:Spills and Leaks (not RTC)",T_06!$A$4,"PubLANAME",$A26), 0)</f>
        <v>6</v>
      </c>
      <c r="M26" s="881">
        <f>IFERROR(GETPIVOTDATA("Sum of 12:Removal of objects",T_06!$A$4,"PubLANAME",$A26), 0)</f>
        <v>3</v>
      </c>
      <c r="N26" s="881">
        <f>IFERROR(GETPIVOTDATA("Sum of 13:Animal assistance incidents",T_06!$A$4,"PubLANAME",$A26), 0)</f>
        <v>12</v>
      </c>
      <c r="O26" s="881">
        <f>IFERROR(GETPIVOTDATA("Sum of 14:Effecting entry/exit",T_06!$A$4,"PubLANAME",$A26), 0)</f>
        <v>141</v>
      </c>
      <c r="P26" s="881">
        <f>IFERROR(GETPIVOTDATA("Sum of 15:Making Safe (not RTC)",T_06!$A$4,"PubLANAME",$A26), 0)</f>
        <v>32</v>
      </c>
      <c r="Q26" s="881">
        <f>IFERROR(GETPIVOTDATA("Sum of 16:No action (not false alarm)",T_06!$A$4,"PubLANAME",$A26), 0)</f>
        <v>21</v>
      </c>
      <c r="R26" s="882">
        <f>IFERROR(GETPIVOTDATA("Sum of 17:Water provision",T_06!$A$4,"PubLANAME",$A26), 0)</f>
        <v>0</v>
      </c>
      <c r="S26" s="882">
        <f>IFERROR(GETPIVOTDATA("Sum of 18:Stand By",T_06!$A$4,"PubLANAME",$A26), 0)</f>
        <v>1</v>
      </c>
      <c r="T26" s="881">
        <f>IFERROR(GETPIVOTDATA("Sum of 19:Assist other agencies",T_06!$A$4,"PubLANAME",$A26), 0)</f>
        <v>20</v>
      </c>
      <c r="U26" s="881">
        <f>IFERROR(GETPIVOTDATA("Sum of 20:Advice Only",T_06!$A$4,"PubLANAME",$A26), 0)</f>
        <v>7</v>
      </c>
      <c r="V26" s="883">
        <f t="shared" si="2"/>
        <v>416</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row>
    <row r="27" spans="1:89" ht="13.5" customHeight="1" x14ac:dyDescent="0.2">
      <c r="A27" s="46" t="s">
        <v>30</v>
      </c>
      <c r="B27" s="876">
        <f>IFERROR(GETPIVOTDATA("Sum of 01:RTC",T_06!$A$4,"PubLANAME",$A27), 0)</f>
        <v>61</v>
      </c>
      <c r="C27" s="878">
        <f>IFERROR(GETPIVOTDATA("Sum of 02:Other Transport incident",T_06!$A$4,"PubLANAME",$A27), 0)</f>
        <v>3</v>
      </c>
      <c r="D27" s="877">
        <f>IFERROR(GETPIVOTDATA("Sum of 03:Flooding",T_06!$A$4,"PubLANAME",$A27), 0)</f>
        <v>15</v>
      </c>
      <c r="E27" s="877">
        <f>IFERROR(GETPIVOTDATA("Sum of 04:Rescue or evacuation from water",T_06!$A$4,"PubLANAME",$A27), 0)</f>
        <v>5</v>
      </c>
      <c r="F27" s="877">
        <f>IFERROR(GETPIVOTDATA("Sum of 05:Other rescue/release of persons",T_06!$A$4,"PubLANAME",$A27), 0)</f>
        <v>7</v>
      </c>
      <c r="G27" s="877">
        <f>IFERROR(GETPIVOTDATA("Sum of 06:Evacuation (no fire)",T_06!$A$4,"PubLANAME",$A27), 0)</f>
        <v>0</v>
      </c>
      <c r="H27" s="877">
        <f>IFERROR(GETPIVOTDATA("Sum of 07:Lift Release",T_06!$A$4,"PubLANAME",$A27), 0)</f>
        <v>2</v>
      </c>
      <c r="I27" s="877">
        <f>IFERROR(GETPIVOTDATA("Sum of 08:Medical Incident - First responder/Co-responder",T_06!$A$4,"PubLANAME",$A27), 0)</f>
        <v>4</v>
      </c>
      <c r="J27" s="878">
        <f>IFERROR(GETPIVOTDATA("Sum of 09:Suicide/attempts",T_06!$A$4,"PubLANAME",$A27), 0)</f>
        <v>2</v>
      </c>
      <c r="K27" s="877">
        <f>IFERROR(GETPIVOTDATA("Sum of 10:Hazardous Materials incident",T_06!$A$4,"PubLANAME",$A27), 0)</f>
        <v>3</v>
      </c>
      <c r="L27" s="877">
        <f>IFERROR(GETPIVOTDATA("Sum of 11:Spills and Leaks (not RTC)",T_06!$A$4,"PubLANAME",$A27), 0)</f>
        <v>0</v>
      </c>
      <c r="M27" s="877">
        <f>IFERROR(GETPIVOTDATA("Sum of 12:Removal of objects",T_06!$A$4,"PubLANAME",$A27), 0)</f>
        <v>3</v>
      </c>
      <c r="N27" s="877">
        <f>IFERROR(GETPIVOTDATA("Sum of 13:Animal assistance incidents",T_06!$A$4,"PubLANAME",$A27), 0)</f>
        <v>8</v>
      </c>
      <c r="O27" s="877">
        <f>IFERROR(GETPIVOTDATA("Sum of 14:Effecting entry/exit",T_06!$A$4,"PubLANAME",$A27), 0)</f>
        <v>45</v>
      </c>
      <c r="P27" s="877">
        <f>IFERROR(GETPIVOTDATA("Sum of 15:Making Safe (not RTC)",T_06!$A$4,"PubLANAME",$A27), 0)</f>
        <v>5</v>
      </c>
      <c r="Q27" s="877">
        <f>IFERROR(GETPIVOTDATA("Sum of 16:No action (not false alarm)",T_06!$A$4,"PubLANAME",$A27), 0)</f>
        <v>26</v>
      </c>
      <c r="R27" s="878">
        <f>IFERROR(GETPIVOTDATA("Sum of 17:Water provision",T_06!$A$4,"PubLANAME",$A27), 0)</f>
        <v>0</v>
      </c>
      <c r="S27" s="877">
        <f>IFERROR(GETPIVOTDATA("Sum of 18:Stand By",T_06!$A$4,"PubLANAME",$A27), 0)</f>
        <v>0</v>
      </c>
      <c r="T27" s="877">
        <f>IFERROR(GETPIVOTDATA("Sum of 19:Assist other agencies",T_06!$A$4,"PubLANAME",$A27), 0)</f>
        <v>23</v>
      </c>
      <c r="U27" s="877">
        <f>IFERROR(GETPIVOTDATA("Sum of 20:Advice Only",T_06!$A$4,"PubLANAME",$A27), 0)</f>
        <v>3</v>
      </c>
      <c r="V27" s="879">
        <f t="shared" si="2"/>
        <v>215</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row>
    <row r="28" spans="1:89" ht="13.5" customHeight="1" x14ac:dyDescent="0.2">
      <c r="A28" s="343" t="s">
        <v>31</v>
      </c>
      <c r="B28" s="880">
        <f>IFERROR(GETPIVOTDATA("Sum of 01:RTC",T_06!$A$4,"PubLANAME",$A28), 0)</f>
        <v>38</v>
      </c>
      <c r="C28" s="881">
        <f>IFERROR(GETPIVOTDATA("Sum of 02:Other Transport incident",T_06!$A$4,"PubLANAME",$A28), 0)</f>
        <v>0</v>
      </c>
      <c r="D28" s="881">
        <f>IFERROR(GETPIVOTDATA("Sum of 03:Flooding",T_06!$A$4,"PubLANAME",$A28), 0)</f>
        <v>26</v>
      </c>
      <c r="E28" s="881">
        <f>IFERROR(GETPIVOTDATA("Sum of 04:Rescue or evacuation from water",T_06!$A$4,"PubLANAME",$A28), 0)</f>
        <v>2</v>
      </c>
      <c r="F28" s="881">
        <f>IFERROR(GETPIVOTDATA("Sum of 05:Other rescue/release of persons",T_06!$A$4,"PubLANAME",$A28), 0)</f>
        <v>3</v>
      </c>
      <c r="G28" s="881">
        <f>IFERROR(GETPIVOTDATA("Sum of 06:Evacuation (no fire)",T_06!$A$4,"PubLANAME",$A28), 0)</f>
        <v>1</v>
      </c>
      <c r="H28" s="881">
        <f>IFERROR(GETPIVOTDATA("Sum of 07:Lift Release",T_06!$A$4,"PubLANAME",$A28), 0)</f>
        <v>8</v>
      </c>
      <c r="I28" s="881">
        <f>IFERROR(GETPIVOTDATA("Sum of 08:Medical Incident - First responder/Co-responder",T_06!$A$4,"PubLANAME",$A28), 0)</f>
        <v>5</v>
      </c>
      <c r="J28" s="881">
        <f>IFERROR(GETPIVOTDATA("Sum of 09:Suicide/attempts",T_06!$A$4,"PubLANAME",$A28), 0)</f>
        <v>0</v>
      </c>
      <c r="K28" s="882">
        <f>IFERROR(GETPIVOTDATA("Sum of 10:Hazardous Materials incident",T_06!$A$4,"PubLANAME",$A28), 0)</f>
        <v>5</v>
      </c>
      <c r="L28" s="881">
        <f>IFERROR(GETPIVOTDATA("Sum of 11:Spills and Leaks (not RTC)",T_06!$A$4,"PubLANAME",$A28), 0)</f>
        <v>3</v>
      </c>
      <c r="M28" s="881">
        <f>IFERROR(GETPIVOTDATA("Sum of 12:Removal of objects",T_06!$A$4,"PubLANAME",$A28), 0)</f>
        <v>19</v>
      </c>
      <c r="N28" s="881">
        <f>IFERROR(GETPIVOTDATA("Sum of 13:Animal assistance incidents",T_06!$A$4,"PubLANAME",$A28), 0)</f>
        <v>6</v>
      </c>
      <c r="O28" s="881">
        <f>IFERROR(GETPIVOTDATA("Sum of 14:Effecting entry/exit",T_06!$A$4,"PubLANAME",$A28), 0)</f>
        <v>43</v>
      </c>
      <c r="P28" s="881">
        <f>IFERROR(GETPIVOTDATA("Sum of 15:Making Safe (not RTC)",T_06!$A$4,"PubLANAME",$A28), 0)</f>
        <v>2</v>
      </c>
      <c r="Q28" s="881">
        <f>IFERROR(GETPIVOTDATA("Sum of 16:No action (not false alarm)",T_06!$A$4,"PubLANAME",$A28), 0)</f>
        <v>28</v>
      </c>
      <c r="R28" s="882">
        <f>IFERROR(GETPIVOTDATA("Sum of 17:Water provision",T_06!$A$4,"PubLANAME",$A28), 0)</f>
        <v>0</v>
      </c>
      <c r="S28" s="881">
        <f>IFERROR(GETPIVOTDATA("Sum of 18:Stand By",T_06!$A$4,"PubLANAME",$A28), 0)</f>
        <v>2</v>
      </c>
      <c r="T28" s="881">
        <f>IFERROR(GETPIVOTDATA("Sum of 19:Assist other agencies",T_06!$A$4,"PubLANAME",$A28), 0)</f>
        <v>16</v>
      </c>
      <c r="U28" s="881">
        <f>IFERROR(GETPIVOTDATA("Sum of 20:Advice Only",T_06!$A$4,"PubLANAME",$A28), 0)</f>
        <v>3</v>
      </c>
      <c r="V28" s="883">
        <f t="shared" si="2"/>
        <v>210</v>
      </c>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row>
    <row r="29" spans="1:89" ht="13.5" customHeight="1" x14ac:dyDescent="0.2">
      <c r="A29" s="46" t="s">
        <v>32</v>
      </c>
      <c r="B29" s="876">
        <f>IFERROR(GETPIVOTDATA("Sum of 01:RTC",T_06!$A$4,"PubLANAME",$A29), 0)</f>
        <v>55</v>
      </c>
      <c r="C29" s="877">
        <f>IFERROR(GETPIVOTDATA("Sum of 02:Other Transport incident",T_06!$A$4,"PubLANAME",$A29), 0)</f>
        <v>1</v>
      </c>
      <c r="D29" s="877">
        <f>IFERROR(GETPIVOTDATA("Sum of 03:Flooding",T_06!$A$4,"PubLANAME",$A29), 0)</f>
        <v>12</v>
      </c>
      <c r="E29" s="878">
        <f>IFERROR(GETPIVOTDATA("Sum of 04:Rescue or evacuation from water",T_06!$A$4,"PubLANAME",$A29), 0)</f>
        <v>2</v>
      </c>
      <c r="F29" s="877">
        <f>IFERROR(GETPIVOTDATA("Sum of 05:Other rescue/release of persons",T_06!$A$4,"PubLANAME",$A29), 0)</f>
        <v>10</v>
      </c>
      <c r="G29" s="878">
        <f>IFERROR(GETPIVOTDATA("Sum of 06:Evacuation (no fire)",T_06!$A$4,"PubLANAME",$A29), 0)</f>
        <v>1</v>
      </c>
      <c r="H29" s="877">
        <f>IFERROR(GETPIVOTDATA("Sum of 07:Lift Release",T_06!$A$4,"PubLANAME",$A29), 0)</f>
        <v>4</v>
      </c>
      <c r="I29" s="877">
        <f>IFERROR(GETPIVOTDATA("Sum of 08:Medical Incident - First responder/Co-responder",T_06!$A$4,"PubLANAME",$A29), 0)</f>
        <v>18</v>
      </c>
      <c r="J29" s="877">
        <f>IFERROR(GETPIVOTDATA("Sum of 09:Suicide/attempts",T_06!$A$4,"PubLANAME",$A29), 0)</f>
        <v>0</v>
      </c>
      <c r="K29" s="877">
        <f>IFERROR(GETPIVOTDATA("Sum of 10:Hazardous Materials incident",T_06!$A$4,"PubLANAME",$A29), 0)</f>
        <v>3</v>
      </c>
      <c r="L29" s="877">
        <f>IFERROR(GETPIVOTDATA("Sum of 11:Spills and Leaks (not RTC)",T_06!$A$4,"PubLANAME",$A29), 0)</f>
        <v>4</v>
      </c>
      <c r="M29" s="877">
        <f>IFERROR(GETPIVOTDATA("Sum of 12:Removal of objects",T_06!$A$4,"PubLANAME",$A29), 0)</f>
        <v>6</v>
      </c>
      <c r="N29" s="877">
        <f>IFERROR(GETPIVOTDATA("Sum of 13:Animal assistance incidents",T_06!$A$4,"PubLANAME",$A29), 0)</f>
        <v>3</v>
      </c>
      <c r="O29" s="877">
        <f>IFERROR(GETPIVOTDATA("Sum of 14:Effecting entry/exit",T_06!$A$4,"PubLANAME",$A29), 0)</f>
        <v>69</v>
      </c>
      <c r="P29" s="877">
        <f>IFERROR(GETPIVOTDATA("Sum of 15:Making Safe (not RTC)",T_06!$A$4,"PubLANAME",$A29), 0)</f>
        <v>3</v>
      </c>
      <c r="Q29" s="877">
        <f>IFERROR(GETPIVOTDATA("Sum of 16:No action (not false alarm)",T_06!$A$4,"PubLANAME",$A29), 0)</f>
        <v>13</v>
      </c>
      <c r="R29" s="878">
        <f>IFERROR(GETPIVOTDATA("Sum of 17:Water provision",T_06!$A$4,"PubLANAME",$A29), 0)</f>
        <v>0</v>
      </c>
      <c r="S29" s="877">
        <f>IFERROR(GETPIVOTDATA("Sum of 18:Stand By",T_06!$A$4,"PubLANAME",$A29), 0)</f>
        <v>1</v>
      </c>
      <c r="T29" s="877">
        <f>IFERROR(GETPIVOTDATA("Sum of 19:Assist other agencies",T_06!$A$4,"PubLANAME",$A29), 0)</f>
        <v>9</v>
      </c>
      <c r="U29" s="877">
        <f>IFERROR(GETPIVOTDATA("Sum of 20:Advice Only",T_06!$A$4,"PubLANAME",$A29), 0)</f>
        <v>3</v>
      </c>
      <c r="V29" s="879">
        <f t="shared" si="2"/>
        <v>217</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row>
    <row r="30" spans="1:89" ht="13.5" customHeight="1" x14ac:dyDescent="0.2">
      <c r="A30" s="343" t="s">
        <v>33</v>
      </c>
      <c r="B30" s="880">
        <f>IFERROR(GETPIVOTDATA("Sum of 01:RTC",T_06!$A$4,"PubLANAME",$A30), 0)</f>
        <v>29</v>
      </c>
      <c r="C30" s="881">
        <f>IFERROR(GETPIVOTDATA("Sum of 02:Other Transport incident",T_06!$A$4,"PubLANAME",$A30), 0)</f>
        <v>1</v>
      </c>
      <c r="D30" s="881">
        <f>IFERROR(GETPIVOTDATA("Sum of 03:Flooding",T_06!$A$4,"PubLANAME",$A30), 0)</f>
        <v>14</v>
      </c>
      <c r="E30" s="882">
        <f>IFERROR(GETPIVOTDATA("Sum of 04:Rescue or evacuation from water",T_06!$A$4,"PubLANAME",$A30), 0)</f>
        <v>0</v>
      </c>
      <c r="F30" s="881">
        <f>IFERROR(GETPIVOTDATA("Sum of 05:Other rescue/release of persons",T_06!$A$4,"PubLANAME",$A30), 0)</f>
        <v>8</v>
      </c>
      <c r="G30" s="881">
        <f>IFERROR(GETPIVOTDATA("Sum of 06:Evacuation (no fire)",T_06!$A$4,"PubLANAME",$A30), 0)</f>
        <v>0</v>
      </c>
      <c r="H30" s="881">
        <f>IFERROR(GETPIVOTDATA("Sum of 07:Lift Release",T_06!$A$4,"PubLANAME",$A30), 0)</f>
        <v>4</v>
      </c>
      <c r="I30" s="881">
        <f>IFERROR(GETPIVOTDATA("Sum of 08:Medical Incident - First responder/Co-responder",T_06!$A$4,"PubLANAME",$A30), 0)</f>
        <v>5</v>
      </c>
      <c r="J30" s="881">
        <f>IFERROR(GETPIVOTDATA("Sum of 09:Suicide/attempts",T_06!$A$4,"PubLANAME",$A30), 0)</f>
        <v>1</v>
      </c>
      <c r="K30" s="881">
        <f>IFERROR(GETPIVOTDATA("Sum of 10:Hazardous Materials incident",T_06!$A$4,"PubLANAME",$A30), 0)</f>
        <v>2</v>
      </c>
      <c r="L30" s="881">
        <f>IFERROR(GETPIVOTDATA("Sum of 11:Spills and Leaks (not RTC)",T_06!$A$4,"PubLANAME",$A30), 0)</f>
        <v>1</v>
      </c>
      <c r="M30" s="881">
        <f>IFERROR(GETPIVOTDATA("Sum of 12:Removal of objects",T_06!$A$4,"PubLANAME",$A30), 0)</f>
        <v>3</v>
      </c>
      <c r="N30" s="881">
        <f>IFERROR(GETPIVOTDATA("Sum of 13:Animal assistance incidents",T_06!$A$4,"PubLANAME",$A30), 0)</f>
        <v>5</v>
      </c>
      <c r="O30" s="881">
        <f>IFERROR(GETPIVOTDATA("Sum of 14:Effecting entry/exit",T_06!$A$4,"PubLANAME",$A30), 0)</f>
        <v>28</v>
      </c>
      <c r="P30" s="882">
        <f>IFERROR(GETPIVOTDATA("Sum of 15:Making Safe (not RTC)",T_06!$A$4,"PubLANAME",$A30), 0)</f>
        <v>2</v>
      </c>
      <c r="Q30" s="881">
        <f>IFERROR(GETPIVOTDATA("Sum of 16:No action (not false alarm)",T_06!$A$4,"PubLANAME",$A30), 0)</f>
        <v>19</v>
      </c>
      <c r="R30" s="882">
        <f>IFERROR(GETPIVOTDATA("Sum of 17:Water provision",T_06!$A$4,"PubLANAME",$A30), 0)</f>
        <v>0</v>
      </c>
      <c r="S30" s="882">
        <f>IFERROR(GETPIVOTDATA("Sum of 18:Stand By",T_06!$A$4,"PubLANAME",$A30), 0)</f>
        <v>0</v>
      </c>
      <c r="T30" s="881">
        <f>IFERROR(GETPIVOTDATA("Sum of 19:Assist other agencies",T_06!$A$4,"PubLANAME",$A30), 0)</f>
        <v>14</v>
      </c>
      <c r="U30" s="881">
        <f>IFERROR(GETPIVOTDATA("Sum of 20:Advice Only",T_06!$A$4,"PubLANAME",$A30), 0)</f>
        <v>2</v>
      </c>
      <c r="V30" s="883">
        <f t="shared" si="2"/>
        <v>138</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row>
    <row r="31" spans="1:89" ht="13.5" customHeight="1" x14ac:dyDescent="0.2">
      <c r="A31" s="46" t="s">
        <v>137</v>
      </c>
      <c r="B31" s="876">
        <f>IFERROR(GETPIVOTDATA("Sum of 01:RTC",T_06!$A$4,"PubLANAME","Edinburgh, City of"), 0)</f>
        <v>136</v>
      </c>
      <c r="C31" s="877">
        <f>IFERROR(GETPIVOTDATA("Sum of 02:Other Transport incident",T_06!$A$4,"PubLANAME","Edinburgh, City of"), 0)</f>
        <v>6</v>
      </c>
      <c r="D31" s="877">
        <f>IFERROR(GETPIVOTDATA("Sum of 03:Flooding",T_06!$A$4,"PubLANAME","Edinburgh, City of"), 0)</f>
        <v>168</v>
      </c>
      <c r="E31" s="877">
        <f>IFERROR(GETPIVOTDATA("Sum of 04:Rescue or evacuation from water",T_06!$A$4,"PubLANAME","Edinburgh, City of"), 0)</f>
        <v>11</v>
      </c>
      <c r="F31" s="877">
        <f>IFERROR(GETPIVOTDATA("Sum of 05:Other rescue/release of persons",T_06!$A$4,"PubLANAME","Edinburgh, City of"), 0)</f>
        <v>40</v>
      </c>
      <c r="G31" s="877">
        <f>IFERROR(GETPIVOTDATA("Sum of 06:Evacuation (no fire)",T_06!$A$4,"PubLANAME","Edinburgh, City of"), 0)</f>
        <v>2</v>
      </c>
      <c r="H31" s="877">
        <f>IFERROR(GETPIVOTDATA("Sum of 07:Lift Release",T_06!$A$4,"PubLANAME","Edinburgh, City of"), 0)</f>
        <v>125</v>
      </c>
      <c r="I31" s="877">
        <f>IFERROR(GETPIVOTDATA("Sum of 08:Medical Incident - First responder/Co-responder",T_06!$A$4,"PubLANAME","Edinburgh, City of"), 0)</f>
        <v>47</v>
      </c>
      <c r="J31" s="877">
        <f>IFERROR(GETPIVOTDATA("Sum of 09:Suicide/attempts",T_06!$A$4,"PubLANAME","Edinburgh, City of"), 0)</f>
        <v>11</v>
      </c>
      <c r="K31" s="877">
        <f>IFERROR(GETPIVOTDATA("Sum of 10:Hazardous Materials incident",T_06!$A$4,"PubLANAME","Edinburgh, City of"), 0)</f>
        <v>30</v>
      </c>
      <c r="L31" s="877">
        <f>IFERROR(GETPIVOTDATA("Sum of 11:Spills and Leaks (not RTC)",T_06!$A$4,"PubLANAME","Edinburgh, City of"), 0)</f>
        <v>34</v>
      </c>
      <c r="M31" s="877">
        <f>IFERROR(GETPIVOTDATA("Sum of 12:Removal of objects",T_06!$A$4,"PubLANAME","Edinburgh, City of"), 0)</f>
        <v>33</v>
      </c>
      <c r="N31" s="877">
        <f>IFERROR(GETPIVOTDATA("Sum of 13:Animal assistance incidents",T_06!$A$4,"PubLANAME","Edinburgh, City of"), 0)</f>
        <v>22</v>
      </c>
      <c r="O31" s="877">
        <f>IFERROR(GETPIVOTDATA("Sum of 14:Effecting entry/exit",T_06!$A$4,"PubLANAME","Edinburgh, City of"), 0)</f>
        <v>511</v>
      </c>
      <c r="P31" s="877">
        <f>IFERROR(GETPIVOTDATA("Sum of 15:Making Safe (not RTC)",T_06!$A$4,"PubLANAME","Edinburgh, City of"), 0)</f>
        <v>30</v>
      </c>
      <c r="Q31" s="877">
        <f>IFERROR(GETPIVOTDATA("Sum of 16:No action (not false alarm)",T_06!$A$4,"PubLANAME","Edinburgh, City of"), 0)</f>
        <v>128</v>
      </c>
      <c r="R31" s="878">
        <f>IFERROR(GETPIVOTDATA("Sum of 17:Water provision",T_06!$A$4,"PubLANAME","Edinburgh, City of"), 0)</f>
        <v>0</v>
      </c>
      <c r="S31" s="877">
        <f>IFERROR(GETPIVOTDATA("Sum of 18:Stand By",T_06!$A$4,"PubLANAME","Edinburgh, City of"), 0)</f>
        <v>6</v>
      </c>
      <c r="T31" s="877">
        <f>IFERROR(GETPIVOTDATA("Sum of 19:Assist other agencies",T_06!$A$4,"PubLANAME","Edinburgh, City of"), 0)</f>
        <v>92</v>
      </c>
      <c r="U31" s="877">
        <f>IFERROR(GETPIVOTDATA("Sum of 20:Advice Only",T_06!$A$4,"PubLANAME","Edinburgh, City of"), 0)</f>
        <v>19</v>
      </c>
      <c r="V31" s="879">
        <f t="shared" si="2"/>
        <v>1451</v>
      </c>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row>
    <row r="32" spans="1:89" ht="13.5" customHeight="1" x14ac:dyDescent="0.2">
      <c r="A32" s="343" t="s">
        <v>34</v>
      </c>
      <c r="B32" s="880">
        <f>IFERROR(GETPIVOTDATA("Sum of 01:RTC",T_06!$A$4,"PubLANAME",$A32), 0)</f>
        <v>93</v>
      </c>
      <c r="C32" s="881">
        <f>IFERROR(GETPIVOTDATA("Sum of 02:Other Transport incident",T_06!$A$4,"PubLANAME",$A32), 0)</f>
        <v>3</v>
      </c>
      <c r="D32" s="881">
        <f>IFERROR(GETPIVOTDATA("Sum of 03:Flooding",T_06!$A$4,"PubLANAME",$A32), 0)</f>
        <v>32</v>
      </c>
      <c r="E32" s="881">
        <f>IFERROR(GETPIVOTDATA("Sum of 04:Rescue or evacuation from water",T_06!$A$4,"PubLANAME",$A32), 0)</f>
        <v>3</v>
      </c>
      <c r="F32" s="881">
        <f>IFERROR(GETPIVOTDATA("Sum of 05:Other rescue/release of persons",T_06!$A$4,"PubLANAME",$A32), 0)</f>
        <v>22</v>
      </c>
      <c r="G32" s="881">
        <f>IFERROR(GETPIVOTDATA("Sum of 06:Evacuation (no fire)",T_06!$A$4,"PubLANAME",$A32), 0)</f>
        <v>3</v>
      </c>
      <c r="H32" s="881">
        <f>IFERROR(GETPIVOTDATA("Sum of 07:Lift Release",T_06!$A$4,"PubLANAME",$A32), 0)</f>
        <v>8</v>
      </c>
      <c r="I32" s="881">
        <f>IFERROR(GETPIVOTDATA("Sum of 08:Medical Incident - First responder/Co-responder",T_06!$A$4,"PubLANAME",$A32), 0)</f>
        <v>12</v>
      </c>
      <c r="J32" s="881">
        <f>IFERROR(GETPIVOTDATA("Sum of 09:Suicide/attempts",T_06!$A$4,"PubLANAME",$A32), 0)</f>
        <v>3</v>
      </c>
      <c r="K32" s="881">
        <f>IFERROR(GETPIVOTDATA("Sum of 10:Hazardous Materials incident",T_06!$A$4,"PubLANAME",$A32), 0)</f>
        <v>3</v>
      </c>
      <c r="L32" s="881">
        <f>IFERROR(GETPIVOTDATA("Sum of 11:Spills and Leaks (not RTC)",T_06!$A$4,"PubLANAME",$A32), 0)</f>
        <v>3</v>
      </c>
      <c r="M32" s="881">
        <f>IFERROR(GETPIVOTDATA("Sum of 12:Removal of objects",T_06!$A$4,"PubLANAME",$A32), 0)</f>
        <v>8</v>
      </c>
      <c r="N32" s="881">
        <f>IFERROR(GETPIVOTDATA("Sum of 13:Animal assistance incidents",T_06!$A$4,"PubLANAME",$A32), 0)</f>
        <v>11</v>
      </c>
      <c r="O32" s="881">
        <f>IFERROR(GETPIVOTDATA("Sum of 14:Effecting entry/exit",T_06!$A$4,"PubLANAME",$A32), 0)</f>
        <v>123</v>
      </c>
      <c r="P32" s="881">
        <f>IFERROR(GETPIVOTDATA("Sum of 15:Making Safe (not RTC)",T_06!$A$4,"PubLANAME",$A32), 0)</f>
        <v>4</v>
      </c>
      <c r="Q32" s="881">
        <f>IFERROR(GETPIVOTDATA("Sum of 16:No action (not false alarm)",T_06!$A$4,"PubLANAME",$A32), 0)</f>
        <v>22</v>
      </c>
      <c r="R32" s="882">
        <f>IFERROR(GETPIVOTDATA("Sum of 17:Water provision",T_06!$A$4,"PubLANAME",$A32), 0)</f>
        <v>0</v>
      </c>
      <c r="S32" s="881">
        <f>IFERROR(GETPIVOTDATA("Sum of 18:Stand By",T_06!$A$4,"PubLANAME",$A32), 0)</f>
        <v>1</v>
      </c>
      <c r="T32" s="881">
        <f>IFERROR(GETPIVOTDATA("Sum of 19:Assist other agencies",T_06!$A$4,"PubLANAME",$A32), 0)</f>
        <v>40</v>
      </c>
      <c r="U32" s="881">
        <f>IFERROR(GETPIVOTDATA("Sum of 20:Advice Only",T_06!$A$4,"PubLANAME",$A32), 0)</f>
        <v>4</v>
      </c>
      <c r="V32" s="883">
        <f t="shared" si="2"/>
        <v>398</v>
      </c>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row>
    <row r="33" spans="1:89" ht="13.5" customHeight="1" x14ac:dyDescent="0.2">
      <c r="A33" s="46" t="s">
        <v>35</v>
      </c>
      <c r="B33" s="876">
        <f>IFERROR(GETPIVOTDATA("Sum of 01:RTC",T_06!$A$4,"PubLANAME",$A33), 0)</f>
        <v>170</v>
      </c>
      <c r="C33" s="877">
        <f>IFERROR(GETPIVOTDATA("Sum of 02:Other Transport incident",T_06!$A$4,"PubLANAME",$A33), 0)</f>
        <v>8</v>
      </c>
      <c r="D33" s="877">
        <f>IFERROR(GETPIVOTDATA("Sum of 03:Flooding",T_06!$A$4,"PubLANAME",$A33), 0)</f>
        <v>84</v>
      </c>
      <c r="E33" s="877">
        <f>IFERROR(GETPIVOTDATA("Sum of 04:Rescue or evacuation from water",T_06!$A$4,"PubLANAME",$A33), 0)</f>
        <v>9</v>
      </c>
      <c r="F33" s="877">
        <f>IFERROR(GETPIVOTDATA("Sum of 05:Other rescue/release of persons",T_06!$A$4,"PubLANAME",$A33), 0)</f>
        <v>49</v>
      </c>
      <c r="G33" s="877">
        <f>IFERROR(GETPIVOTDATA("Sum of 06:Evacuation (no fire)",T_06!$A$4,"PubLANAME",$A33), 0)</f>
        <v>10</v>
      </c>
      <c r="H33" s="877">
        <f>IFERROR(GETPIVOTDATA("Sum of 07:Lift Release",T_06!$A$4,"PubLANAME",$A33), 0)</f>
        <v>22</v>
      </c>
      <c r="I33" s="877">
        <f>IFERROR(GETPIVOTDATA("Sum of 08:Medical Incident - First responder/Co-responder",T_06!$A$4,"PubLANAME",$A33), 0)</f>
        <v>31</v>
      </c>
      <c r="J33" s="877">
        <f>IFERROR(GETPIVOTDATA("Sum of 09:Suicide/attempts",T_06!$A$4,"PubLANAME",$A33), 0)</f>
        <v>14</v>
      </c>
      <c r="K33" s="877">
        <f>IFERROR(GETPIVOTDATA("Sum of 10:Hazardous Materials incident",T_06!$A$4,"PubLANAME",$A33), 0)</f>
        <v>14</v>
      </c>
      <c r="L33" s="877">
        <f>IFERROR(GETPIVOTDATA("Sum of 11:Spills and Leaks (not RTC)",T_06!$A$4,"PubLANAME",$A33), 0)</f>
        <v>23</v>
      </c>
      <c r="M33" s="877">
        <f>IFERROR(GETPIVOTDATA("Sum of 12:Removal of objects",T_06!$A$4,"PubLANAME",$A33), 0)</f>
        <v>19</v>
      </c>
      <c r="N33" s="877">
        <f>IFERROR(GETPIVOTDATA("Sum of 13:Animal assistance incidents",T_06!$A$4,"PubLANAME",$A33), 0)</f>
        <v>29</v>
      </c>
      <c r="O33" s="877">
        <f>IFERROR(GETPIVOTDATA("Sum of 14:Effecting entry/exit",T_06!$A$4,"PubLANAME",$A33), 0)</f>
        <v>236</v>
      </c>
      <c r="P33" s="877">
        <f>IFERROR(GETPIVOTDATA("Sum of 15:Making Safe (not RTC)",T_06!$A$4,"PubLANAME",$A33), 0)</f>
        <v>10</v>
      </c>
      <c r="Q33" s="877">
        <f>IFERROR(GETPIVOTDATA("Sum of 16:No action (not false alarm)",T_06!$A$4,"PubLANAME",$A33), 0)</f>
        <v>21</v>
      </c>
      <c r="R33" s="878">
        <f>IFERROR(GETPIVOTDATA("Sum of 17:Water provision",T_06!$A$4,"PubLANAME",$A33), 0)</f>
        <v>0</v>
      </c>
      <c r="S33" s="877">
        <f>IFERROR(GETPIVOTDATA("Sum of 18:Stand By",T_06!$A$4,"PubLANAME",$A33), 0)</f>
        <v>2</v>
      </c>
      <c r="T33" s="877">
        <f>IFERROR(GETPIVOTDATA("Sum of 19:Assist other agencies",T_06!$A$4,"PubLANAME",$A33), 0)</f>
        <v>64</v>
      </c>
      <c r="U33" s="877">
        <f>IFERROR(GETPIVOTDATA("Sum of 20:Advice Only",T_06!$A$4,"PubLANAME",$A33), 0)</f>
        <v>11</v>
      </c>
      <c r="V33" s="879">
        <f t="shared" si="2"/>
        <v>826</v>
      </c>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row>
    <row r="34" spans="1:89" ht="13.5" customHeight="1" x14ac:dyDescent="0.2">
      <c r="A34" s="343" t="s">
        <v>36</v>
      </c>
      <c r="B34" s="880">
        <f>IFERROR(GETPIVOTDATA("Sum of 01:RTC",T_06!$A$4,"PubLANAME",$A34), 0)</f>
        <v>199</v>
      </c>
      <c r="C34" s="881">
        <f>IFERROR(GETPIVOTDATA("Sum of 02:Other Transport incident",T_06!$A$4,"PubLANAME",$A34), 0)</f>
        <v>10</v>
      </c>
      <c r="D34" s="881">
        <f>IFERROR(GETPIVOTDATA("Sum of 03:Flooding",T_06!$A$4,"PubLANAME",$A34), 0)</f>
        <v>247</v>
      </c>
      <c r="E34" s="881">
        <f>IFERROR(GETPIVOTDATA("Sum of 04:Rescue or evacuation from water",T_06!$A$4,"PubLANAME",$A34), 0)</f>
        <v>24</v>
      </c>
      <c r="F34" s="881">
        <f>IFERROR(GETPIVOTDATA("Sum of 05:Other rescue/release of persons",T_06!$A$4,"PubLANAME",$A34), 0)</f>
        <v>77</v>
      </c>
      <c r="G34" s="881">
        <f>IFERROR(GETPIVOTDATA("Sum of 06:Evacuation (no fire)",T_06!$A$4,"PubLANAME",$A34), 0)</f>
        <v>14</v>
      </c>
      <c r="H34" s="881">
        <f>IFERROR(GETPIVOTDATA("Sum of 07:Lift Release",T_06!$A$4,"PubLANAME",$A34), 0)</f>
        <v>140</v>
      </c>
      <c r="I34" s="881">
        <f>IFERROR(GETPIVOTDATA("Sum of 08:Medical Incident - First responder/Co-responder",T_06!$A$4,"PubLANAME",$A34), 0)</f>
        <v>55</v>
      </c>
      <c r="J34" s="881">
        <f>IFERROR(GETPIVOTDATA("Sum of 09:Suicide/attempts",T_06!$A$4,"PubLANAME",$A34), 0)</f>
        <v>25</v>
      </c>
      <c r="K34" s="881">
        <f>IFERROR(GETPIVOTDATA("Sum of 10:Hazardous Materials incident",T_06!$A$4,"PubLANAME",$A34), 0)</f>
        <v>30</v>
      </c>
      <c r="L34" s="881">
        <f>IFERROR(GETPIVOTDATA("Sum of 11:Spills and Leaks (not RTC)",T_06!$A$4,"PubLANAME",$A34), 0)</f>
        <v>14</v>
      </c>
      <c r="M34" s="881">
        <f>IFERROR(GETPIVOTDATA("Sum of 12:Removal of objects",T_06!$A$4,"PubLANAME",$A34), 0)</f>
        <v>36</v>
      </c>
      <c r="N34" s="881">
        <f>IFERROR(GETPIVOTDATA("Sum of 13:Animal assistance incidents",T_06!$A$4,"PubLANAME",$A34), 0)</f>
        <v>35</v>
      </c>
      <c r="O34" s="881">
        <f>IFERROR(GETPIVOTDATA("Sum of 14:Effecting entry/exit",T_06!$A$4,"PubLANAME",$A34), 0)</f>
        <v>409</v>
      </c>
      <c r="P34" s="881">
        <f>IFERROR(GETPIVOTDATA("Sum of 15:Making Safe (not RTC)",T_06!$A$4,"PubLANAME",$A34), 0)</f>
        <v>39</v>
      </c>
      <c r="Q34" s="881">
        <f>IFERROR(GETPIVOTDATA("Sum of 16:No action (not false alarm)",T_06!$A$4,"PubLANAME",$A34), 0)</f>
        <v>316</v>
      </c>
      <c r="R34" s="882">
        <f>IFERROR(GETPIVOTDATA("Sum of 17:Water provision",T_06!$A$4,"PubLANAME",$A34), 0)</f>
        <v>1</v>
      </c>
      <c r="S34" s="881">
        <f>IFERROR(GETPIVOTDATA("Sum of 18:Stand By",T_06!$A$4,"PubLANAME",$A34), 0)</f>
        <v>4</v>
      </c>
      <c r="T34" s="881">
        <f>IFERROR(GETPIVOTDATA("Sum of 19:Assist other agencies",T_06!$A$4,"PubLANAME",$A34), 0)</f>
        <v>219</v>
      </c>
      <c r="U34" s="881">
        <f>IFERROR(GETPIVOTDATA("Sum of 20:Advice Only",T_06!$A$4,"PubLANAME",$A34), 0)</f>
        <v>43</v>
      </c>
      <c r="V34" s="883">
        <f t="shared" si="2"/>
        <v>1937</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row>
    <row r="35" spans="1:89" ht="13.5" customHeight="1" x14ac:dyDescent="0.2">
      <c r="A35" s="46" t="s">
        <v>37</v>
      </c>
      <c r="B35" s="876">
        <f>IFERROR(GETPIVOTDATA("Sum of 01:RTC",T_06!$A$4,"PubLANAME",$A35), 0)</f>
        <v>236</v>
      </c>
      <c r="C35" s="877">
        <f>IFERROR(GETPIVOTDATA("Sum of 02:Other Transport incident",T_06!$A$4,"PubLANAME",$A35), 0)</f>
        <v>5</v>
      </c>
      <c r="D35" s="877">
        <f>IFERROR(GETPIVOTDATA("Sum of 03:Flooding",T_06!$A$4,"PubLANAME",$A35), 0)</f>
        <v>51</v>
      </c>
      <c r="E35" s="877">
        <f>IFERROR(GETPIVOTDATA("Sum of 04:Rescue or evacuation from water",T_06!$A$4,"PubLANAME",$A35), 0)</f>
        <v>8</v>
      </c>
      <c r="F35" s="877">
        <f>IFERROR(GETPIVOTDATA("Sum of 05:Other rescue/release of persons",T_06!$A$4,"PubLANAME",$A35), 0)</f>
        <v>30</v>
      </c>
      <c r="G35" s="877">
        <f>IFERROR(GETPIVOTDATA("Sum of 06:Evacuation (no fire)",T_06!$A$4,"PubLANAME",$A35), 0)</f>
        <v>2</v>
      </c>
      <c r="H35" s="877">
        <f>IFERROR(GETPIVOTDATA("Sum of 07:Lift Release",T_06!$A$4,"PubLANAME",$A35), 0)</f>
        <v>20</v>
      </c>
      <c r="I35" s="877">
        <f>IFERROR(GETPIVOTDATA("Sum of 08:Medical Incident - First responder/Co-responder",T_06!$A$4,"PubLANAME",$A35), 0)</f>
        <v>18</v>
      </c>
      <c r="J35" s="877">
        <f>IFERROR(GETPIVOTDATA("Sum of 09:Suicide/attempts",T_06!$A$4,"PubLANAME",$A35), 0)</f>
        <v>4</v>
      </c>
      <c r="K35" s="877">
        <f>IFERROR(GETPIVOTDATA("Sum of 10:Hazardous Materials incident",T_06!$A$4,"PubLANAME",$A35), 0)</f>
        <v>9</v>
      </c>
      <c r="L35" s="877">
        <f>IFERROR(GETPIVOTDATA("Sum of 11:Spills and Leaks (not RTC)",T_06!$A$4,"PubLANAME",$A35), 0)</f>
        <v>8</v>
      </c>
      <c r="M35" s="877">
        <f>IFERROR(GETPIVOTDATA("Sum of 12:Removal of objects",T_06!$A$4,"PubLANAME",$A35), 0)</f>
        <v>6</v>
      </c>
      <c r="N35" s="877">
        <f>IFERROR(GETPIVOTDATA("Sum of 13:Animal assistance incidents",T_06!$A$4,"PubLANAME",$A35), 0)</f>
        <v>29</v>
      </c>
      <c r="O35" s="877">
        <f>IFERROR(GETPIVOTDATA("Sum of 14:Effecting entry/exit",T_06!$A$4,"PubLANAME",$A35), 0)</f>
        <v>92</v>
      </c>
      <c r="P35" s="877">
        <f>IFERROR(GETPIVOTDATA("Sum of 15:Making Safe (not RTC)",T_06!$A$4,"PubLANAME",$A35), 0)</f>
        <v>16</v>
      </c>
      <c r="Q35" s="877">
        <f>IFERROR(GETPIVOTDATA("Sum of 16:No action (not false alarm)",T_06!$A$4,"PubLANAME",$A35), 0)</f>
        <v>24</v>
      </c>
      <c r="R35" s="878">
        <f>IFERROR(GETPIVOTDATA("Sum of 17:Water provision",T_06!$A$4,"PubLANAME",$A35), 0)</f>
        <v>0</v>
      </c>
      <c r="S35" s="877">
        <f>IFERROR(GETPIVOTDATA("Sum of 18:Stand By",T_06!$A$4,"PubLANAME",$A35), 0)</f>
        <v>7</v>
      </c>
      <c r="T35" s="877">
        <f>IFERROR(GETPIVOTDATA("Sum of 19:Assist other agencies",T_06!$A$4,"PubLANAME",$A35), 0)</f>
        <v>64</v>
      </c>
      <c r="U35" s="877">
        <f>IFERROR(GETPIVOTDATA("Sum of 20:Advice Only",T_06!$A$4,"PubLANAME",$A35), 0)</f>
        <v>1</v>
      </c>
      <c r="V35" s="879">
        <f t="shared" si="2"/>
        <v>630</v>
      </c>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row>
    <row r="36" spans="1:89" ht="13.5" customHeight="1" x14ac:dyDescent="0.2">
      <c r="A36" s="343" t="s">
        <v>38</v>
      </c>
      <c r="B36" s="880">
        <f>IFERROR(GETPIVOTDATA("Sum of 01:RTC",T_06!$A$4,"PubLANAME",$A36), 0)</f>
        <v>30</v>
      </c>
      <c r="C36" s="881">
        <f>IFERROR(GETPIVOTDATA("Sum of 02:Other Transport incident",T_06!$A$4,"PubLANAME",$A36), 0)</f>
        <v>0</v>
      </c>
      <c r="D36" s="881">
        <f>IFERROR(GETPIVOTDATA("Sum of 03:Flooding",T_06!$A$4,"PubLANAME",$A36), 0)</f>
        <v>29</v>
      </c>
      <c r="E36" s="881">
        <f>IFERROR(GETPIVOTDATA("Sum of 04:Rescue or evacuation from water",T_06!$A$4,"PubLANAME",$A36), 0)</f>
        <v>1</v>
      </c>
      <c r="F36" s="881">
        <f>IFERROR(GETPIVOTDATA("Sum of 05:Other rescue/release of persons",T_06!$A$4,"PubLANAME",$A36), 0)</f>
        <v>18</v>
      </c>
      <c r="G36" s="881">
        <f>IFERROR(GETPIVOTDATA("Sum of 06:Evacuation (no fire)",T_06!$A$4,"PubLANAME",$A36), 0)</f>
        <v>4</v>
      </c>
      <c r="H36" s="881">
        <f>IFERROR(GETPIVOTDATA("Sum of 07:Lift Release",T_06!$A$4,"PubLANAME",$A36), 0)</f>
        <v>12</v>
      </c>
      <c r="I36" s="881">
        <f>IFERROR(GETPIVOTDATA("Sum of 08:Medical Incident - First responder/Co-responder",T_06!$A$4,"PubLANAME",$A36), 0)</f>
        <v>13</v>
      </c>
      <c r="J36" s="881">
        <f>IFERROR(GETPIVOTDATA("Sum of 09:Suicide/attempts",T_06!$A$4,"PubLANAME",$A36), 0)</f>
        <v>2</v>
      </c>
      <c r="K36" s="881">
        <f>IFERROR(GETPIVOTDATA("Sum of 10:Hazardous Materials incident",T_06!$A$4,"PubLANAME",$A36), 0)</f>
        <v>1</v>
      </c>
      <c r="L36" s="881">
        <f>IFERROR(GETPIVOTDATA("Sum of 11:Spills and Leaks (not RTC)",T_06!$A$4,"PubLANAME",$A36), 0)</f>
        <v>4</v>
      </c>
      <c r="M36" s="881">
        <f>IFERROR(GETPIVOTDATA("Sum of 12:Removal of objects",T_06!$A$4,"PubLANAME",$A36), 0)</f>
        <v>4</v>
      </c>
      <c r="N36" s="881">
        <f>IFERROR(GETPIVOTDATA("Sum of 13:Animal assistance incidents",T_06!$A$4,"PubLANAME",$A36), 0)</f>
        <v>12</v>
      </c>
      <c r="O36" s="881">
        <f>IFERROR(GETPIVOTDATA("Sum of 14:Effecting entry/exit",T_06!$A$4,"PubLANAME",$A36), 0)</f>
        <v>52</v>
      </c>
      <c r="P36" s="881">
        <f>IFERROR(GETPIVOTDATA("Sum of 15:Making Safe (not RTC)",T_06!$A$4,"PubLANAME",$A36), 0)</f>
        <v>9</v>
      </c>
      <c r="Q36" s="881">
        <f>IFERROR(GETPIVOTDATA("Sum of 16:No action (not false alarm)",T_06!$A$4,"PubLANAME",$A36), 0)</f>
        <v>29</v>
      </c>
      <c r="R36" s="882">
        <f>IFERROR(GETPIVOTDATA("Sum of 17:Water provision",T_06!$A$4,"PubLANAME",$A36), 0)</f>
        <v>0</v>
      </c>
      <c r="S36" s="881">
        <f>IFERROR(GETPIVOTDATA("Sum of 18:Stand By",T_06!$A$4,"PubLANAME",$A36), 0)</f>
        <v>1</v>
      </c>
      <c r="T36" s="881">
        <f>IFERROR(GETPIVOTDATA("Sum of 19:Assist other agencies",T_06!$A$4,"PubLANAME",$A36), 0)</f>
        <v>22</v>
      </c>
      <c r="U36" s="881">
        <f>IFERROR(GETPIVOTDATA("Sum of 20:Advice Only",T_06!$A$4,"PubLANAME",$A36), 0)</f>
        <v>4</v>
      </c>
      <c r="V36" s="883">
        <f t="shared" si="2"/>
        <v>247</v>
      </c>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row>
    <row r="37" spans="1:89" ht="13.5" customHeight="1" x14ac:dyDescent="0.2">
      <c r="A37" s="46" t="s">
        <v>39</v>
      </c>
      <c r="B37" s="876">
        <f>IFERROR(GETPIVOTDATA("Sum of 01:RTC",T_06!$A$4,"PubLANAME",$A37), 0)</f>
        <v>42</v>
      </c>
      <c r="C37" s="878">
        <f>IFERROR(GETPIVOTDATA("Sum of 02:Other Transport incident",T_06!$A$4,"PubLANAME",$A37), 0)</f>
        <v>1</v>
      </c>
      <c r="D37" s="877">
        <f>IFERROR(GETPIVOTDATA("Sum of 03:Flooding",T_06!$A$4,"PubLANAME",$A37), 0)</f>
        <v>18</v>
      </c>
      <c r="E37" s="877">
        <f>IFERROR(GETPIVOTDATA("Sum of 04:Rescue or evacuation from water",T_06!$A$4,"PubLANAME",$A37), 0)</f>
        <v>1</v>
      </c>
      <c r="F37" s="877">
        <f>IFERROR(GETPIVOTDATA("Sum of 05:Other rescue/release of persons",T_06!$A$4,"PubLANAME",$A37), 0)</f>
        <v>11</v>
      </c>
      <c r="G37" s="877">
        <f>IFERROR(GETPIVOTDATA("Sum of 06:Evacuation (no fire)",T_06!$A$4,"PubLANAME",$A37), 0)</f>
        <v>2</v>
      </c>
      <c r="H37" s="878">
        <f>IFERROR(GETPIVOTDATA("Sum of 07:Lift Release",T_06!$A$4,"PubLANAME",$A37), 0)</f>
        <v>2</v>
      </c>
      <c r="I37" s="877">
        <f>IFERROR(GETPIVOTDATA("Sum of 08:Medical Incident - First responder/Co-responder",T_06!$A$4,"PubLANAME",$A37), 0)</f>
        <v>10</v>
      </c>
      <c r="J37" s="877">
        <f>IFERROR(GETPIVOTDATA("Sum of 09:Suicide/attempts",T_06!$A$4,"PubLANAME",$A37), 0)</f>
        <v>4</v>
      </c>
      <c r="K37" s="877">
        <f>IFERROR(GETPIVOTDATA("Sum of 10:Hazardous Materials incident",T_06!$A$4,"PubLANAME",$A37), 0)</f>
        <v>3</v>
      </c>
      <c r="L37" s="877">
        <f>IFERROR(GETPIVOTDATA("Sum of 11:Spills and Leaks (not RTC)",T_06!$A$4,"PubLANAME",$A37), 0)</f>
        <v>4</v>
      </c>
      <c r="M37" s="877">
        <f>IFERROR(GETPIVOTDATA("Sum of 12:Removal of objects",T_06!$A$4,"PubLANAME",$A37), 0)</f>
        <v>5</v>
      </c>
      <c r="N37" s="877">
        <f>IFERROR(GETPIVOTDATA("Sum of 13:Animal assistance incidents",T_06!$A$4,"PubLANAME",$A37), 0)</f>
        <v>10</v>
      </c>
      <c r="O37" s="877">
        <f>IFERROR(GETPIVOTDATA("Sum of 14:Effecting entry/exit",T_06!$A$4,"PubLANAME",$A37), 0)</f>
        <v>45</v>
      </c>
      <c r="P37" s="877">
        <f>IFERROR(GETPIVOTDATA("Sum of 15:Making Safe (not RTC)",T_06!$A$4,"PubLANAME",$A37), 0)</f>
        <v>1</v>
      </c>
      <c r="Q37" s="877">
        <f>IFERROR(GETPIVOTDATA("Sum of 16:No action (not false alarm)",T_06!$A$4,"PubLANAME",$A37), 0)</f>
        <v>12</v>
      </c>
      <c r="R37" s="878">
        <f>IFERROR(GETPIVOTDATA("Sum of 17:Water provision",T_06!$A$4,"PubLANAME",$A37), 0)</f>
        <v>0</v>
      </c>
      <c r="S37" s="878">
        <f>IFERROR(GETPIVOTDATA("Sum of 18:Stand By",T_06!$A$4,"PubLANAME",$A37), 0)</f>
        <v>0</v>
      </c>
      <c r="T37" s="877">
        <f>IFERROR(GETPIVOTDATA("Sum of 19:Assist other agencies",T_06!$A$4,"PubLANAME",$A37), 0)</f>
        <v>15</v>
      </c>
      <c r="U37" s="877">
        <f>IFERROR(GETPIVOTDATA("Sum of 20:Advice Only",T_06!$A$4,"PubLANAME",$A37), 0)</f>
        <v>2</v>
      </c>
      <c r="V37" s="879">
        <f t="shared" si="2"/>
        <v>188</v>
      </c>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row>
    <row r="38" spans="1:89" ht="13.5" customHeight="1" x14ac:dyDescent="0.2">
      <c r="A38" s="343" t="s">
        <v>40</v>
      </c>
      <c r="B38" s="880">
        <f>IFERROR(GETPIVOTDATA("Sum of 01:RTC",T_06!$A$4,"PubLANAME",$A38), 0)</f>
        <v>53</v>
      </c>
      <c r="C38" s="881">
        <f>IFERROR(GETPIVOTDATA("Sum of 02:Other Transport incident",T_06!$A$4,"PubLANAME",$A38), 0)</f>
        <v>2</v>
      </c>
      <c r="D38" s="881">
        <f>IFERROR(GETPIVOTDATA("Sum of 03:Flooding",T_06!$A$4,"PubLANAME",$A38), 0)</f>
        <v>6</v>
      </c>
      <c r="E38" s="881">
        <f>IFERROR(GETPIVOTDATA("Sum of 04:Rescue or evacuation from water",T_06!$A$4,"PubLANAME",$A38), 0)</f>
        <v>6</v>
      </c>
      <c r="F38" s="881">
        <f>IFERROR(GETPIVOTDATA("Sum of 05:Other rescue/release of persons",T_06!$A$4,"PubLANAME",$A38), 0)</f>
        <v>11</v>
      </c>
      <c r="G38" s="882">
        <f>IFERROR(GETPIVOTDATA("Sum of 06:Evacuation (no fire)",T_06!$A$4,"PubLANAME",$A38), 0)</f>
        <v>0</v>
      </c>
      <c r="H38" s="881">
        <f>IFERROR(GETPIVOTDATA("Sum of 07:Lift Release",T_06!$A$4,"PubLANAME",$A38), 0)</f>
        <v>3</v>
      </c>
      <c r="I38" s="881">
        <f>IFERROR(GETPIVOTDATA("Sum of 08:Medical Incident - First responder/Co-responder",T_06!$A$4,"PubLANAME",$A38), 0)</f>
        <v>4</v>
      </c>
      <c r="J38" s="881">
        <f>IFERROR(GETPIVOTDATA("Sum of 09:Suicide/attempts",T_06!$A$4,"PubLANAME",$A38), 0)</f>
        <v>3</v>
      </c>
      <c r="K38" s="881">
        <f>IFERROR(GETPIVOTDATA("Sum of 10:Hazardous Materials incident",T_06!$A$4,"PubLANAME",$A38), 0)</f>
        <v>5</v>
      </c>
      <c r="L38" s="881">
        <f>IFERROR(GETPIVOTDATA("Sum of 11:Spills and Leaks (not RTC)",T_06!$A$4,"PubLANAME",$A38), 0)</f>
        <v>1</v>
      </c>
      <c r="M38" s="881">
        <f>IFERROR(GETPIVOTDATA("Sum of 12:Removal of objects",T_06!$A$4,"PubLANAME",$A38), 0)</f>
        <v>1</v>
      </c>
      <c r="N38" s="881">
        <f>IFERROR(GETPIVOTDATA("Sum of 13:Animal assistance incidents",T_06!$A$4,"PubLANAME",$A38), 0)</f>
        <v>10</v>
      </c>
      <c r="O38" s="881">
        <f>IFERROR(GETPIVOTDATA("Sum of 14:Effecting entry/exit",T_06!$A$4,"PubLANAME",$A38), 0)</f>
        <v>31</v>
      </c>
      <c r="P38" s="881">
        <f>IFERROR(GETPIVOTDATA("Sum of 15:Making Safe (not RTC)",T_06!$A$4,"PubLANAME",$A38), 0)</f>
        <v>3</v>
      </c>
      <c r="Q38" s="881">
        <f>IFERROR(GETPIVOTDATA("Sum of 16:No action (not false alarm)",T_06!$A$4,"PubLANAME",$A38), 0)</f>
        <v>5</v>
      </c>
      <c r="R38" s="882">
        <f>IFERROR(GETPIVOTDATA("Sum of 17:Water provision",T_06!$A$4,"PubLANAME",$A38), 0)</f>
        <v>0</v>
      </c>
      <c r="S38" s="882">
        <f>IFERROR(GETPIVOTDATA("Sum of 18:Stand By",T_06!$A$4,"PubLANAME",$A38), 0)</f>
        <v>0</v>
      </c>
      <c r="T38" s="881">
        <f>IFERROR(GETPIVOTDATA("Sum of 19:Assist other agencies",T_06!$A$4,"PubLANAME",$A38), 0)</f>
        <v>6</v>
      </c>
      <c r="U38" s="881">
        <f>IFERROR(GETPIVOTDATA("Sum of 20:Advice Only",T_06!$A$4,"PubLANAME",$A38), 0)</f>
        <v>0</v>
      </c>
      <c r="V38" s="883">
        <f t="shared" si="2"/>
        <v>150</v>
      </c>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row>
    <row r="39" spans="1:89" ht="13.5" customHeight="1" x14ac:dyDescent="0.2">
      <c r="A39" s="46" t="s">
        <v>393</v>
      </c>
      <c r="B39" s="876">
        <f>IFERROR(GETPIVOTDATA("Sum of 01:RTC",T_06!$A$4,"PubLANAME",$A39), 0)</f>
        <v>16</v>
      </c>
      <c r="C39" s="877">
        <f>IFERROR(GETPIVOTDATA("Sum of 02:Other Transport incident",T_06!$A$4,"PubLANAME",$A39), 0)</f>
        <v>0</v>
      </c>
      <c r="D39" s="877">
        <f>IFERROR(GETPIVOTDATA("Sum of 03:Flooding",T_06!$A$4,"PubLANAME",$A39), 0)</f>
        <v>5</v>
      </c>
      <c r="E39" s="877">
        <f>IFERROR(GETPIVOTDATA("Sum of 04:Rescue or evacuation from water",T_06!$A$4,"PubLANAME",$A39), 0)</f>
        <v>0</v>
      </c>
      <c r="F39" s="877">
        <f>IFERROR(GETPIVOTDATA("Sum of 05:Other rescue/release of persons",T_06!$A$4,"PubLANAME",$A39), 0)</f>
        <v>0</v>
      </c>
      <c r="G39" s="878">
        <f>IFERROR(GETPIVOTDATA("Sum of 06:Evacuation (no fire)",T_06!$A$4,"PubLANAME",$A39), 0)</f>
        <v>0</v>
      </c>
      <c r="H39" s="877">
        <f>IFERROR(GETPIVOTDATA("Sum of 07:Lift Release",T_06!$A$4,"PubLANAME",$A39), 0)</f>
        <v>5</v>
      </c>
      <c r="I39" s="877">
        <f>IFERROR(GETPIVOTDATA("Sum of 08:Medical Incident - First responder/Co-responder",T_06!$A$4,"PubLANAME",$A39), 0)</f>
        <v>1</v>
      </c>
      <c r="J39" s="877">
        <f>IFERROR(GETPIVOTDATA("Sum of 09:Suicide/attempts",T_06!$A$4,"PubLANAME",$A39), 0)</f>
        <v>0</v>
      </c>
      <c r="K39" s="877">
        <f>IFERROR(GETPIVOTDATA("Sum of 10:Hazardous Materials incident",T_06!$A$4,"PubLANAME",$A39), 0)</f>
        <v>1</v>
      </c>
      <c r="L39" s="877">
        <f>IFERROR(GETPIVOTDATA("Sum of 11:Spills and Leaks (not RTC)",T_06!$A$4,"PubLANAME",$A39), 0)</f>
        <v>0</v>
      </c>
      <c r="M39" s="877">
        <f>IFERROR(GETPIVOTDATA("Sum of 12:Removal of objects",T_06!$A$4,"PubLANAME",$A39), 0)</f>
        <v>0</v>
      </c>
      <c r="N39" s="877">
        <f>IFERROR(GETPIVOTDATA("Sum of 13:Animal assistance incidents",T_06!$A$4,"PubLANAME",$A39), 0)</f>
        <v>5</v>
      </c>
      <c r="O39" s="877">
        <f>IFERROR(GETPIVOTDATA("Sum of 14:Effecting entry/exit",T_06!$A$4,"PubLANAME",$A39), 0)</f>
        <v>7</v>
      </c>
      <c r="P39" s="877">
        <f>IFERROR(GETPIVOTDATA("Sum of 15:Making Safe (not RTC)",T_06!$A$4,"PubLANAME",$A39), 0)</f>
        <v>0</v>
      </c>
      <c r="Q39" s="877">
        <f>IFERROR(GETPIVOTDATA("Sum of 16:No action (not false alarm)",T_06!$A$4,"PubLANAME",$A39), 0)</f>
        <v>1</v>
      </c>
      <c r="R39" s="878">
        <f>IFERROR(GETPIVOTDATA("Sum of 17:Water provision",T_06!$A$4,"PubLANAME",$A39), 0)</f>
        <v>0</v>
      </c>
      <c r="S39" s="878">
        <f>IFERROR(GETPIVOTDATA("Sum of 18:Stand By",T_06!$A$4,"PubLANAME",$A39), 0)</f>
        <v>0</v>
      </c>
      <c r="T39" s="877">
        <f>IFERROR(GETPIVOTDATA("Sum of 19:Assist other agencies",T_06!$A$4,"PubLANAME",$A39), 0)</f>
        <v>8</v>
      </c>
      <c r="U39" s="877">
        <f>IFERROR(GETPIVOTDATA("Sum of 20:Advice Only",T_06!$A$4,"PubLANAME",$A39), 0)</f>
        <v>0</v>
      </c>
      <c r="V39" s="879">
        <f t="shared" si="2"/>
        <v>49</v>
      </c>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row>
    <row r="40" spans="1:89" ht="13.5" customHeight="1" x14ac:dyDescent="0.2">
      <c r="A40" s="343" t="s">
        <v>41</v>
      </c>
      <c r="B40" s="880">
        <f>IFERROR(GETPIVOTDATA("Sum of 01:RTC",T_06!$A$4,"PubLANAME",$A40), 0)</f>
        <v>45</v>
      </c>
      <c r="C40" s="881">
        <f>IFERROR(GETPIVOTDATA("Sum of 02:Other Transport incident",T_06!$A$4,"PubLANAME",$A40), 0)</f>
        <v>0</v>
      </c>
      <c r="D40" s="881">
        <f>IFERROR(GETPIVOTDATA("Sum of 03:Flooding",T_06!$A$4,"PubLANAME",$A40), 0)</f>
        <v>36</v>
      </c>
      <c r="E40" s="881">
        <f>IFERROR(GETPIVOTDATA("Sum of 04:Rescue or evacuation from water",T_06!$A$4,"PubLANAME",$A40), 0)</f>
        <v>3</v>
      </c>
      <c r="F40" s="881">
        <f>IFERROR(GETPIVOTDATA("Sum of 05:Other rescue/release of persons",T_06!$A$4,"PubLANAME",$A40), 0)</f>
        <v>16</v>
      </c>
      <c r="G40" s="881">
        <f>IFERROR(GETPIVOTDATA("Sum of 06:Evacuation (no fire)",T_06!$A$4,"PubLANAME",$A40), 0)</f>
        <v>3</v>
      </c>
      <c r="H40" s="881">
        <f>IFERROR(GETPIVOTDATA("Sum of 07:Lift Release",T_06!$A$4,"PubLANAME",$A40), 0)</f>
        <v>17</v>
      </c>
      <c r="I40" s="881">
        <f>IFERROR(GETPIVOTDATA("Sum of 08:Medical Incident - First responder/Co-responder",T_06!$A$4,"PubLANAME",$A40), 0)</f>
        <v>13</v>
      </c>
      <c r="J40" s="881">
        <f>IFERROR(GETPIVOTDATA("Sum of 09:Suicide/attempts",T_06!$A$4,"PubLANAME",$A40), 0)</f>
        <v>1</v>
      </c>
      <c r="K40" s="881">
        <f>IFERROR(GETPIVOTDATA("Sum of 10:Hazardous Materials incident",T_06!$A$4,"PubLANAME",$A40), 0)</f>
        <v>2</v>
      </c>
      <c r="L40" s="881">
        <f>IFERROR(GETPIVOTDATA("Sum of 11:Spills and Leaks (not RTC)",T_06!$A$4,"PubLANAME",$A40), 0)</f>
        <v>5</v>
      </c>
      <c r="M40" s="881">
        <f>IFERROR(GETPIVOTDATA("Sum of 12:Removal of objects",T_06!$A$4,"PubLANAME",$A40), 0)</f>
        <v>9</v>
      </c>
      <c r="N40" s="881">
        <f>IFERROR(GETPIVOTDATA("Sum of 13:Animal assistance incidents",T_06!$A$4,"PubLANAME",$A40), 0)</f>
        <v>6</v>
      </c>
      <c r="O40" s="881">
        <f>IFERROR(GETPIVOTDATA("Sum of 14:Effecting entry/exit",T_06!$A$4,"PubLANAME",$A40), 0)</f>
        <v>68</v>
      </c>
      <c r="P40" s="881">
        <f>IFERROR(GETPIVOTDATA("Sum of 15:Making Safe (not RTC)",T_06!$A$4,"PubLANAME",$A40), 0)</f>
        <v>5</v>
      </c>
      <c r="Q40" s="881">
        <f>IFERROR(GETPIVOTDATA("Sum of 16:No action (not false alarm)",T_06!$A$4,"PubLANAME",$A40), 0)</f>
        <v>37</v>
      </c>
      <c r="R40" s="882">
        <f>IFERROR(GETPIVOTDATA("Sum of 17:Water provision",T_06!$A$4,"PubLANAME",$A40), 0)</f>
        <v>0</v>
      </c>
      <c r="S40" s="881">
        <f>IFERROR(GETPIVOTDATA("Sum of 18:Stand By",T_06!$A$4,"PubLANAME",$A40), 0)</f>
        <v>0</v>
      </c>
      <c r="T40" s="881">
        <f>IFERROR(GETPIVOTDATA("Sum of 19:Assist other agencies",T_06!$A$4,"PubLANAME",$A40), 0)</f>
        <v>40</v>
      </c>
      <c r="U40" s="881">
        <f>IFERROR(GETPIVOTDATA("Sum of 20:Advice Only",T_06!$A$4,"PubLANAME",$A40), 0)</f>
        <v>4</v>
      </c>
      <c r="V40" s="883">
        <f t="shared" si="2"/>
        <v>310</v>
      </c>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row>
    <row r="41" spans="1:89" ht="13.5" customHeight="1" x14ac:dyDescent="0.2">
      <c r="A41" s="46" t="s">
        <v>42</v>
      </c>
      <c r="B41" s="876">
        <f>IFERROR(GETPIVOTDATA("Sum of 01:RTC",T_06!$A$4,"PubLANAME",$A41), 0)</f>
        <v>128</v>
      </c>
      <c r="C41" s="878">
        <f>IFERROR(GETPIVOTDATA("Sum of 02:Other Transport incident",T_06!$A$4,"PubLANAME",$A41), 0)</f>
        <v>5</v>
      </c>
      <c r="D41" s="877">
        <f>IFERROR(GETPIVOTDATA("Sum of 03:Flooding",T_06!$A$4,"PubLANAME",$A41), 0)</f>
        <v>88</v>
      </c>
      <c r="E41" s="877">
        <f>IFERROR(GETPIVOTDATA("Sum of 04:Rescue or evacuation from water",T_06!$A$4,"PubLANAME",$A41), 0)</f>
        <v>1</v>
      </c>
      <c r="F41" s="877">
        <f>IFERROR(GETPIVOTDATA("Sum of 05:Other rescue/release of persons",T_06!$A$4,"PubLANAME",$A41), 0)</f>
        <v>37</v>
      </c>
      <c r="G41" s="877">
        <f>IFERROR(GETPIVOTDATA("Sum of 06:Evacuation (no fire)",T_06!$A$4,"PubLANAME",$A41), 0)</f>
        <v>5</v>
      </c>
      <c r="H41" s="877">
        <f>IFERROR(GETPIVOTDATA("Sum of 07:Lift Release",T_06!$A$4,"PubLANAME",$A41), 0)</f>
        <v>21</v>
      </c>
      <c r="I41" s="877">
        <f>IFERROR(GETPIVOTDATA("Sum of 08:Medical Incident - First responder/Co-responder",T_06!$A$4,"PubLANAME",$A41), 0)</f>
        <v>13</v>
      </c>
      <c r="J41" s="877">
        <f>IFERROR(GETPIVOTDATA("Sum of 09:Suicide/attempts",T_06!$A$4,"PubLANAME",$A41), 0)</f>
        <v>7</v>
      </c>
      <c r="K41" s="877">
        <f>IFERROR(GETPIVOTDATA("Sum of 10:Hazardous Materials incident",T_06!$A$4,"PubLANAME",$A41), 0)</f>
        <v>10</v>
      </c>
      <c r="L41" s="877">
        <f>IFERROR(GETPIVOTDATA("Sum of 11:Spills and Leaks (not RTC)",T_06!$A$4,"PubLANAME",$A41), 0)</f>
        <v>10</v>
      </c>
      <c r="M41" s="877">
        <f>IFERROR(GETPIVOTDATA("Sum of 12:Removal of objects",T_06!$A$4,"PubLANAME",$A41), 0)</f>
        <v>26</v>
      </c>
      <c r="N41" s="877">
        <f>IFERROR(GETPIVOTDATA("Sum of 13:Animal assistance incidents",T_06!$A$4,"PubLANAME",$A41), 0)</f>
        <v>25</v>
      </c>
      <c r="O41" s="877">
        <f>IFERROR(GETPIVOTDATA("Sum of 14:Effecting entry/exit",T_06!$A$4,"PubLANAME",$A41), 0)</f>
        <v>127</v>
      </c>
      <c r="P41" s="877">
        <f>IFERROR(GETPIVOTDATA("Sum of 15:Making Safe (not RTC)",T_06!$A$4,"PubLANAME",$A41), 0)</f>
        <v>13</v>
      </c>
      <c r="Q41" s="877">
        <f>IFERROR(GETPIVOTDATA("Sum of 16:No action (not false alarm)",T_06!$A$4,"PubLANAME",$A41), 0)</f>
        <v>85</v>
      </c>
      <c r="R41" s="877">
        <f>IFERROR(GETPIVOTDATA("Sum of 17:Water provision",T_06!$A$4,"PubLANAME",$A41), 0)</f>
        <v>0</v>
      </c>
      <c r="S41" s="878">
        <f>IFERROR(GETPIVOTDATA("Sum of 18:Stand By",T_06!$A$4,"PubLANAME",$A41), 0)</f>
        <v>0</v>
      </c>
      <c r="T41" s="877">
        <f>IFERROR(GETPIVOTDATA("Sum of 19:Assist other agencies",T_06!$A$4,"PubLANAME",$A41), 0)</f>
        <v>69</v>
      </c>
      <c r="U41" s="877">
        <f>IFERROR(GETPIVOTDATA("Sum of 20:Advice Only",T_06!$A$4,"PubLANAME",$A41), 0)</f>
        <v>6</v>
      </c>
      <c r="V41" s="879">
        <f t="shared" si="2"/>
        <v>676</v>
      </c>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row>
    <row r="42" spans="1:89" ht="13.5" customHeight="1" x14ac:dyDescent="0.2">
      <c r="A42" s="343" t="s">
        <v>43</v>
      </c>
      <c r="B42" s="880">
        <f>IFERROR(GETPIVOTDATA("Sum of 01:RTC",T_06!$A$4,"PubLANAME",$A42), 0)</f>
        <v>2</v>
      </c>
      <c r="C42" s="882">
        <f>IFERROR(GETPIVOTDATA("Sum of 02:Other Transport incident",T_06!$A$4,"PubLANAME",$A42), 0)</f>
        <v>0</v>
      </c>
      <c r="D42" s="881">
        <f>IFERROR(GETPIVOTDATA("Sum of 03:Flooding",T_06!$A$4,"PubLANAME",$A42), 0)</f>
        <v>6</v>
      </c>
      <c r="E42" s="882">
        <f>IFERROR(GETPIVOTDATA("Sum of 04:Rescue or evacuation from water",T_06!$A$4,"PubLANAME",$A42), 0)</f>
        <v>0</v>
      </c>
      <c r="F42" s="881">
        <f>IFERROR(GETPIVOTDATA("Sum of 05:Other rescue/release of persons",T_06!$A$4,"PubLANAME",$A42), 0)</f>
        <v>1</v>
      </c>
      <c r="G42" s="882">
        <f>IFERROR(GETPIVOTDATA("Sum of 06:Evacuation (no fire)",T_06!$A$4,"PubLANAME",$A42), 0)</f>
        <v>0</v>
      </c>
      <c r="H42" s="881">
        <f>IFERROR(GETPIVOTDATA("Sum of 07:Lift Release",T_06!$A$4,"PubLANAME",$A42), 0)</f>
        <v>2</v>
      </c>
      <c r="I42" s="882">
        <f>IFERROR(GETPIVOTDATA("Sum of 08:Medical Incident - First responder/Co-responder",T_06!$A$4,"PubLANAME",$A42), 0)</f>
        <v>1</v>
      </c>
      <c r="J42" s="881">
        <f>IFERROR(GETPIVOTDATA("Sum of 09:Suicide/attempts",T_06!$A$4,"PubLANAME",$A42), 0)</f>
        <v>0</v>
      </c>
      <c r="K42" s="882">
        <f>IFERROR(GETPIVOTDATA("Sum of 10:Hazardous Materials incident",T_06!$A$4,"PubLANAME",$A42), 0)</f>
        <v>0</v>
      </c>
      <c r="L42" s="882">
        <f>IFERROR(GETPIVOTDATA("Sum of 11:Spills and Leaks (not RTC)",T_06!$A$4,"PubLANAME",$A42), 0)</f>
        <v>1</v>
      </c>
      <c r="M42" s="881">
        <f>IFERROR(GETPIVOTDATA("Sum of 12:Removal of objects",T_06!$A$4,"PubLANAME",$A42), 0)</f>
        <v>0</v>
      </c>
      <c r="N42" s="882">
        <f>IFERROR(GETPIVOTDATA("Sum of 13:Animal assistance incidents",T_06!$A$4,"PubLANAME",$A42), 0)</f>
        <v>1</v>
      </c>
      <c r="O42" s="881">
        <f>IFERROR(GETPIVOTDATA("Sum of 14:Effecting entry/exit",T_06!$A$4,"PubLANAME",$A42), 0)</f>
        <v>1</v>
      </c>
      <c r="P42" s="882">
        <f>IFERROR(GETPIVOTDATA("Sum of 15:Making Safe (not RTC)",T_06!$A$4,"PubLANAME",$A42), 0)</f>
        <v>0</v>
      </c>
      <c r="Q42" s="882">
        <f>IFERROR(GETPIVOTDATA("Sum of 16:No action (not false alarm)",T_06!$A$4,"PubLANAME",$A42), 0)</f>
        <v>0</v>
      </c>
      <c r="R42" s="882">
        <f>IFERROR(GETPIVOTDATA("Sum of 17:Water provision",T_06!$A$4,"PubLANAME",$A42), 0)</f>
        <v>0</v>
      </c>
      <c r="S42" s="882">
        <f>IFERROR(GETPIVOTDATA("Sum of 18:Stand By",T_06!$A$4,"PubLANAME",$A42), 0)</f>
        <v>3</v>
      </c>
      <c r="T42" s="881">
        <f>IFERROR(GETPIVOTDATA("Sum of 19:Assist other agencies",T_06!$A$4,"PubLANAME",$A42), 0)</f>
        <v>4</v>
      </c>
      <c r="U42" s="882">
        <f>IFERROR(GETPIVOTDATA("Sum of 20:Advice Only",T_06!$A$4,"PubLANAME",$A42), 0)</f>
        <v>0</v>
      </c>
      <c r="V42" s="883">
        <f t="shared" si="2"/>
        <v>22</v>
      </c>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row>
    <row r="43" spans="1:89" ht="13.5" customHeight="1" x14ac:dyDescent="0.2">
      <c r="A43" s="46" t="s">
        <v>44</v>
      </c>
      <c r="B43" s="876">
        <f>IFERROR(GETPIVOTDATA("Sum of 01:RTC",T_06!$A$4,"PubLANAME",$A43), 0)</f>
        <v>118</v>
      </c>
      <c r="C43" s="877">
        <f>IFERROR(GETPIVOTDATA("Sum of 02:Other Transport incident",T_06!$A$4,"PubLANAME",$A43), 0)</f>
        <v>1</v>
      </c>
      <c r="D43" s="877">
        <f>IFERROR(GETPIVOTDATA("Sum of 03:Flooding",T_06!$A$4,"PubLANAME",$A43), 0)</f>
        <v>29</v>
      </c>
      <c r="E43" s="877">
        <f>IFERROR(GETPIVOTDATA("Sum of 04:Rescue or evacuation from water",T_06!$A$4,"PubLANAME",$A43), 0)</f>
        <v>8</v>
      </c>
      <c r="F43" s="877">
        <f>IFERROR(GETPIVOTDATA("Sum of 05:Other rescue/release of persons",T_06!$A$4,"PubLANAME",$A43), 0)</f>
        <v>11</v>
      </c>
      <c r="G43" s="877">
        <f>IFERROR(GETPIVOTDATA("Sum of 06:Evacuation (no fire)",T_06!$A$4,"PubLANAME",$A43), 0)</f>
        <v>0</v>
      </c>
      <c r="H43" s="877">
        <f>IFERROR(GETPIVOTDATA("Sum of 07:Lift Release",T_06!$A$4,"PubLANAME",$A43), 0)</f>
        <v>10</v>
      </c>
      <c r="I43" s="877">
        <f>IFERROR(GETPIVOTDATA("Sum of 08:Medical Incident - First responder/Co-responder",T_06!$A$4,"PubLANAME",$A43), 0)</f>
        <v>9</v>
      </c>
      <c r="J43" s="877">
        <f>IFERROR(GETPIVOTDATA("Sum of 09:Suicide/attempts",T_06!$A$4,"PubLANAME",$A43), 0)</f>
        <v>4</v>
      </c>
      <c r="K43" s="877">
        <f>IFERROR(GETPIVOTDATA("Sum of 10:Hazardous Materials incident",T_06!$A$4,"PubLANAME",$A43), 0)</f>
        <v>0</v>
      </c>
      <c r="L43" s="877">
        <f>IFERROR(GETPIVOTDATA("Sum of 11:Spills and Leaks (not RTC)",T_06!$A$4,"PubLANAME",$A43), 0)</f>
        <v>5</v>
      </c>
      <c r="M43" s="877">
        <f>IFERROR(GETPIVOTDATA("Sum of 12:Removal of objects",T_06!$A$4,"PubLANAME",$A43), 0)</f>
        <v>3</v>
      </c>
      <c r="N43" s="877">
        <f>IFERROR(GETPIVOTDATA("Sum of 13:Animal assistance incidents",T_06!$A$4,"PubLANAME",$A43), 0)</f>
        <v>15</v>
      </c>
      <c r="O43" s="877">
        <f>IFERROR(GETPIVOTDATA("Sum of 14:Effecting entry/exit",T_06!$A$4,"PubLANAME",$A43), 0)</f>
        <v>79</v>
      </c>
      <c r="P43" s="877">
        <f>IFERROR(GETPIVOTDATA("Sum of 15:Making Safe (not RTC)",T_06!$A$4,"PubLANAME",$A43), 0)</f>
        <v>17</v>
      </c>
      <c r="Q43" s="877">
        <f>IFERROR(GETPIVOTDATA("Sum of 16:No action (not false alarm)",T_06!$A$4,"PubLANAME",$A43), 0)</f>
        <v>14</v>
      </c>
      <c r="R43" s="877">
        <f>IFERROR(GETPIVOTDATA("Sum of 17:Water provision",T_06!$A$4,"PubLANAME",$A43), 0)</f>
        <v>0</v>
      </c>
      <c r="S43" s="878">
        <f>IFERROR(GETPIVOTDATA("Sum of 18:Stand By",T_06!$A$4,"PubLANAME",$A43), 0)</f>
        <v>0</v>
      </c>
      <c r="T43" s="877">
        <f>IFERROR(GETPIVOTDATA("Sum of 19:Assist other agencies",T_06!$A$4,"PubLANAME",$A43), 0)</f>
        <v>22</v>
      </c>
      <c r="U43" s="877">
        <f>IFERROR(GETPIVOTDATA("Sum of 20:Advice Only",T_06!$A$4,"PubLANAME",$A43), 0)</f>
        <v>1</v>
      </c>
      <c r="V43" s="879">
        <f t="shared" si="2"/>
        <v>346</v>
      </c>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row>
    <row r="44" spans="1:89" ht="13.5" customHeight="1" x14ac:dyDescent="0.2">
      <c r="A44" s="343" t="s">
        <v>45</v>
      </c>
      <c r="B44" s="880">
        <f>IFERROR(GETPIVOTDATA("Sum of 01:RTC",T_06!$A$4,"PubLANAME",$A44), 0)</f>
        <v>76</v>
      </c>
      <c r="C44" s="882">
        <f>IFERROR(GETPIVOTDATA("Sum of 02:Other Transport incident",T_06!$A$4,"PubLANAME",$A44), 0)</f>
        <v>3</v>
      </c>
      <c r="D44" s="881">
        <f>IFERROR(GETPIVOTDATA("Sum of 03:Flooding",T_06!$A$4,"PubLANAME",$A44), 0)</f>
        <v>45</v>
      </c>
      <c r="E44" s="881">
        <f>IFERROR(GETPIVOTDATA("Sum of 04:Rescue or evacuation from water",T_06!$A$4,"PubLANAME",$A44), 0)</f>
        <v>5</v>
      </c>
      <c r="F44" s="881">
        <f>IFERROR(GETPIVOTDATA("Sum of 05:Other rescue/release of persons",T_06!$A$4,"PubLANAME",$A44), 0)</f>
        <v>17</v>
      </c>
      <c r="G44" s="881">
        <f>IFERROR(GETPIVOTDATA("Sum of 06:Evacuation (no fire)",T_06!$A$4,"PubLANAME",$A44), 0)</f>
        <v>5</v>
      </c>
      <c r="H44" s="881">
        <f>IFERROR(GETPIVOTDATA("Sum of 07:Lift Release",T_06!$A$4,"PubLANAME",$A44), 0)</f>
        <v>11</v>
      </c>
      <c r="I44" s="881">
        <f>IFERROR(GETPIVOTDATA("Sum of 08:Medical Incident - First responder/Co-responder",T_06!$A$4,"PubLANAME",$A44), 0)</f>
        <v>25</v>
      </c>
      <c r="J44" s="881">
        <f>IFERROR(GETPIVOTDATA("Sum of 09:Suicide/attempts",T_06!$A$4,"PubLANAME",$A44), 0)</f>
        <v>4</v>
      </c>
      <c r="K44" s="881">
        <f>IFERROR(GETPIVOTDATA("Sum of 10:Hazardous Materials incident",T_06!$A$4,"PubLANAME",$A44), 0)</f>
        <v>3</v>
      </c>
      <c r="L44" s="881">
        <f>IFERROR(GETPIVOTDATA("Sum of 11:Spills and Leaks (not RTC)",T_06!$A$4,"PubLANAME",$A44), 0)</f>
        <v>9</v>
      </c>
      <c r="M44" s="881">
        <f>IFERROR(GETPIVOTDATA("Sum of 12:Removal of objects",T_06!$A$4,"PubLANAME",$A44), 0)</f>
        <v>6</v>
      </c>
      <c r="N44" s="881">
        <f>IFERROR(GETPIVOTDATA("Sum of 13:Animal assistance incidents",T_06!$A$4,"PubLANAME",$A44), 0)</f>
        <v>14</v>
      </c>
      <c r="O44" s="881">
        <f>IFERROR(GETPIVOTDATA("Sum of 14:Effecting entry/exit",T_06!$A$4,"PubLANAME",$A44), 0)</f>
        <v>107</v>
      </c>
      <c r="P44" s="881">
        <f>IFERROR(GETPIVOTDATA("Sum of 15:Making Safe (not RTC)",T_06!$A$4,"PubLANAME",$A44), 0)</f>
        <v>14</v>
      </c>
      <c r="Q44" s="881">
        <f>IFERROR(GETPIVOTDATA("Sum of 16:No action (not false alarm)",T_06!$A$4,"PubLANAME",$A44), 0)</f>
        <v>91</v>
      </c>
      <c r="R44" s="882">
        <f>IFERROR(GETPIVOTDATA("Sum of 17:Water provision",T_06!$A$4,"PubLANAME",$A44), 0)</f>
        <v>1</v>
      </c>
      <c r="S44" s="881">
        <f>IFERROR(GETPIVOTDATA("Sum of 18:Stand By",T_06!$A$4,"PubLANAME",$A44), 0)</f>
        <v>10</v>
      </c>
      <c r="T44" s="881">
        <f>IFERROR(GETPIVOTDATA("Sum of 19:Assist other agencies",T_06!$A$4,"PubLANAME",$A44), 0)</f>
        <v>64</v>
      </c>
      <c r="U44" s="881">
        <f>IFERROR(GETPIVOTDATA("Sum of 20:Advice Only",T_06!$A$4,"PubLANAME",$A44), 0)</f>
        <v>12</v>
      </c>
      <c r="V44" s="883">
        <f t="shared" si="2"/>
        <v>522</v>
      </c>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row>
    <row r="45" spans="1:89" ht="13.5" customHeight="1" x14ac:dyDescent="0.2">
      <c r="A45" s="379" t="s">
        <v>46</v>
      </c>
      <c r="B45" s="884">
        <f>IFERROR(GETPIVOTDATA("Sum of 01:RTC",T_06!$A$4,"PubLANAME",$A45), 0)</f>
        <v>92</v>
      </c>
      <c r="C45" s="885">
        <f>IFERROR(GETPIVOTDATA("Sum of 02:Other Transport incident",T_06!$A$4,"PubLANAME",$A45), 0)</f>
        <v>1</v>
      </c>
      <c r="D45" s="885">
        <f>IFERROR(GETPIVOTDATA("Sum of 03:Flooding",T_06!$A$4,"PubLANAME",$A45), 0)</f>
        <v>23</v>
      </c>
      <c r="E45" s="885">
        <f>IFERROR(GETPIVOTDATA("Sum of 04:Rescue or evacuation from water",T_06!$A$4,"PubLANAME",$A45), 0)</f>
        <v>7</v>
      </c>
      <c r="F45" s="885">
        <f>IFERROR(GETPIVOTDATA("Sum of 05:Other rescue/release of persons",T_06!$A$4,"PubLANAME",$A45), 0)</f>
        <v>9</v>
      </c>
      <c r="G45" s="885">
        <f>IFERROR(GETPIVOTDATA("Sum of 06:Evacuation (no fire)",T_06!$A$4,"PubLANAME",$A45), 0)</f>
        <v>2</v>
      </c>
      <c r="H45" s="885">
        <f>IFERROR(GETPIVOTDATA("Sum of 07:Lift Release",T_06!$A$4,"PubLANAME",$A45), 0)</f>
        <v>5</v>
      </c>
      <c r="I45" s="885">
        <f>IFERROR(GETPIVOTDATA("Sum of 08:Medical Incident - First responder/Co-responder",T_06!$A$4,"PubLANAME",$A45), 0)</f>
        <v>22</v>
      </c>
      <c r="J45" s="885">
        <f>IFERROR(GETPIVOTDATA("Sum of 09:Suicide/attempts",T_06!$A$4,"PubLANAME",$A45), 0)</f>
        <v>2</v>
      </c>
      <c r="K45" s="885">
        <f>IFERROR(GETPIVOTDATA("Sum of 10:Hazardous Materials incident",T_06!$A$4,"PubLANAME",$A45), 0)</f>
        <v>4</v>
      </c>
      <c r="L45" s="885">
        <f>IFERROR(GETPIVOTDATA("Sum of 11:Spills and Leaks (not RTC)",T_06!$A$4,"PubLANAME",$A45), 0)</f>
        <v>8</v>
      </c>
      <c r="M45" s="885">
        <f>IFERROR(GETPIVOTDATA("Sum of 12:Removal of objects",T_06!$A$4,"PubLANAME",$A45), 0)</f>
        <v>5</v>
      </c>
      <c r="N45" s="885">
        <f>IFERROR(GETPIVOTDATA("Sum of 13:Animal assistance incidents",T_06!$A$4,"PubLANAME",$A45), 0)</f>
        <v>14</v>
      </c>
      <c r="O45" s="885">
        <f>IFERROR(GETPIVOTDATA("Sum of 14:Effecting entry/exit",T_06!$A$4,"PubLANAME",$A45), 0)</f>
        <v>84</v>
      </c>
      <c r="P45" s="885">
        <f>IFERROR(GETPIVOTDATA("Sum of 15:Making Safe (not RTC)",T_06!$A$4,"PubLANAME",$A45), 0)</f>
        <v>8</v>
      </c>
      <c r="Q45" s="885">
        <f>IFERROR(GETPIVOTDATA("Sum of 16:No action (not false alarm)",T_06!$A$4,"PubLANAME",$A45), 0)</f>
        <v>8</v>
      </c>
      <c r="R45" s="885">
        <f>IFERROR(GETPIVOTDATA("Sum of 17:Water provision",T_06!$A$4,"PubLANAME",$A45), 0)</f>
        <v>1</v>
      </c>
      <c r="S45" s="886">
        <f>IFERROR(GETPIVOTDATA("Sum of 18:Stand By",T_06!$A$4,"PubLANAME",$A45), 0)</f>
        <v>0</v>
      </c>
      <c r="T45" s="885">
        <f>IFERROR(GETPIVOTDATA("Sum of 19:Assist other agencies",T_06!$A$4,"PubLANAME",$A45), 0)</f>
        <v>20</v>
      </c>
      <c r="U45" s="885">
        <f>IFERROR(GETPIVOTDATA("Sum of 20:Advice Only",T_06!$A$4,"PubLANAME",$A45), 0)</f>
        <v>1</v>
      </c>
      <c r="V45" s="879">
        <f t="shared" si="2"/>
        <v>316</v>
      </c>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row>
    <row r="46" spans="1:89" ht="13.5" customHeight="1" x14ac:dyDescent="0.2">
      <c r="A46" s="343" t="s">
        <v>47</v>
      </c>
      <c r="B46" s="880">
        <f>IFERROR(GETPIVOTDATA("Sum of 01:RTC",T_06!$A$4,"PubLANAME",$A46), 0)</f>
        <v>12</v>
      </c>
      <c r="C46" s="881">
        <f>IFERROR(GETPIVOTDATA("Sum of 02:Other Transport incident",T_06!$A$4,"PubLANAME",$A46), 0)</f>
        <v>0</v>
      </c>
      <c r="D46" s="881">
        <f>IFERROR(GETPIVOTDATA("Sum of 03:Flooding",T_06!$A$4,"PubLANAME",$A46), 0)</f>
        <v>6</v>
      </c>
      <c r="E46" s="882">
        <f>IFERROR(GETPIVOTDATA("Sum of 04:Rescue or evacuation from water",T_06!$A$4,"PubLANAME",$A46), 0)</f>
        <v>0</v>
      </c>
      <c r="F46" s="882">
        <f>IFERROR(GETPIVOTDATA("Sum of 05:Other rescue/release of persons",T_06!$A$4,"PubLANAME",$A46), 0)</f>
        <v>1</v>
      </c>
      <c r="G46" s="882">
        <f>IFERROR(GETPIVOTDATA("Sum of 06:Evacuation (no fire)",T_06!$A$4,"PubLANAME",$A46), 0)</f>
        <v>0</v>
      </c>
      <c r="H46" s="881">
        <f>IFERROR(GETPIVOTDATA("Sum of 07:Lift Release",T_06!$A$4,"PubLANAME",$A46), 0)</f>
        <v>2</v>
      </c>
      <c r="I46" s="881">
        <f>IFERROR(GETPIVOTDATA("Sum of 08:Medical Incident - First responder/Co-responder",T_06!$A$4,"PubLANAME",$A46), 0)</f>
        <v>0</v>
      </c>
      <c r="J46" s="881">
        <f>IFERROR(GETPIVOTDATA("Sum of 09:Suicide/attempts",T_06!$A$4,"PubLANAME",$A46), 0)</f>
        <v>0</v>
      </c>
      <c r="K46" s="881">
        <f>IFERROR(GETPIVOTDATA("Sum of 10:Hazardous Materials incident",T_06!$A$4,"PubLANAME",$A46), 0)</f>
        <v>1</v>
      </c>
      <c r="L46" s="881">
        <f>IFERROR(GETPIVOTDATA("Sum of 11:Spills and Leaks (not RTC)",T_06!$A$4,"PubLANAME",$A46), 0)</f>
        <v>0</v>
      </c>
      <c r="M46" s="882">
        <f>IFERROR(GETPIVOTDATA("Sum of 12:Removal of objects",T_06!$A$4,"PubLANAME",$A46), 0)</f>
        <v>0</v>
      </c>
      <c r="N46" s="881">
        <f>IFERROR(GETPIVOTDATA("Sum of 13:Animal assistance incidents",T_06!$A$4,"PubLANAME",$A46), 0)</f>
        <v>0</v>
      </c>
      <c r="O46" s="881">
        <f>IFERROR(GETPIVOTDATA("Sum of 14:Effecting entry/exit",T_06!$A$4,"PubLANAME",$A46), 0)</f>
        <v>2</v>
      </c>
      <c r="P46" s="881">
        <f>IFERROR(GETPIVOTDATA("Sum of 15:Making Safe (not RTC)",T_06!$A$4,"PubLANAME",$A46), 0)</f>
        <v>2</v>
      </c>
      <c r="Q46" s="881">
        <f>IFERROR(GETPIVOTDATA("Sum of 16:No action (not false alarm)",T_06!$A$4,"PubLANAME",$A46), 0)</f>
        <v>1</v>
      </c>
      <c r="R46" s="882">
        <f>IFERROR(GETPIVOTDATA("Sum of 17:Water provision",T_06!$A$4,"PubLANAME",$A46), 0)</f>
        <v>0</v>
      </c>
      <c r="S46" s="881">
        <f>IFERROR(GETPIVOTDATA("Sum of 18:Stand By",T_06!$A$4,"PubLANAME",$A46), 0)</f>
        <v>5</v>
      </c>
      <c r="T46" s="881">
        <f>IFERROR(GETPIVOTDATA("Sum of 19:Assist other agencies",T_06!$A$4,"PubLANAME",$A46), 0)</f>
        <v>5</v>
      </c>
      <c r="U46" s="881">
        <f>IFERROR(GETPIVOTDATA("Sum of 20:Advice Only",T_06!$A$4,"PubLANAME",$A46), 0)</f>
        <v>1</v>
      </c>
      <c r="V46" s="883">
        <f t="shared" si="2"/>
        <v>38</v>
      </c>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row>
    <row r="47" spans="1:89" ht="13.5" customHeight="1" x14ac:dyDescent="0.2">
      <c r="A47" s="46" t="s">
        <v>48</v>
      </c>
      <c r="B47" s="876">
        <f>IFERROR(GETPIVOTDATA("Sum of 01:RTC",T_06!$A$4,"PubLANAME",$A47), 0)</f>
        <v>69</v>
      </c>
      <c r="C47" s="877">
        <f>IFERROR(GETPIVOTDATA("Sum of 02:Other Transport incident",T_06!$A$4,"PubLANAME",$A47), 0)</f>
        <v>6</v>
      </c>
      <c r="D47" s="877">
        <f>IFERROR(GETPIVOTDATA("Sum of 03:Flooding",T_06!$A$4,"PubLANAME",$A47), 0)</f>
        <v>14</v>
      </c>
      <c r="E47" s="877">
        <f>IFERROR(GETPIVOTDATA("Sum of 04:Rescue or evacuation from water",T_06!$A$4,"PubLANAME",$A47), 0)</f>
        <v>6</v>
      </c>
      <c r="F47" s="877">
        <f>IFERROR(GETPIVOTDATA("Sum of 05:Other rescue/release of persons",T_06!$A$4,"PubLANAME",$A47), 0)</f>
        <v>18</v>
      </c>
      <c r="G47" s="877">
        <f>IFERROR(GETPIVOTDATA("Sum of 06:Evacuation (no fire)",T_06!$A$4,"PubLANAME",$A47), 0)</f>
        <v>5</v>
      </c>
      <c r="H47" s="877">
        <f>IFERROR(GETPIVOTDATA("Sum of 07:Lift Release",T_06!$A$4,"PubLANAME",$A47), 0)</f>
        <v>7</v>
      </c>
      <c r="I47" s="877">
        <f>IFERROR(GETPIVOTDATA("Sum of 08:Medical Incident - First responder/Co-responder",T_06!$A$4,"PubLANAME",$A47), 0)</f>
        <v>10</v>
      </c>
      <c r="J47" s="877">
        <f>IFERROR(GETPIVOTDATA("Sum of 09:Suicide/attempts",T_06!$A$4,"PubLANAME",$A47), 0)</f>
        <v>4</v>
      </c>
      <c r="K47" s="877">
        <f>IFERROR(GETPIVOTDATA("Sum of 10:Hazardous Materials incident",T_06!$A$4,"PubLANAME",$A47), 0)</f>
        <v>0</v>
      </c>
      <c r="L47" s="877">
        <f>IFERROR(GETPIVOTDATA("Sum of 11:Spills and Leaks (not RTC)",T_06!$A$4,"PubLANAME",$A47), 0)</f>
        <v>4</v>
      </c>
      <c r="M47" s="877">
        <f>IFERROR(GETPIVOTDATA("Sum of 12:Removal of objects",T_06!$A$4,"PubLANAME",$A47), 0)</f>
        <v>3</v>
      </c>
      <c r="N47" s="877">
        <f>IFERROR(GETPIVOTDATA("Sum of 13:Animal assistance incidents",T_06!$A$4,"PubLANAME",$A47), 0)</f>
        <v>6</v>
      </c>
      <c r="O47" s="877">
        <f>IFERROR(GETPIVOTDATA("Sum of 14:Effecting entry/exit",T_06!$A$4,"PubLANAME",$A47), 0)</f>
        <v>53</v>
      </c>
      <c r="P47" s="877">
        <f>IFERROR(GETPIVOTDATA("Sum of 15:Making Safe (not RTC)",T_06!$A$4,"PubLANAME",$A47), 0)</f>
        <v>8</v>
      </c>
      <c r="Q47" s="877">
        <f>IFERROR(GETPIVOTDATA("Sum of 16:No action (not false alarm)",T_06!$A$4,"PubLANAME",$A47), 0)</f>
        <v>38</v>
      </c>
      <c r="R47" s="878">
        <f>IFERROR(GETPIVOTDATA("Sum of 17:Water provision",T_06!$A$4,"PubLANAME",$A47), 0)</f>
        <v>0</v>
      </c>
      <c r="S47" s="877">
        <f>IFERROR(GETPIVOTDATA("Sum of 18:Stand By",T_06!$A$4,"PubLANAME",$A47), 0)</f>
        <v>5</v>
      </c>
      <c r="T47" s="877">
        <f>IFERROR(GETPIVOTDATA("Sum of 19:Assist other agencies",T_06!$A$4,"PubLANAME",$A47), 0)</f>
        <v>16</v>
      </c>
      <c r="U47" s="877">
        <f>IFERROR(GETPIVOTDATA("Sum of 20:Advice Only",T_06!$A$4,"PubLANAME",$A47), 0)</f>
        <v>2</v>
      </c>
      <c r="V47" s="879">
        <f t="shared" si="2"/>
        <v>274</v>
      </c>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row>
    <row r="48" spans="1:89" ht="13.5" customHeight="1" x14ac:dyDescent="0.2">
      <c r="A48" s="343" t="s">
        <v>49</v>
      </c>
      <c r="B48" s="880">
        <f>IFERROR(GETPIVOTDATA("Sum of 01:RTC",T_06!$A$4,"PubLANAME",$A48), 0)</f>
        <v>130</v>
      </c>
      <c r="C48" s="882">
        <f>IFERROR(GETPIVOTDATA("Sum of 02:Other Transport incident",T_06!$A$4,"PubLANAME",$A48), 0)</f>
        <v>2</v>
      </c>
      <c r="D48" s="881">
        <f>IFERROR(GETPIVOTDATA("Sum of 03:Flooding",T_06!$A$4,"PubLANAME",$A48), 0)</f>
        <v>65</v>
      </c>
      <c r="E48" s="881">
        <f>IFERROR(GETPIVOTDATA("Sum of 04:Rescue or evacuation from water",T_06!$A$4,"PubLANAME",$A48), 0)</f>
        <v>2</v>
      </c>
      <c r="F48" s="881">
        <f>IFERROR(GETPIVOTDATA("Sum of 05:Other rescue/release of persons",T_06!$A$4,"PubLANAME",$A48), 0)</f>
        <v>26</v>
      </c>
      <c r="G48" s="881">
        <f>IFERROR(GETPIVOTDATA("Sum of 06:Evacuation (no fire)",T_06!$A$4,"PubLANAME",$A48), 0)</f>
        <v>2</v>
      </c>
      <c r="H48" s="881">
        <f>IFERROR(GETPIVOTDATA("Sum of 07:Lift Release",T_06!$A$4,"PubLANAME",$A48), 0)</f>
        <v>19</v>
      </c>
      <c r="I48" s="881">
        <f>IFERROR(GETPIVOTDATA("Sum of 08:Medical Incident - First responder/Co-responder",T_06!$A$4,"PubLANAME",$A48), 0)</f>
        <v>21</v>
      </c>
      <c r="J48" s="881">
        <f>IFERROR(GETPIVOTDATA("Sum of 09:Suicide/attempts",T_06!$A$4,"PubLANAME",$A48), 0)</f>
        <v>5</v>
      </c>
      <c r="K48" s="881">
        <f>IFERROR(GETPIVOTDATA("Sum of 10:Hazardous Materials incident",T_06!$A$4,"PubLANAME",$A48), 0)</f>
        <v>5</v>
      </c>
      <c r="L48" s="881">
        <f>IFERROR(GETPIVOTDATA("Sum of 11:Spills and Leaks (not RTC)",T_06!$A$4,"PubLANAME",$A48), 0)</f>
        <v>9</v>
      </c>
      <c r="M48" s="881">
        <f>IFERROR(GETPIVOTDATA("Sum of 12:Removal of objects",T_06!$A$4,"PubLANAME",$A48), 0)</f>
        <v>18</v>
      </c>
      <c r="N48" s="881">
        <f>IFERROR(GETPIVOTDATA("Sum of 13:Animal assistance incidents",T_06!$A$4,"PubLANAME",$A48), 0)</f>
        <v>22</v>
      </c>
      <c r="O48" s="881">
        <f>IFERROR(GETPIVOTDATA("Sum of 14:Effecting entry/exit",T_06!$A$4,"PubLANAME",$A48), 0)</f>
        <v>103</v>
      </c>
      <c r="P48" s="881">
        <f>IFERROR(GETPIVOTDATA("Sum of 15:Making Safe (not RTC)",T_06!$A$4,"PubLANAME",$A48), 0)</f>
        <v>17</v>
      </c>
      <c r="Q48" s="881">
        <f>IFERROR(GETPIVOTDATA("Sum of 16:No action (not false alarm)",T_06!$A$4,"PubLANAME",$A48), 0)</f>
        <v>79</v>
      </c>
      <c r="R48" s="882">
        <f>IFERROR(GETPIVOTDATA("Sum of 17:Water provision",T_06!$A$4,"PubLANAME",$A48), 0)</f>
        <v>0</v>
      </c>
      <c r="S48" s="881">
        <f>IFERROR(GETPIVOTDATA("Sum of 18:Stand By",T_06!$A$4,"PubLANAME",$A48), 0)</f>
        <v>0</v>
      </c>
      <c r="T48" s="881">
        <f>IFERROR(GETPIVOTDATA("Sum of 19:Assist other agencies",T_06!$A$4,"PubLANAME",$A48), 0)</f>
        <v>50</v>
      </c>
      <c r="U48" s="881">
        <f>IFERROR(GETPIVOTDATA("Sum of 20:Advice Only",T_06!$A$4,"PubLANAME",$A48), 0)</f>
        <v>12</v>
      </c>
      <c r="V48" s="883">
        <f t="shared" si="2"/>
        <v>587</v>
      </c>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row>
    <row r="49" spans="1:89" ht="13.5" customHeight="1" x14ac:dyDescent="0.2">
      <c r="A49" s="46" t="s">
        <v>50</v>
      </c>
      <c r="B49" s="876">
        <f>IFERROR(GETPIVOTDATA("Sum of 01:RTC",T_06!$A$4,"PubLANAME",$A49), 0)</f>
        <v>58</v>
      </c>
      <c r="C49" s="877">
        <f>IFERROR(GETPIVOTDATA("Sum of 02:Other Transport incident",T_06!$A$4,"PubLANAME",$A49), 0)</f>
        <v>1</v>
      </c>
      <c r="D49" s="877">
        <f>IFERROR(GETPIVOTDATA("Sum of 03:Flooding",T_06!$A$4,"PubLANAME",$A49), 0)</f>
        <v>21</v>
      </c>
      <c r="E49" s="877">
        <f>IFERROR(GETPIVOTDATA("Sum of 04:Rescue or evacuation from water",T_06!$A$4,"PubLANAME",$A49), 0)</f>
        <v>11</v>
      </c>
      <c r="F49" s="877">
        <f>IFERROR(GETPIVOTDATA("Sum of 05:Other rescue/release of persons",T_06!$A$4,"PubLANAME",$A49), 0)</f>
        <v>8</v>
      </c>
      <c r="G49" s="878">
        <f>IFERROR(GETPIVOTDATA("Sum of 06:Evacuation (no fire)",T_06!$A$4,"PubLANAME",$A49), 0)</f>
        <v>0</v>
      </c>
      <c r="H49" s="877">
        <f>IFERROR(GETPIVOTDATA("Sum of 07:Lift Release",T_06!$A$4,"PubLANAME",$A49), 0)</f>
        <v>8</v>
      </c>
      <c r="I49" s="877">
        <f>IFERROR(GETPIVOTDATA("Sum of 08:Medical Incident - First responder/Co-responder",T_06!$A$4,"PubLANAME",$A49), 0)</f>
        <v>12</v>
      </c>
      <c r="J49" s="877">
        <f>IFERROR(GETPIVOTDATA("Sum of 09:Suicide/attempts",T_06!$A$4,"PubLANAME",$A49), 0)</f>
        <v>2</v>
      </c>
      <c r="K49" s="877">
        <f>IFERROR(GETPIVOTDATA("Sum of 10:Hazardous Materials incident",T_06!$A$4,"PubLANAME",$A49), 0)</f>
        <v>3</v>
      </c>
      <c r="L49" s="877">
        <f>IFERROR(GETPIVOTDATA("Sum of 11:Spills and Leaks (not RTC)",T_06!$A$4,"PubLANAME",$A49), 0)</f>
        <v>3</v>
      </c>
      <c r="M49" s="877">
        <f>IFERROR(GETPIVOTDATA("Sum of 12:Removal of objects",T_06!$A$4,"PubLANAME",$A49), 0)</f>
        <v>4</v>
      </c>
      <c r="N49" s="877">
        <f>IFERROR(GETPIVOTDATA("Sum of 13:Animal assistance incidents",T_06!$A$4,"PubLANAME",$A49), 0)</f>
        <v>12</v>
      </c>
      <c r="O49" s="877">
        <f>IFERROR(GETPIVOTDATA("Sum of 14:Effecting entry/exit",T_06!$A$4,"PubLANAME",$A49), 0)</f>
        <v>49</v>
      </c>
      <c r="P49" s="877">
        <f>IFERROR(GETPIVOTDATA("Sum of 15:Making Safe (not RTC)",T_06!$A$4,"PubLANAME",$A49), 0)</f>
        <v>5</v>
      </c>
      <c r="Q49" s="877">
        <f>IFERROR(GETPIVOTDATA("Sum of 16:No action (not false alarm)",T_06!$A$4,"PubLANAME",$A49), 0)</f>
        <v>7</v>
      </c>
      <c r="R49" s="878">
        <f>IFERROR(GETPIVOTDATA("Sum of 17:Water provision",T_06!$A$4,"PubLANAME",$A49), 0)</f>
        <v>0</v>
      </c>
      <c r="S49" s="878">
        <f>IFERROR(GETPIVOTDATA("Sum of 18:Stand By",T_06!$A$4,"PubLANAME",$A49), 0)</f>
        <v>0</v>
      </c>
      <c r="T49" s="877">
        <f>IFERROR(GETPIVOTDATA("Sum of 19:Assist other agencies",T_06!$A$4,"PubLANAME",$A49), 0)</f>
        <v>14</v>
      </c>
      <c r="U49" s="877">
        <f>IFERROR(GETPIVOTDATA("Sum of 20:Advice Only",T_06!$A$4,"PubLANAME",$A49), 0)</f>
        <v>1</v>
      </c>
      <c r="V49" s="879">
        <f t="shared" si="2"/>
        <v>219</v>
      </c>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row>
    <row r="50" spans="1:89" ht="13.5" customHeight="1" x14ac:dyDescent="0.2">
      <c r="A50" s="343" t="s">
        <v>51</v>
      </c>
      <c r="B50" s="880">
        <f>IFERROR(GETPIVOTDATA("Sum of 01:RTC",T_06!$A$4,"PubLANAME",$A50), 0)</f>
        <v>28</v>
      </c>
      <c r="C50" s="882">
        <f>IFERROR(GETPIVOTDATA("Sum of 02:Other Transport incident",T_06!$A$4,"PubLANAME",$A50), 0)</f>
        <v>0</v>
      </c>
      <c r="D50" s="881">
        <f>IFERROR(GETPIVOTDATA("Sum of 03:Flooding",T_06!$A$4,"PubLANAME",$A50), 0)</f>
        <v>20</v>
      </c>
      <c r="E50" s="881">
        <f>IFERROR(GETPIVOTDATA("Sum of 04:Rescue or evacuation from water",T_06!$A$4,"PubLANAME",$A50), 0)</f>
        <v>3</v>
      </c>
      <c r="F50" s="881">
        <f>IFERROR(GETPIVOTDATA("Sum of 05:Other rescue/release of persons",T_06!$A$4,"PubLANAME",$A50), 0)</f>
        <v>7</v>
      </c>
      <c r="G50" s="881">
        <f>IFERROR(GETPIVOTDATA("Sum of 06:Evacuation (no fire)",T_06!$A$4,"PubLANAME",$A50), 0)</f>
        <v>0</v>
      </c>
      <c r="H50" s="881">
        <f>IFERROR(GETPIVOTDATA("Sum of 07:Lift Release",T_06!$A$4,"PubLANAME",$A50), 0)</f>
        <v>14</v>
      </c>
      <c r="I50" s="881">
        <f>IFERROR(GETPIVOTDATA("Sum of 08:Medical Incident - First responder/Co-responder",T_06!$A$4,"PubLANAME",$A50), 0)</f>
        <v>7</v>
      </c>
      <c r="J50" s="881">
        <f>IFERROR(GETPIVOTDATA("Sum of 09:Suicide/attempts",T_06!$A$4,"PubLANAME",$A50), 0)</f>
        <v>2</v>
      </c>
      <c r="K50" s="882">
        <f>IFERROR(GETPIVOTDATA("Sum of 10:Hazardous Materials incident",T_06!$A$4,"PubLANAME",$A50), 0)</f>
        <v>4</v>
      </c>
      <c r="L50" s="881">
        <f>IFERROR(GETPIVOTDATA("Sum of 11:Spills and Leaks (not RTC)",T_06!$A$4,"PubLANAME",$A50), 0)</f>
        <v>3</v>
      </c>
      <c r="M50" s="881">
        <f>IFERROR(GETPIVOTDATA("Sum of 12:Removal of objects",T_06!$A$4,"PubLANAME",$A50), 0)</f>
        <v>7</v>
      </c>
      <c r="N50" s="881">
        <f>IFERROR(GETPIVOTDATA("Sum of 13:Animal assistance incidents",T_06!$A$4,"PubLANAME",$A50), 0)</f>
        <v>8</v>
      </c>
      <c r="O50" s="881">
        <f>IFERROR(GETPIVOTDATA("Sum of 14:Effecting entry/exit",T_06!$A$4,"PubLANAME",$A50), 0)</f>
        <v>42</v>
      </c>
      <c r="P50" s="881">
        <f>IFERROR(GETPIVOTDATA("Sum of 15:Making Safe (not RTC)",T_06!$A$4,"PubLANAME",$A50), 0)</f>
        <v>3</v>
      </c>
      <c r="Q50" s="881">
        <f>IFERROR(GETPIVOTDATA("Sum of 16:No action (not false alarm)",T_06!$A$4,"PubLANAME",$A50), 0)</f>
        <v>42</v>
      </c>
      <c r="R50" s="882">
        <f>IFERROR(GETPIVOTDATA("Sum of 17:Water provision",T_06!$A$4,"PubLANAME",$A50), 0)</f>
        <v>0</v>
      </c>
      <c r="S50" s="882">
        <f>IFERROR(GETPIVOTDATA("Sum of 18:Stand By",T_06!$A$4,"PubLANAME",$A50), 0)</f>
        <v>1</v>
      </c>
      <c r="T50" s="881">
        <f>IFERROR(GETPIVOTDATA("Sum of 19:Assist other agencies",T_06!$A$4,"PubLANAME",$A50), 0)</f>
        <v>25</v>
      </c>
      <c r="U50" s="881">
        <f>IFERROR(GETPIVOTDATA("Sum of 20:Advice Only",T_06!$A$4,"PubLANAME",$A50), 0)</f>
        <v>5</v>
      </c>
      <c r="V50" s="883">
        <f t="shared" si="2"/>
        <v>221</v>
      </c>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row>
    <row r="51" spans="1:89" ht="13.5" customHeight="1" x14ac:dyDescent="0.2">
      <c r="A51" s="46" t="s">
        <v>52</v>
      </c>
      <c r="B51" s="876">
        <f>IFERROR(GETPIVOTDATA("Sum of 01:RTC",T_06!$A$4,"PubLANAME",$A51), 0)</f>
        <v>96</v>
      </c>
      <c r="C51" s="877">
        <f>IFERROR(GETPIVOTDATA("Sum of 02:Other Transport incident",T_06!$A$4,"PubLANAME",$A51), 0)</f>
        <v>2</v>
      </c>
      <c r="D51" s="877">
        <f>IFERROR(GETPIVOTDATA("Sum of 03:Flooding",T_06!$A$4,"PubLANAME",$A51), 0)</f>
        <v>27</v>
      </c>
      <c r="E51" s="877">
        <f>IFERROR(GETPIVOTDATA("Sum of 04:Rescue or evacuation from water",T_06!$A$4,"PubLANAME",$A51), 0)</f>
        <v>2</v>
      </c>
      <c r="F51" s="877">
        <f>IFERROR(GETPIVOTDATA("Sum of 05:Other rescue/release of persons",T_06!$A$4,"PubLANAME",$A51), 0)</f>
        <v>26</v>
      </c>
      <c r="G51" s="877">
        <f>IFERROR(GETPIVOTDATA("Sum of 06:Evacuation (no fire)",T_06!$A$4,"PubLANAME",$A51), 0)</f>
        <v>6</v>
      </c>
      <c r="H51" s="877">
        <f>IFERROR(GETPIVOTDATA("Sum of 07:Lift Release",T_06!$A$4,"PubLANAME",$A51), 0)</f>
        <v>3</v>
      </c>
      <c r="I51" s="877">
        <f>IFERROR(GETPIVOTDATA("Sum of 08:Medical Incident - First responder/Co-responder",T_06!$A$4,"PubLANAME",$A51), 0)</f>
        <v>25</v>
      </c>
      <c r="J51" s="877">
        <f>IFERROR(GETPIVOTDATA("Sum of 09:Suicide/attempts",T_06!$A$4,"PubLANAME",$A51), 0)</f>
        <v>7</v>
      </c>
      <c r="K51" s="877">
        <f>IFERROR(GETPIVOTDATA("Sum of 10:Hazardous Materials incident",T_06!$A$4,"PubLANAME",$A51), 0)</f>
        <v>11</v>
      </c>
      <c r="L51" s="877">
        <f>IFERROR(GETPIVOTDATA("Sum of 11:Spills and Leaks (not RTC)",T_06!$A$4,"PubLANAME",$A51), 0)</f>
        <v>10</v>
      </c>
      <c r="M51" s="877">
        <f>IFERROR(GETPIVOTDATA("Sum of 12:Removal of objects",T_06!$A$4,"PubLANAME",$A51), 0)</f>
        <v>6</v>
      </c>
      <c r="N51" s="877">
        <f>IFERROR(GETPIVOTDATA("Sum of 13:Animal assistance incidents",T_06!$A$4,"PubLANAME",$A51), 0)</f>
        <v>9</v>
      </c>
      <c r="O51" s="877">
        <f>IFERROR(GETPIVOTDATA("Sum of 14:Effecting entry/exit",T_06!$A$4,"PubLANAME",$A51), 0)</f>
        <v>175</v>
      </c>
      <c r="P51" s="877">
        <f>IFERROR(GETPIVOTDATA("Sum of 15:Making Safe (not RTC)",T_06!$A$4,"PubLANAME",$A51), 0)</f>
        <v>6</v>
      </c>
      <c r="Q51" s="877">
        <f>IFERROR(GETPIVOTDATA("Sum of 16:No action (not false alarm)",T_06!$A$4,"PubLANAME",$A51), 0)</f>
        <v>45</v>
      </c>
      <c r="R51" s="878">
        <f>IFERROR(GETPIVOTDATA("Sum of 17:Water provision",T_06!$A$4,"PubLANAME",$A51), 0)</f>
        <v>0</v>
      </c>
      <c r="S51" s="878">
        <f>IFERROR(GETPIVOTDATA("Sum of 18:Stand By",T_06!$A$4,"PubLANAME",$A51), 0)</f>
        <v>0</v>
      </c>
      <c r="T51" s="877">
        <f>IFERROR(GETPIVOTDATA("Sum of 19:Assist other agencies",T_06!$A$4,"PubLANAME",$A51), 0)</f>
        <v>33</v>
      </c>
      <c r="U51" s="877">
        <f>IFERROR(GETPIVOTDATA("Sum of 20:Advice Only",T_06!$A$4,"PubLANAME",$A51), 0)</f>
        <v>0</v>
      </c>
      <c r="V51" s="879">
        <f t="shared" si="2"/>
        <v>489</v>
      </c>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row>
    <row r="52" spans="1:89" ht="13.5" customHeight="1" x14ac:dyDescent="0.2">
      <c r="A52" s="343"/>
      <c r="B52" s="622"/>
      <c r="C52" s="621"/>
      <c r="D52" s="621"/>
      <c r="E52" s="621"/>
      <c r="F52" s="621"/>
      <c r="G52" s="621"/>
      <c r="H52" s="621"/>
      <c r="I52" s="621"/>
      <c r="J52" s="621"/>
      <c r="K52" s="621"/>
      <c r="L52" s="621"/>
      <c r="M52" s="621"/>
      <c r="N52" s="621"/>
      <c r="O52" s="621"/>
      <c r="P52" s="621"/>
      <c r="Q52" s="621"/>
      <c r="R52" s="621"/>
      <c r="S52" s="621"/>
      <c r="T52" s="621"/>
      <c r="U52" s="621"/>
      <c r="V52" s="735"/>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row>
    <row r="53" spans="1:89" s="101" customFormat="1" ht="30" customHeight="1" x14ac:dyDescent="0.2">
      <c r="A53" s="204" t="s">
        <v>159</v>
      </c>
      <c r="B53" s="526">
        <f>SUM(B20:B52)</f>
        <v>2525</v>
      </c>
      <c r="C53" s="527">
        <f t="shared" ref="C53:V53" si="3">SUM(C20:C52)</f>
        <v>84</v>
      </c>
      <c r="D53" s="527">
        <f t="shared" si="3"/>
        <v>1297</v>
      </c>
      <c r="E53" s="527">
        <f t="shared" si="3"/>
        <v>146</v>
      </c>
      <c r="F53" s="527">
        <f t="shared" si="3"/>
        <v>559</v>
      </c>
      <c r="G53" s="527">
        <f t="shared" si="3"/>
        <v>84</v>
      </c>
      <c r="H53" s="527">
        <f t="shared" si="3"/>
        <v>717</v>
      </c>
      <c r="I53" s="527">
        <f t="shared" si="3"/>
        <v>486</v>
      </c>
      <c r="J53" s="527">
        <f t="shared" si="3"/>
        <v>132</v>
      </c>
      <c r="K53" s="527">
        <f t="shared" si="3"/>
        <v>192</v>
      </c>
      <c r="L53" s="527">
        <f t="shared" si="3"/>
        <v>196</v>
      </c>
      <c r="M53" s="527">
        <f t="shared" si="3"/>
        <v>261</v>
      </c>
      <c r="N53" s="527">
        <f t="shared" si="3"/>
        <v>415</v>
      </c>
      <c r="O53" s="527">
        <f t="shared" si="3"/>
        <v>3116</v>
      </c>
      <c r="P53" s="527">
        <f t="shared" si="3"/>
        <v>293</v>
      </c>
      <c r="Q53" s="527">
        <f t="shared" si="3"/>
        <v>1212</v>
      </c>
      <c r="R53" s="527">
        <f t="shared" si="3"/>
        <v>3</v>
      </c>
      <c r="S53" s="527">
        <f t="shared" si="3"/>
        <v>76</v>
      </c>
      <c r="T53" s="527">
        <f t="shared" si="3"/>
        <v>1164</v>
      </c>
      <c r="U53" s="528">
        <f t="shared" si="3"/>
        <v>170</v>
      </c>
      <c r="V53" s="529">
        <f t="shared" si="3"/>
        <v>13128</v>
      </c>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row>
    <row r="54" spans="1:89" x14ac:dyDescent="0.2">
      <c r="W54"/>
      <c r="X54"/>
      <c r="Y54"/>
      <c r="Z54"/>
      <c r="AA54"/>
      <c r="AB54"/>
      <c r="AC54"/>
      <c r="AD54"/>
      <c r="AE54"/>
      <c r="AF54"/>
      <c r="AG54"/>
      <c r="AH54"/>
      <c r="AI54"/>
      <c r="AJ54"/>
      <c r="AK54"/>
      <c r="AL54"/>
      <c r="AM54"/>
      <c r="AN54"/>
      <c r="AO54"/>
      <c r="AP54"/>
      <c r="AQ54"/>
    </row>
    <row r="55" spans="1:89" x14ac:dyDescent="0.2">
      <c r="A55" s="2" t="s">
        <v>162</v>
      </c>
      <c r="U55"/>
      <c r="V55"/>
      <c r="W55"/>
      <c r="X55"/>
      <c r="Y55"/>
      <c r="Z55"/>
      <c r="AA55"/>
      <c r="AB55"/>
      <c r="AC55"/>
      <c r="AD55"/>
      <c r="AE55"/>
      <c r="AF55"/>
      <c r="AG55"/>
      <c r="AH55"/>
      <c r="AI55"/>
      <c r="AJ55"/>
      <c r="AK55"/>
      <c r="AL55"/>
      <c r="AM55"/>
      <c r="AN55"/>
      <c r="AO55"/>
      <c r="AP55"/>
      <c r="AQ55"/>
    </row>
    <row r="56" spans="1:89" x14ac:dyDescent="0.2">
      <c r="A56" s="1" t="s">
        <v>963</v>
      </c>
      <c r="U56"/>
      <c r="V56"/>
      <c r="W56"/>
      <c r="X56"/>
      <c r="Y56"/>
      <c r="Z56"/>
      <c r="AA56"/>
      <c r="AB56"/>
      <c r="AC56"/>
      <c r="AD56"/>
      <c r="AE56"/>
      <c r="AF56"/>
      <c r="AG56"/>
      <c r="AH56"/>
      <c r="AI56"/>
      <c r="AJ56"/>
      <c r="AK56"/>
      <c r="AL56"/>
      <c r="AM56"/>
      <c r="AN56"/>
      <c r="AO56"/>
      <c r="AP56"/>
      <c r="AQ56"/>
    </row>
    <row r="57" spans="1:89" x14ac:dyDescent="0.2">
      <c r="A57" s="309"/>
      <c r="B57" s="309"/>
      <c r="C57" s="309"/>
      <c r="D57" s="309"/>
      <c r="E57" s="309"/>
      <c r="F57" s="309"/>
      <c r="G57" s="309"/>
      <c r="H57" s="309"/>
      <c r="U57"/>
      <c r="V57"/>
      <c r="W57"/>
      <c r="X57"/>
      <c r="Y57"/>
      <c r="Z57"/>
      <c r="AA57"/>
      <c r="AB57"/>
      <c r="AC57"/>
      <c r="AD57"/>
      <c r="AE57"/>
      <c r="AF57"/>
      <c r="AG57"/>
      <c r="AH57"/>
      <c r="AI57"/>
      <c r="AJ57"/>
      <c r="AK57"/>
      <c r="AL57"/>
      <c r="AM57"/>
      <c r="AN57"/>
      <c r="AO57"/>
      <c r="AP57"/>
      <c r="AQ57"/>
    </row>
    <row r="58" spans="1:89" x14ac:dyDescent="0.2">
      <c r="A58" s="51" t="s">
        <v>136</v>
      </c>
      <c r="U58"/>
      <c r="V58"/>
      <c r="W58"/>
      <c r="X58"/>
      <c r="Y58"/>
      <c r="Z58"/>
      <c r="AA58"/>
      <c r="AB58"/>
      <c r="AC58"/>
      <c r="AD58"/>
      <c r="AE58"/>
      <c r="AF58"/>
      <c r="AG58"/>
      <c r="AH58"/>
      <c r="AI58"/>
      <c r="AJ58"/>
      <c r="AK58"/>
      <c r="AL58"/>
      <c r="AM58"/>
      <c r="AN58"/>
      <c r="AO58"/>
      <c r="AP58"/>
      <c r="AQ58"/>
    </row>
    <row r="59" spans="1:89" x14ac:dyDescent="0.2">
      <c r="U59"/>
      <c r="V59"/>
      <c r="W59"/>
      <c r="X59"/>
      <c r="Y59"/>
      <c r="Z59"/>
      <c r="AA59"/>
      <c r="AB59"/>
      <c r="AC59"/>
      <c r="AD59"/>
      <c r="AE59"/>
      <c r="AF59"/>
      <c r="AG59"/>
      <c r="AH59"/>
      <c r="AI59"/>
      <c r="AJ59"/>
      <c r="AK59"/>
      <c r="AL59"/>
      <c r="AM59"/>
      <c r="AN59"/>
      <c r="AO59"/>
      <c r="AP59"/>
      <c r="AQ59"/>
    </row>
    <row r="60" spans="1:89" x14ac:dyDescent="0.2">
      <c r="U60"/>
      <c r="V60"/>
      <c r="W60"/>
      <c r="X60"/>
      <c r="Y60"/>
      <c r="Z60"/>
      <c r="AA60"/>
      <c r="AB60"/>
      <c r="AC60"/>
      <c r="AD60"/>
      <c r="AE60"/>
      <c r="AF60"/>
      <c r="AG60"/>
      <c r="AH60"/>
      <c r="AI60"/>
      <c r="AJ60"/>
      <c r="AK60"/>
      <c r="AL60"/>
      <c r="AM60"/>
      <c r="AN60"/>
      <c r="AO60"/>
      <c r="AP60"/>
      <c r="AQ60"/>
    </row>
    <row r="61" spans="1:89" x14ac:dyDescent="0.2">
      <c r="U61"/>
      <c r="V61"/>
      <c r="W61"/>
      <c r="X61"/>
      <c r="Y61"/>
      <c r="Z61"/>
      <c r="AA61"/>
      <c r="AB61"/>
      <c r="AC61"/>
      <c r="AD61"/>
      <c r="AE61"/>
      <c r="AF61"/>
      <c r="AG61"/>
      <c r="AH61"/>
      <c r="AI61"/>
      <c r="AJ61"/>
      <c r="AK61"/>
      <c r="AL61"/>
      <c r="AM61"/>
      <c r="AN61"/>
      <c r="AO61"/>
      <c r="AP61"/>
      <c r="AQ61"/>
    </row>
    <row r="62" spans="1:89" x14ac:dyDescent="0.2">
      <c r="U62"/>
      <c r="V62"/>
      <c r="W62"/>
      <c r="X62"/>
      <c r="Y62"/>
      <c r="Z62"/>
      <c r="AA62"/>
      <c r="AB62"/>
      <c r="AC62"/>
      <c r="AD62"/>
      <c r="AE62"/>
      <c r="AF62"/>
      <c r="AG62"/>
      <c r="AH62"/>
      <c r="AI62"/>
      <c r="AJ62"/>
      <c r="AK62"/>
      <c r="AL62"/>
      <c r="AM62"/>
      <c r="AN62"/>
      <c r="AO62"/>
      <c r="AP62"/>
      <c r="AQ62"/>
    </row>
    <row r="63" spans="1:89" x14ac:dyDescent="0.2">
      <c r="U63"/>
      <c r="V63"/>
      <c r="W63"/>
      <c r="X63"/>
      <c r="Y63"/>
      <c r="Z63"/>
      <c r="AA63"/>
      <c r="AB63"/>
      <c r="AC63"/>
      <c r="AD63"/>
      <c r="AE63"/>
      <c r="AF63"/>
      <c r="AG63"/>
      <c r="AH63"/>
      <c r="AI63"/>
      <c r="AJ63"/>
      <c r="AK63"/>
      <c r="AL63"/>
      <c r="AM63"/>
      <c r="AN63"/>
      <c r="AO63"/>
      <c r="AP63"/>
      <c r="AQ63"/>
    </row>
    <row r="64" spans="1:89" x14ac:dyDescent="0.2">
      <c r="U64"/>
      <c r="V64"/>
      <c r="W64"/>
      <c r="X64"/>
      <c r="Y64"/>
      <c r="Z64"/>
      <c r="AA64"/>
      <c r="AB64"/>
      <c r="AC64"/>
      <c r="AD64"/>
      <c r="AE64"/>
      <c r="AF64"/>
      <c r="AG64"/>
      <c r="AH64"/>
      <c r="AI64"/>
      <c r="AJ64"/>
      <c r="AK64"/>
      <c r="AL64"/>
      <c r="AM64"/>
      <c r="AN64"/>
      <c r="AO64"/>
      <c r="AP64"/>
      <c r="AQ64"/>
    </row>
    <row r="65" spans="21:43" x14ac:dyDescent="0.2">
      <c r="U65"/>
      <c r="V65"/>
      <c r="W65"/>
      <c r="X65"/>
      <c r="Y65"/>
      <c r="Z65"/>
      <c r="AA65"/>
      <c r="AB65"/>
      <c r="AC65"/>
      <c r="AD65"/>
      <c r="AE65"/>
      <c r="AF65"/>
      <c r="AG65"/>
      <c r="AH65"/>
      <c r="AI65"/>
      <c r="AJ65"/>
      <c r="AK65"/>
      <c r="AL65"/>
      <c r="AM65"/>
      <c r="AN65"/>
      <c r="AO65"/>
      <c r="AP65"/>
      <c r="AQ65"/>
    </row>
    <row r="66" spans="21:43" x14ac:dyDescent="0.2">
      <c r="U66"/>
      <c r="V66"/>
      <c r="W66"/>
      <c r="X66"/>
      <c r="Y66"/>
      <c r="Z66"/>
      <c r="AA66"/>
      <c r="AB66"/>
      <c r="AC66"/>
      <c r="AD66"/>
      <c r="AE66"/>
      <c r="AF66"/>
      <c r="AG66"/>
      <c r="AH66"/>
      <c r="AI66"/>
      <c r="AJ66"/>
      <c r="AK66"/>
      <c r="AL66"/>
      <c r="AM66"/>
      <c r="AN66"/>
      <c r="AO66"/>
      <c r="AP66"/>
      <c r="AQ66"/>
    </row>
    <row r="67" spans="21:43" customFormat="1" x14ac:dyDescent="0.2"/>
    <row r="68" spans="21:43" x14ac:dyDescent="0.2">
      <c r="U68"/>
      <c r="V68"/>
      <c r="W68"/>
      <c r="X68"/>
      <c r="Y68"/>
      <c r="Z68"/>
      <c r="AA68"/>
      <c r="AB68"/>
      <c r="AC68"/>
      <c r="AD68"/>
      <c r="AE68"/>
      <c r="AF68"/>
      <c r="AG68"/>
      <c r="AH68"/>
      <c r="AI68"/>
      <c r="AJ68"/>
      <c r="AK68"/>
      <c r="AL68"/>
      <c r="AM68"/>
      <c r="AN68"/>
      <c r="AO68"/>
      <c r="AP68"/>
      <c r="AQ68"/>
    </row>
    <row r="69" spans="21:43" customFormat="1" x14ac:dyDescent="0.2"/>
    <row r="70" spans="21:43" x14ac:dyDescent="0.2">
      <c r="U70"/>
      <c r="V70"/>
      <c r="W70"/>
      <c r="X70"/>
      <c r="Y70"/>
      <c r="Z70"/>
      <c r="AA70"/>
      <c r="AB70"/>
      <c r="AC70"/>
      <c r="AD70"/>
      <c r="AE70"/>
      <c r="AF70"/>
      <c r="AG70"/>
      <c r="AH70"/>
      <c r="AI70"/>
      <c r="AJ70"/>
      <c r="AK70"/>
      <c r="AL70"/>
      <c r="AM70"/>
      <c r="AN70"/>
      <c r="AO70"/>
      <c r="AP70"/>
      <c r="AQ70"/>
    </row>
    <row r="71" spans="21:43" x14ac:dyDescent="0.2">
      <c r="U71"/>
      <c r="V71"/>
      <c r="W71"/>
      <c r="X71"/>
      <c r="Y71"/>
      <c r="Z71"/>
      <c r="AA71"/>
      <c r="AB71"/>
      <c r="AC71"/>
      <c r="AD71"/>
      <c r="AE71"/>
      <c r="AF71"/>
      <c r="AG71"/>
      <c r="AH71"/>
      <c r="AI71"/>
      <c r="AJ71"/>
      <c r="AK71"/>
      <c r="AL71"/>
      <c r="AM71"/>
      <c r="AN71"/>
      <c r="AO71"/>
      <c r="AP71"/>
      <c r="AQ71"/>
    </row>
    <row r="72" spans="21:43" x14ac:dyDescent="0.2">
      <c r="U72"/>
      <c r="V72"/>
      <c r="W72"/>
      <c r="X72"/>
      <c r="Y72"/>
      <c r="Z72"/>
      <c r="AA72"/>
      <c r="AB72"/>
      <c r="AC72"/>
      <c r="AD72"/>
      <c r="AE72"/>
      <c r="AF72"/>
      <c r="AG72"/>
      <c r="AH72"/>
      <c r="AI72"/>
      <c r="AJ72"/>
      <c r="AK72"/>
      <c r="AL72"/>
      <c r="AM72"/>
      <c r="AN72"/>
      <c r="AO72"/>
      <c r="AP72"/>
      <c r="AQ72"/>
    </row>
    <row r="73" spans="21:43" x14ac:dyDescent="0.2">
      <c r="U73"/>
      <c r="V73"/>
      <c r="W73"/>
      <c r="X73"/>
      <c r="Y73"/>
      <c r="Z73"/>
      <c r="AA73"/>
      <c r="AB73"/>
      <c r="AC73"/>
      <c r="AD73"/>
      <c r="AE73"/>
      <c r="AF73"/>
      <c r="AG73"/>
      <c r="AH73"/>
      <c r="AI73"/>
      <c r="AJ73"/>
      <c r="AK73"/>
      <c r="AL73"/>
      <c r="AM73"/>
      <c r="AN73"/>
      <c r="AO73"/>
      <c r="AP73"/>
      <c r="AQ73"/>
    </row>
    <row r="74" spans="21:43" x14ac:dyDescent="0.2">
      <c r="U74"/>
      <c r="V74"/>
      <c r="W74"/>
      <c r="X74"/>
      <c r="Y74"/>
      <c r="Z74"/>
      <c r="AA74"/>
      <c r="AB74"/>
      <c r="AC74"/>
      <c r="AD74"/>
      <c r="AE74"/>
      <c r="AF74"/>
      <c r="AG74"/>
      <c r="AH74"/>
      <c r="AI74"/>
      <c r="AJ74"/>
      <c r="AK74"/>
      <c r="AL74"/>
      <c r="AM74"/>
      <c r="AN74"/>
      <c r="AO74"/>
      <c r="AP74"/>
      <c r="AQ74"/>
    </row>
    <row r="75" spans="21:43" x14ac:dyDescent="0.2">
      <c r="U75"/>
      <c r="V75"/>
      <c r="W75"/>
      <c r="X75"/>
      <c r="Y75"/>
      <c r="Z75"/>
      <c r="AA75"/>
      <c r="AB75"/>
      <c r="AC75"/>
      <c r="AD75"/>
      <c r="AE75"/>
      <c r="AF75"/>
      <c r="AG75"/>
      <c r="AH75"/>
      <c r="AI75"/>
      <c r="AJ75"/>
      <c r="AK75"/>
      <c r="AL75"/>
      <c r="AM75"/>
      <c r="AN75"/>
      <c r="AO75"/>
      <c r="AP75"/>
      <c r="AQ75"/>
    </row>
    <row r="76" spans="21:43" x14ac:dyDescent="0.2">
      <c r="U76"/>
      <c r="V76"/>
      <c r="W76"/>
      <c r="X76"/>
      <c r="Y76"/>
      <c r="Z76"/>
      <c r="AA76"/>
      <c r="AB76"/>
      <c r="AC76"/>
      <c r="AD76"/>
      <c r="AE76"/>
      <c r="AF76"/>
      <c r="AG76"/>
      <c r="AH76"/>
      <c r="AI76"/>
      <c r="AJ76"/>
      <c r="AK76"/>
      <c r="AL76"/>
      <c r="AM76"/>
      <c r="AN76"/>
      <c r="AO76"/>
      <c r="AP76"/>
      <c r="AQ76"/>
    </row>
    <row r="77" spans="21:43" x14ac:dyDescent="0.2">
      <c r="U77"/>
      <c r="V77"/>
      <c r="W77"/>
      <c r="X77"/>
      <c r="Y77"/>
      <c r="Z77"/>
      <c r="AA77"/>
      <c r="AB77"/>
      <c r="AC77"/>
      <c r="AD77"/>
      <c r="AE77"/>
      <c r="AF77"/>
      <c r="AG77"/>
      <c r="AH77"/>
      <c r="AI77"/>
      <c r="AJ77"/>
      <c r="AK77"/>
      <c r="AL77"/>
      <c r="AM77"/>
      <c r="AN77"/>
      <c r="AO77"/>
      <c r="AP77"/>
      <c r="AQ77"/>
    </row>
    <row r="78" spans="21:43" x14ac:dyDescent="0.2">
      <c r="U78"/>
      <c r="V78"/>
      <c r="W78"/>
      <c r="X78"/>
      <c r="Y78"/>
      <c r="Z78"/>
      <c r="AA78"/>
      <c r="AB78"/>
      <c r="AC78"/>
      <c r="AD78"/>
      <c r="AE78"/>
      <c r="AF78"/>
      <c r="AG78"/>
      <c r="AH78"/>
      <c r="AI78"/>
      <c r="AJ78"/>
      <c r="AK78"/>
      <c r="AL78"/>
      <c r="AM78"/>
      <c r="AN78"/>
      <c r="AO78"/>
      <c r="AP78"/>
      <c r="AQ78"/>
    </row>
    <row r="79" spans="21:43" x14ac:dyDescent="0.2">
      <c r="U79"/>
      <c r="V79"/>
      <c r="W79"/>
      <c r="X79"/>
      <c r="Y79"/>
      <c r="Z79"/>
      <c r="AA79"/>
      <c r="AB79"/>
      <c r="AC79"/>
      <c r="AD79"/>
      <c r="AE79"/>
      <c r="AF79"/>
      <c r="AG79"/>
      <c r="AH79"/>
      <c r="AI79"/>
      <c r="AJ79"/>
      <c r="AK79"/>
      <c r="AL79"/>
      <c r="AM79"/>
      <c r="AN79"/>
      <c r="AO79"/>
      <c r="AP79"/>
      <c r="AQ79"/>
    </row>
    <row r="80" spans="21:43" x14ac:dyDescent="0.2">
      <c r="U80"/>
      <c r="V80"/>
      <c r="W80"/>
      <c r="X80"/>
      <c r="Y80"/>
      <c r="Z80"/>
      <c r="AA80"/>
      <c r="AB80"/>
      <c r="AC80"/>
      <c r="AD80"/>
      <c r="AE80"/>
      <c r="AF80"/>
      <c r="AG80"/>
      <c r="AH80"/>
      <c r="AI80"/>
      <c r="AJ80"/>
      <c r="AK80"/>
      <c r="AL80"/>
      <c r="AM80"/>
      <c r="AN80"/>
      <c r="AO80"/>
      <c r="AP80"/>
      <c r="AQ80"/>
    </row>
    <row r="81" spans="21:43" x14ac:dyDescent="0.2">
      <c r="U81"/>
      <c r="V81"/>
      <c r="W81"/>
      <c r="X81"/>
      <c r="Y81"/>
      <c r="Z81"/>
      <c r="AA81"/>
      <c r="AB81"/>
      <c r="AC81"/>
      <c r="AD81"/>
      <c r="AE81"/>
      <c r="AF81"/>
      <c r="AG81"/>
      <c r="AH81"/>
      <c r="AI81"/>
      <c r="AJ81"/>
      <c r="AK81"/>
      <c r="AL81"/>
      <c r="AM81"/>
      <c r="AN81"/>
      <c r="AO81"/>
      <c r="AP81"/>
      <c r="AQ81"/>
    </row>
    <row r="82" spans="21:43" x14ac:dyDescent="0.2">
      <c r="U82"/>
      <c r="V82"/>
      <c r="W82"/>
      <c r="X82"/>
      <c r="Y82"/>
      <c r="Z82"/>
      <c r="AA82"/>
      <c r="AB82"/>
      <c r="AC82"/>
      <c r="AD82"/>
      <c r="AE82"/>
      <c r="AF82"/>
      <c r="AG82"/>
      <c r="AH82"/>
      <c r="AI82"/>
      <c r="AJ82"/>
      <c r="AK82"/>
      <c r="AL82"/>
      <c r="AM82"/>
      <c r="AN82"/>
      <c r="AO82"/>
      <c r="AP82"/>
      <c r="AQ82"/>
    </row>
    <row r="83" spans="21:43" x14ac:dyDescent="0.2">
      <c r="U83"/>
      <c r="V83"/>
      <c r="W83"/>
      <c r="X83"/>
      <c r="Y83"/>
      <c r="Z83"/>
      <c r="AA83"/>
      <c r="AB83"/>
      <c r="AC83"/>
      <c r="AD83"/>
      <c r="AE83"/>
      <c r="AF83"/>
      <c r="AG83"/>
      <c r="AH83"/>
      <c r="AI83"/>
      <c r="AJ83"/>
      <c r="AK83"/>
      <c r="AL83"/>
      <c r="AM83"/>
      <c r="AN83"/>
      <c r="AO83"/>
      <c r="AP83"/>
      <c r="AQ83"/>
    </row>
    <row r="84" spans="21:43" x14ac:dyDescent="0.2">
      <c r="U84"/>
      <c r="V84"/>
      <c r="W84"/>
      <c r="X84"/>
      <c r="Y84"/>
      <c r="Z84"/>
      <c r="AA84"/>
      <c r="AB84"/>
      <c r="AC84"/>
      <c r="AD84"/>
      <c r="AE84"/>
      <c r="AF84"/>
      <c r="AG84"/>
      <c r="AH84"/>
      <c r="AI84"/>
      <c r="AJ84"/>
      <c r="AK84"/>
      <c r="AL84"/>
      <c r="AM84"/>
      <c r="AN84"/>
      <c r="AO84"/>
      <c r="AP84"/>
      <c r="AQ84"/>
    </row>
    <row r="85" spans="21:43" x14ac:dyDescent="0.2">
      <c r="U85"/>
      <c r="V85"/>
      <c r="W85"/>
      <c r="X85"/>
      <c r="Y85"/>
      <c r="Z85"/>
      <c r="AA85"/>
      <c r="AB85"/>
      <c r="AC85"/>
      <c r="AD85"/>
      <c r="AE85"/>
      <c r="AF85"/>
      <c r="AG85"/>
      <c r="AH85"/>
      <c r="AI85"/>
      <c r="AJ85"/>
      <c r="AK85"/>
      <c r="AL85"/>
      <c r="AM85"/>
      <c r="AN85"/>
      <c r="AO85"/>
      <c r="AP85"/>
      <c r="AQ85"/>
    </row>
    <row r="86" spans="21:43" x14ac:dyDescent="0.2">
      <c r="U86"/>
      <c r="V86"/>
      <c r="W86"/>
      <c r="X86"/>
      <c r="Y86"/>
      <c r="Z86"/>
      <c r="AA86"/>
      <c r="AB86"/>
      <c r="AC86"/>
      <c r="AD86"/>
      <c r="AE86"/>
      <c r="AF86"/>
      <c r="AG86"/>
      <c r="AH86"/>
      <c r="AI86"/>
      <c r="AJ86"/>
      <c r="AK86"/>
      <c r="AL86"/>
      <c r="AM86"/>
      <c r="AN86"/>
      <c r="AO86"/>
      <c r="AP86"/>
      <c r="AQ86"/>
    </row>
    <row r="87" spans="21:43" x14ac:dyDescent="0.2">
      <c r="W87"/>
      <c r="X87"/>
      <c r="Y87"/>
      <c r="Z87"/>
      <c r="AA87"/>
      <c r="AB87"/>
      <c r="AC87"/>
      <c r="AD87"/>
      <c r="AE87"/>
      <c r="AF87"/>
      <c r="AG87"/>
      <c r="AH87"/>
      <c r="AI87"/>
      <c r="AJ87"/>
      <c r="AK87"/>
      <c r="AL87"/>
      <c r="AM87"/>
      <c r="AN87"/>
      <c r="AO87"/>
      <c r="AP87"/>
      <c r="AQ87"/>
    </row>
    <row r="88" spans="21:43" x14ac:dyDescent="0.2">
      <c r="W88" s="1336"/>
    </row>
    <row r="89" spans="21:43" x14ac:dyDescent="0.2">
      <c r="W89" s="1336"/>
    </row>
    <row r="90" spans="21:43" x14ac:dyDescent="0.2">
      <c r="W90" s="1336"/>
    </row>
    <row r="91" spans="21:43" x14ac:dyDescent="0.2">
      <c r="W91" s="1336"/>
    </row>
    <row r="92" spans="21:43" x14ac:dyDescent="0.2">
      <c r="W92" s="1336"/>
    </row>
    <row r="93" spans="21:43" x14ac:dyDescent="0.2">
      <c r="W93" s="1336"/>
    </row>
    <row r="94" spans="21:43" x14ac:dyDescent="0.2">
      <c r="W94" s="1336"/>
    </row>
    <row r="95" spans="21:43" x14ac:dyDescent="0.2">
      <c r="W95" s="1336"/>
    </row>
    <row r="96" spans="21:43" x14ac:dyDescent="0.2">
      <c r="W96" s="1336"/>
    </row>
    <row r="97" spans="23:23" x14ac:dyDescent="0.2">
      <c r="W97" s="1336"/>
    </row>
    <row r="98" spans="23:23" x14ac:dyDescent="0.2">
      <c r="W98" s="1336"/>
    </row>
    <row r="99" spans="23:23" x14ac:dyDescent="0.2">
      <c r="W99" s="1336"/>
    </row>
    <row r="100" spans="23:23" x14ac:dyDescent="0.2">
      <c r="W100" s="1336"/>
    </row>
    <row r="101" spans="23:23" x14ac:dyDescent="0.2">
      <c r="W101" s="1336"/>
    </row>
    <row r="102" spans="23:23" x14ac:dyDescent="0.2">
      <c r="W102" s="1336"/>
    </row>
    <row r="103" spans="23:23" x14ac:dyDescent="0.2">
      <c r="W103" s="1336"/>
    </row>
    <row r="104" spans="23:23" x14ac:dyDescent="0.2">
      <c r="W104" s="1336"/>
    </row>
    <row r="105" spans="23:23" x14ac:dyDescent="0.2">
      <c r="W105" s="1336"/>
    </row>
    <row r="106" spans="23:23" x14ac:dyDescent="0.2">
      <c r="W106" s="1336"/>
    </row>
    <row r="107" spans="23:23" x14ac:dyDescent="0.2">
      <c r="W107" s="1336"/>
    </row>
    <row r="108" spans="23:23" x14ac:dyDescent="0.2">
      <c r="W108" s="1336"/>
    </row>
    <row r="109" spans="23:23" x14ac:dyDescent="0.2">
      <c r="W109" s="1336"/>
    </row>
    <row r="110" spans="23:23" x14ac:dyDescent="0.2">
      <c r="W110" s="1336"/>
    </row>
    <row r="111" spans="23:23" x14ac:dyDescent="0.2">
      <c r="W111" s="1336"/>
    </row>
    <row r="112" spans="23:23" x14ac:dyDescent="0.2">
      <c r="W112" s="1336"/>
    </row>
    <row r="113" spans="23:23" x14ac:dyDescent="0.2">
      <c r="W113" s="1336"/>
    </row>
    <row r="114" spans="23:23" x14ac:dyDescent="0.2">
      <c r="W114" s="1336"/>
    </row>
    <row r="115" spans="23:23" x14ac:dyDescent="0.2">
      <c r="W115" s="1336"/>
    </row>
    <row r="116" spans="23:23" x14ac:dyDescent="0.2">
      <c r="W116" s="1336"/>
    </row>
    <row r="117" spans="23:23" x14ac:dyDescent="0.2">
      <c r="W117" s="1336"/>
    </row>
    <row r="118" spans="23:23" x14ac:dyDescent="0.2">
      <c r="W118" s="1336"/>
    </row>
    <row r="119" spans="23:23" x14ac:dyDescent="0.2">
      <c r="W119" s="1336"/>
    </row>
    <row r="120" spans="23:23" x14ac:dyDescent="0.2">
      <c r="W120" s="1336"/>
    </row>
    <row r="121" spans="23:23" x14ac:dyDescent="0.2">
      <c r="W121" s="1336"/>
    </row>
    <row r="122" spans="23:23" x14ac:dyDescent="0.2">
      <c r="W122" s="1336"/>
    </row>
    <row r="123" spans="23:23" x14ac:dyDescent="0.2">
      <c r="W123" s="1336"/>
    </row>
    <row r="124" spans="23:23" x14ac:dyDescent="0.2">
      <c r="W124" s="1336"/>
    </row>
    <row r="125" spans="23:23" x14ac:dyDescent="0.2">
      <c r="W125" s="1336"/>
    </row>
    <row r="126" spans="23:23" x14ac:dyDescent="0.2">
      <c r="W126" s="1336"/>
    </row>
    <row r="127" spans="23:23" x14ac:dyDescent="0.2">
      <c r="W127" s="1336"/>
    </row>
    <row r="128" spans="23:23" x14ac:dyDescent="0.2">
      <c r="W128" s="1336"/>
    </row>
    <row r="129" spans="23:23" x14ac:dyDescent="0.2">
      <c r="W129" s="1336"/>
    </row>
    <row r="130" spans="23:23" x14ac:dyDescent="0.2">
      <c r="W130" s="1336"/>
    </row>
    <row r="131" spans="23:23" x14ac:dyDescent="0.2">
      <c r="W131" s="1336"/>
    </row>
    <row r="132" spans="23:23" x14ac:dyDescent="0.2">
      <c r="W132" s="1336"/>
    </row>
    <row r="133" spans="23:23" x14ac:dyDescent="0.2">
      <c r="W133" s="1336"/>
    </row>
    <row r="134" spans="23:23" x14ac:dyDescent="0.2">
      <c r="W134" s="1336"/>
    </row>
    <row r="135" spans="23:23" x14ac:dyDescent="0.2">
      <c r="W135" s="1336"/>
    </row>
    <row r="136" spans="23:23" x14ac:dyDescent="0.2">
      <c r="W136" s="1336"/>
    </row>
    <row r="137" spans="23:23" x14ac:dyDescent="0.2">
      <c r="W137" s="1336"/>
    </row>
    <row r="138" spans="23:23" x14ac:dyDescent="0.2">
      <c r="W138" s="1336"/>
    </row>
    <row r="139" spans="23:23" x14ac:dyDescent="0.2">
      <c r="W139" s="1336"/>
    </row>
    <row r="140" spans="23:23" x14ac:dyDescent="0.2">
      <c r="W140" s="1336"/>
    </row>
    <row r="141" spans="23:23" x14ac:dyDescent="0.2">
      <c r="W141" s="1336"/>
    </row>
    <row r="142" spans="23:23" x14ac:dyDescent="0.2">
      <c r="W142" s="1336"/>
    </row>
    <row r="143" spans="23:23" x14ac:dyDescent="0.2">
      <c r="W143" s="1336"/>
    </row>
    <row r="144" spans="23:23" x14ac:dyDescent="0.2">
      <c r="W144" s="1336"/>
    </row>
    <row r="145" spans="23:23" x14ac:dyDescent="0.2">
      <c r="W145" s="1336"/>
    </row>
    <row r="146" spans="23:23" x14ac:dyDescent="0.2">
      <c r="W146" s="1336"/>
    </row>
    <row r="147" spans="23:23" x14ac:dyDescent="0.2">
      <c r="W147" s="1336"/>
    </row>
    <row r="148" spans="23:23" x14ac:dyDescent="0.2">
      <c r="W148" s="1336"/>
    </row>
    <row r="149" spans="23:23" x14ac:dyDescent="0.2">
      <c r="W149" s="1336"/>
    </row>
    <row r="150" spans="23:23" x14ac:dyDescent="0.2">
      <c r="W150" s="1336"/>
    </row>
    <row r="151" spans="23:23" x14ac:dyDescent="0.2">
      <c r="W151" s="1336"/>
    </row>
    <row r="152" spans="23:23" x14ac:dyDescent="0.2">
      <c r="W152" s="1336"/>
    </row>
    <row r="153" spans="23:23" x14ac:dyDescent="0.2">
      <c r="W153" s="1336"/>
    </row>
    <row r="154" spans="23:23" x14ac:dyDescent="0.2">
      <c r="W154" s="1336"/>
    </row>
    <row r="155" spans="23:23" x14ac:dyDescent="0.2">
      <c r="W155" s="1336"/>
    </row>
    <row r="156" spans="23:23" x14ac:dyDescent="0.2">
      <c r="W156" s="1336"/>
    </row>
    <row r="157" spans="23:23" x14ac:dyDescent="0.2">
      <c r="W157" s="1336"/>
    </row>
    <row r="158" spans="23:23" x14ac:dyDescent="0.2">
      <c r="W158" s="1336"/>
    </row>
    <row r="159" spans="23:23" x14ac:dyDescent="0.2">
      <c r="W159" s="1336"/>
    </row>
    <row r="160" spans="23:23" x14ac:dyDescent="0.2">
      <c r="W160" s="1336"/>
    </row>
    <row r="161" spans="23:23" x14ac:dyDescent="0.2">
      <c r="W161" s="1336"/>
    </row>
    <row r="162" spans="23:23" x14ac:dyDescent="0.2">
      <c r="W162" s="1336"/>
    </row>
    <row r="163" spans="23:23" x14ac:dyDescent="0.2">
      <c r="W163" s="1336"/>
    </row>
    <row r="164" spans="23:23" x14ac:dyDescent="0.2">
      <c r="W164" s="1336"/>
    </row>
    <row r="165" spans="23:23" x14ac:dyDescent="0.2">
      <c r="W165" s="1336"/>
    </row>
    <row r="166" spans="23:23" x14ac:dyDescent="0.2">
      <c r="W166" s="1336"/>
    </row>
    <row r="167" spans="23:23" x14ac:dyDescent="0.2">
      <c r="W167" s="1336"/>
    </row>
    <row r="168" spans="23:23" x14ac:dyDescent="0.2">
      <c r="W168" s="1336"/>
    </row>
    <row r="169" spans="23:23" x14ac:dyDescent="0.2">
      <c r="W169" s="1336"/>
    </row>
    <row r="170" spans="23:23" x14ac:dyDescent="0.2">
      <c r="W170" s="1336"/>
    </row>
    <row r="171" spans="23:23" x14ac:dyDescent="0.2">
      <c r="W171" s="1336"/>
    </row>
    <row r="172" spans="23:23" x14ac:dyDescent="0.2">
      <c r="W172" s="1336"/>
    </row>
    <row r="173" spans="23:23" x14ac:dyDescent="0.2">
      <c r="W173" s="1336"/>
    </row>
    <row r="174" spans="23:23" x14ac:dyDescent="0.2">
      <c r="W174" s="1336"/>
    </row>
    <row r="175" spans="23:23" x14ac:dyDescent="0.2">
      <c r="W175" s="1336"/>
    </row>
    <row r="176" spans="23:23" x14ac:dyDescent="0.2">
      <c r="W176" s="1336"/>
    </row>
    <row r="177" spans="23:23" x14ac:dyDescent="0.2">
      <c r="W177" s="1336"/>
    </row>
    <row r="178" spans="23:23" x14ac:dyDescent="0.2">
      <c r="W178" s="1336"/>
    </row>
    <row r="179" spans="23:23" x14ac:dyDescent="0.2">
      <c r="W179" s="1336"/>
    </row>
    <row r="180" spans="23:23" x14ac:dyDescent="0.2">
      <c r="W180" s="1336"/>
    </row>
    <row r="181" spans="23:23" x14ac:dyDescent="0.2">
      <c r="W181" s="1336"/>
    </row>
    <row r="182" spans="23:23" x14ac:dyDescent="0.2">
      <c r="W182" s="1336"/>
    </row>
    <row r="183" spans="23:23" x14ac:dyDescent="0.2">
      <c r="W183" s="1336"/>
    </row>
    <row r="184" spans="23:23" x14ac:dyDescent="0.2">
      <c r="W184" s="1336"/>
    </row>
    <row r="185" spans="23:23" x14ac:dyDescent="0.2">
      <c r="W185" s="1336"/>
    </row>
    <row r="186" spans="23:23" x14ac:dyDescent="0.2">
      <c r="W186" s="1336"/>
    </row>
    <row r="187" spans="23:23" x14ac:dyDescent="0.2">
      <c r="W187" s="1336"/>
    </row>
    <row r="188" spans="23:23" x14ac:dyDescent="0.2">
      <c r="W188" s="1336"/>
    </row>
    <row r="189" spans="23:23" x14ac:dyDescent="0.2">
      <c r="W189" s="1336"/>
    </row>
    <row r="190" spans="23:23" x14ac:dyDescent="0.2">
      <c r="W190" s="1336"/>
    </row>
    <row r="191" spans="23:23" x14ac:dyDescent="0.2">
      <c r="W191" s="1336"/>
    </row>
    <row r="192" spans="23:23" x14ac:dyDescent="0.2">
      <c r="W192" s="1336"/>
    </row>
    <row r="193" spans="23:23" x14ac:dyDescent="0.2">
      <c r="W193" s="1336"/>
    </row>
  </sheetData>
  <sheetProtection algorithmName="SHA-512" hashValue="EP5/HkOC/TUsiIlF675rfZWupOxfJmZ+8PvbZc7Rg1caN8TWFeke43D0m8sOtvYQ8KCIaLVNJnzbnPZ5LZ/svw==" saltValue="lDkU3efMzvWjLGP+AY7lKg==" spinCount="100000" sheet="1" objects="1" scenarios="1"/>
  <mergeCells count="1">
    <mergeCell ref="A17:E17"/>
  </mergeCells>
  <hyperlinks>
    <hyperlink ref="A58" location="Contents!A1" display="Return to contents " xr:uid="{00000000-0004-0000-1D00-000000000000}"/>
  </hyperlinks>
  <pageMargins left="0.70866141732283472" right="0.70866141732283472" top="0.74803149606299213" bottom="0.74803149606299213" header="0.31496062992125984" footer="0.31496062992125984"/>
  <pageSetup paperSize="9" scale="50" orientation="landscape" r:id="rId1"/>
  <headerFooter>
    <oddFooter>&amp;L&amp;P&amp;C&amp;A</oddFooter>
  </headerFooter>
  <rowBreaks count="1" manualBreakCount="1">
    <brk id="58" max="16383" man="1"/>
  </rowBreaks>
  <drawing r:id="rId2"/>
  <extLst>
    <ext xmlns:x14="http://schemas.microsoft.com/office/spreadsheetml/2009/9/main" uri="{A8765BA9-456A-4dab-B4F3-ACF838C121DE}">
      <x14:slicerList>
        <x14:slicer r:id="rId3"/>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dimension ref="A2:V42"/>
  <sheetViews>
    <sheetView workbookViewId="0">
      <selection activeCell="A57" sqref="A57"/>
    </sheetView>
  </sheetViews>
  <sheetFormatPr defaultRowHeight="12.75" x14ac:dyDescent="0.2"/>
  <cols>
    <col min="1" max="1" width="20.28515625" bestFit="1" customWidth="1"/>
    <col min="2" max="2" width="14.42578125" bestFit="1" customWidth="1"/>
    <col min="3" max="3" width="33.28515625" bestFit="1" customWidth="1"/>
    <col min="4" max="4" width="18.85546875" bestFit="1" customWidth="1"/>
    <col min="5" max="5" width="41.5703125" bestFit="1" customWidth="1"/>
    <col min="6" max="6" width="40.28515625" bestFit="1" customWidth="1"/>
    <col min="7" max="7" width="28.7109375" bestFit="1" customWidth="1"/>
    <col min="8" max="8" width="21.7109375" bestFit="1" customWidth="1"/>
    <col min="9" max="9" width="55.140625" bestFit="1" customWidth="1"/>
    <col min="10" max="10" width="26.28515625" bestFit="1" customWidth="1"/>
    <col min="11" max="11" width="37.7109375" bestFit="1" customWidth="1"/>
    <col min="12" max="12" width="35.140625" bestFit="1" customWidth="1"/>
    <col min="13" max="13" width="28.42578125" bestFit="1" customWidth="1"/>
    <col min="14" max="14" width="36.42578125" bestFit="1" customWidth="1"/>
    <col min="15" max="15" width="28.1406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s>
  <sheetData>
    <row r="2" spans="1:21" x14ac:dyDescent="0.2">
      <c r="A2" s="1300" t="s">
        <v>4</v>
      </c>
      <c r="B2" t="s">
        <v>603</v>
      </c>
    </row>
    <row r="4" spans="1:21" x14ac:dyDescent="0.2">
      <c r="A4" s="1300" t="s">
        <v>658</v>
      </c>
      <c r="B4" t="s">
        <v>695</v>
      </c>
      <c r="C4" t="s">
        <v>696</v>
      </c>
      <c r="D4" t="s">
        <v>697</v>
      </c>
      <c r="E4" t="s">
        <v>698</v>
      </c>
      <c r="F4" t="s">
        <v>699</v>
      </c>
      <c r="G4" t="s">
        <v>700</v>
      </c>
      <c r="H4" t="s">
        <v>701</v>
      </c>
      <c r="I4" t="s">
        <v>702</v>
      </c>
      <c r="J4" t="s">
        <v>703</v>
      </c>
      <c r="K4" t="s">
        <v>704</v>
      </c>
      <c r="L4" t="s">
        <v>705</v>
      </c>
      <c r="M4" t="s">
        <v>706</v>
      </c>
      <c r="N4" t="s">
        <v>707</v>
      </c>
      <c r="O4" t="s">
        <v>708</v>
      </c>
      <c r="P4" t="s">
        <v>709</v>
      </c>
      <c r="Q4" t="s">
        <v>710</v>
      </c>
      <c r="R4" t="s">
        <v>711</v>
      </c>
      <c r="S4" t="s">
        <v>712</v>
      </c>
      <c r="T4" t="s">
        <v>713</v>
      </c>
      <c r="U4" t="s">
        <v>714</v>
      </c>
    </row>
    <row r="5" spans="1:21" x14ac:dyDescent="0.2">
      <c r="A5" s="1301" t="s">
        <v>23</v>
      </c>
      <c r="B5">
        <v>52</v>
      </c>
      <c r="C5">
        <v>13</v>
      </c>
      <c r="D5">
        <v>58</v>
      </c>
      <c r="E5">
        <v>1</v>
      </c>
      <c r="F5">
        <v>26</v>
      </c>
      <c r="G5">
        <v>5</v>
      </c>
      <c r="H5">
        <v>151</v>
      </c>
      <c r="I5">
        <v>18</v>
      </c>
      <c r="J5">
        <v>3</v>
      </c>
      <c r="K5">
        <v>16</v>
      </c>
      <c r="L5">
        <v>3</v>
      </c>
      <c r="M5">
        <v>5</v>
      </c>
      <c r="N5">
        <v>20</v>
      </c>
      <c r="O5">
        <v>146</v>
      </c>
      <c r="P5">
        <v>11</v>
      </c>
      <c r="Q5">
        <v>29</v>
      </c>
      <c r="R5">
        <v>0</v>
      </c>
      <c r="S5">
        <v>1</v>
      </c>
      <c r="T5">
        <v>28</v>
      </c>
      <c r="U5">
        <v>8</v>
      </c>
    </row>
    <row r="6" spans="1:21" x14ac:dyDescent="0.2">
      <c r="A6" s="1301" t="s">
        <v>24</v>
      </c>
      <c r="B6">
        <v>182</v>
      </c>
      <c r="C6">
        <v>0</v>
      </c>
      <c r="D6">
        <v>26</v>
      </c>
      <c r="E6">
        <v>5</v>
      </c>
      <c r="F6">
        <v>17</v>
      </c>
      <c r="G6">
        <v>1</v>
      </c>
      <c r="H6">
        <v>14</v>
      </c>
      <c r="I6">
        <v>26</v>
      </c>
      <c r="J6">
        <v>0</v>
      </c>
      <c r="K6">
        <v>7</v>
      </c>
      <c r="L6">
        <v>4</v>
      </c>
      <c r="M6">
        <v>6</v>
      </c>
      <c r="N6">
        <v>24</v>
      </c>
      <c r="O6">
        <v>57</v>
      </c>
      <c r="P6">
        <v>8</v>
      </c>
      <c r="Q6">
        <v>12</v>
      </c>
      <c r="R6">
        <v>0</v>
      </c>
      <c r="S6">
        <v>0</v>
      </c>
      <c r="T6">
        <v>34</v>
      </c>
      <c r="U6">
        <v>2</v>
      </c>
    </row>
    <row r="7" spans="1:21" x14ac:dyDescent="0.2">
      <c r="A7" s="1301" t="s">
        <v>25</v>
      </c>
      <c r="B7">
        <v>65</v>
      </c>
      <c r="C7">
        <v>1</v>
      </c>
      <c r="D7">
        <v>20</v>
      </c>
      <c r="E7">
        <v>2</v>
      </c>
      <c r="F7">
        <v>16</v>
      </c>
      <c r="G7">
        <v>1</v>
      </c>
      <c r="H7">
        <v>3</v>
      </c>
      <c r="I7">
        <v>11</v>
      </c>
      <c r="J7">
        <v>3</v>
      </c>
      <c r="K7">
        <v>4</v>
      </c>
      <c r="L7">
        <v>2</v>
      </c>
      <c r="M7">
        <v>3</v>
      </c>
      <c r="N7">
        <v>9</v>
      </c>
      <c r="O7">
        <v>77</v>
      </c>
      <c r="P7">
        <v>7</v>
      </c>
      <c r="Q7">
        <v>20</v>
      </c>
      <c r="R7">
        <v>0</v>
      </c>
      <c r="S7">
        <v>0</v>
      </c>
      <c r="T7">
        <v>28</v>
      </c>
      <c r="U7">
        <v>4</v>
      </c>
    </row>
    <row r="8" spans="1:21" x14ac:dyDescent="0.2">
      <c r="A8" s="1301" t="s">
        <v>26</v>
      </c>
      <c r="B8">
        <v>77</v>
      </c>
      <c r="C8">
        <v>2</v>
      </c>
      <c r="D8">
        <v>22</v>
      </c>
      <c r="E8">
        <v>3</v>
      </c>
      <c r="F8">
        <v>6</v>
      </c>
      <c r="G8">
        <v>2</v>
      </c>
      <c r="H8">
        <v>8</v>
      </c>
      <c r="I8">
        <v>15</v>
      </c>
      <c r="J8">
        <v>4</v>
      </c>
      <c r="K8">
        <v>2</v>
      </c>
      <c r="L8">
        <v>6</v>
      </c>
      <c r="M8">
        <v>3</v>
      </c>
      <c r="N8">
        <v>10</v>
      </c>
      <c r="O8">
        <v>28</v>
      </c>
      <c r="P8">
        <v>6</v>
      </c>
      <c r="Q8">
        <v>29</v>
      </c>
      <c r="R8">
        <v>0</v>
      </c>
      <c r="S8">
        <v>25</v>
      </c>
      <c r="T8">
        <v>53</v>
      </c>
      <c r="U8">
        <v>3</v>
      </c>
    </row>
    <row r="9" spans="1:21" x14ac:dyDescent="0.2">
      <c r="A9" s="1301" t="s">
        <v>27</v>
      </c>
      <c r="B9">
        <v>12</v>
      </c>
      <c r="C9">
        <v>0</v>
      </c>
      <c r="D9">
        <v>9</v>
      </c>
      <c r="E9">
        <v>0</v>
      </c>
      <c r="F9">
        <v>8</v>
      </c>
      <c r="G9">
        <v>1</v>
      </c>
      <c r="H9">
        <v>1</v>
      </c>
      <c r="I9">
        <v>4</v>
      </c>
      <c r="J9">
        <v>2</v>
      </c>
      <c r="K9">
        <v>1</v>
      </c>
      <c r="L9">
        <v>2</v>
      </c>
      <c r="M9">
        <v>6</v>
      </c>
      <c r="N9">
        <v>4</v>
      </c>
      <c r="O9">
        <v>41</v>
      </c>
      <c r="P9">
        <v>0</v>
      </c>
      <c r="Q9">
        <v>3</v>
      </c>
      <c r="R9">
        <v>0</v>
      </c>
      <c r="S9">
        <v>0</v>
      </c>
      <c r="T9">
        <v>12</v>
      </c>
      <c r="U9">
        <v>1</v>
      </c>
    </row>
    <row r="10" spans="1:21" x14ac:dyDescent="0.2">
      <c r="A10" s="1301" t="s">
        <v>28</v>
      </c>
      <c r="B10">
        <v>91</v>
      </c>
      <c r="C10">
        <v>4</v>
      </c>
      <c r="D10">
        <v>30</v>
      </c>
      <c r="E10">
        <v>13</v>
      </c>
      <c r="F10">
        <v>11</v>
      </c>
      <c r="G10">
        <v>1</v>
      </c>
      <c r="H10">
        <v>12</v>
      </c>
      <c r="I10">
        <v>23</v>
      </c>
      <c r="J10">
        <v>8</v>
      </c>
      <c r="K10">
        <v>6</v>
      </c>
      <c r="L10">
        <v>7</v>
      </c>
      <c r="M10">
        <v>5</v>
      </c>
      <c r="N10">
        <v>19</v>
      </c>
      <c r="O10">
        <v>45</v>
      </c>
      <c r="P10">
        <v>7</v>
      </c>
      <c r="Q10">
        <v>7</v>
      </c>
      <c r="R10">
        <v>0</v>
      </c>
      <c r="S10">
        <v>1</v>
      </c>
      <c r="T10">
        <v>35</v>
      </c>
      <c r="U10">
        <v>5</v>
      </c>
    </row>
    <row r="11" spans="1:21" x14ac:dyDescent="0.2">
      <c r="A11" s="1301" t="s">
        <v>29</v>
      </c>
      <c r="B11">
        <v>34</v>
      </c>
      <c r="C11">
        <v>3</v>
      </c>
      <c r="D11">
        <v>45</v>
      </c>
      <c r="E11">
        <v>2</v>
      </c>
      <c r="F11">
        <v>12</v>
      </c>
      <c r="G11">
        <v>6</v>
      </c>
      <c r="H11">
        <v>54</v>
      </c>
      <c r="I11">
        <v>8</v>
      </c>
      <c r="J11">
        <v>5</v>
      </c>
      <c r="K11">
        <v>4</v>
      </c>
      <c r="L11">
        <v>6</v>
      </c>
      <c r="M11">
        <v>3</v>
      </c>
      <c r="N11">
        <v>12</v>
      </c>
      <c r="O11">
        <v>141</v>
      </c>
      <c r="P11">
        <v>32</v>
      </c>
      <c r="Q11">
        <v>21</v>
      </c>
      <c r="R11">
        <v>0</v>
      </c>
      <c r="S11">
        <v>1</v>
      </c>
      <c r="T11">
        <v>20</v>
      </c>
      <c r="U11">
        <v>7</v>
      </c>
    </row>
    <row r="12" spans="1:21" x14ac:dyDescent="0.2">
      <c r="A12" s="1301" t="s">
        <v>30</v>
      </c>
      <c r="B12">
        <v>61</v>
      </c>
      <c r="C12">
        <v>3</v>
      </c>
      <c r="D12">
        <v>15</v>
      </c>
      <c r="E12">
        <v>5</v>
      </c>
      <c r="F12">
        <v>7</v>
      </c>
      <c r="G12">
        <v>0</v>
      </c>
      <c r="H12">
        <v>2</v>
      </c>
      <c r="I12">
        <v>4</v>
      </c>
      <c r="J12">
        <v>2</v>
      </c>
      <c r="K12">
        <v>3</v>
      </c>
      <c r="L12">
        <v>0</v>
      </c>
      <c r="M12">
        <v>3</v>
      </c>
      <c r="N12">
        <v>8</v>
      </c>
      <c r="O12">
        <v>45</v>
      </c>
      <c r="P12">
        <v>5</v>
      </c>
      <c r="Q12">
        <v>26</v>
      </c>
      <c r="R12">
        <v>0</v>
      </c>
      <c r="S12">
        <v>0</v>
      </c>
      <c r="T12">
        <v>23</v>
      </c>
      <c r="U12">
        <v>3</v>
      </c>
    </row>
    <row r="13" spans="1:21" x14ac:dyDescent="0.2">
      <c r="A13" s="1301" t="s">
        <v>31</v>
      </c>
      <c r="B13">
        <v>38</v>
      </c>
      <c r="C13">
        <v>0</v>
      </c>
      <c r="D13">
        <v>26</v>
      </c>
      <c r="E13">
        <v>2</v>
      </c>
      <c r="F13">
        <v>3</v>
      </c>
      <c r="G13">
        <v>1</v>
      </c>
      <c r="H13">
        <v>8</v>
      </c>
      <c r="I13">
        <v>5</v>
      </c>
      <c r="J13">
        <v>0</v>
      </c>
      <c r="K13">
        <v>5</v>
      </c>
      <c r="L13">
        <v>3</v>
      </c>
      <c r="M13">
        <v>19</v>
      </c>
      <c r="N13">
        <v>6</v>
      </c>
      <c r="O13">
        <v>43</v>
      </c>
      <c r="P13">
        <v>2</v>
      </c>
      <c r="Q13">
        <v>28</v>
      </c>
      <c r="R13">
        <v>0</v>
      </c>
      <c r="S13">
        <v>2</v>
      </c>
      <c r="T13">
        <v>16</v>
      </c>
      <c r="U13">
        <v>3</v>
      </c>
    </row>
    <row r="14" spans="1:21" x14ac:dyDescent="0.2">
      <c r="A14" s="1301" t="s">
        <v>32</v>
      </c>
      <c r="B14">
        <v>55</v>
      </c>
      <c r="C14">
        <v>1</v>
      </c>
      <c r="D14">
        <v>12</v>
      </c>
      <c r="E14">
        <v>2</v>
      </c>
      <c r="F14">
        <v>10</v>
      </c>
      <c r="G14">
        <v>1</v>
      </c>
      <c r="H14">
        <v>4</v>
      </c>
      <c r="I14">
        <v>18</v>
      </c>
      <c r="J14">
        <v>0</v>
      </c>
      <c r="K14">
        <v>3</v>
      </c>
      <c r="L14">
        <v>4</v>
      </c>
      <c r="M14">
        <v>6</v>
      </c>
      <c r="N14">
        <v>3</v>
      </c>
      <c r="O14">
        <v>69</v>
      </c>
      <c r="P14">
        <v>3</v>
      </c>
      <c r="Q14">
        <v>13</v>
      </c>
      <c r="R14">
        <v>0</v>
      </c>
      <c r="S14">
        <v>1</v>
      </c>
      <c r="T14">
        <v>9</v>
      </c>
      <c r="U14">
        <v>3</v>
      </c>
    </row>
    <row r="15" spans="1:21" x14ac:dyDescent="0.2">
      <c r="A15" s="1301" t="s">
        <v>33</v>
      </c>
      <c r="B15">
        <v>29</v>
      </c>
      <c r="C15">
        <v>1</v>
      </c>
      <c r="D15">
        <v>14</v>
      </c>
      <c r="E15">
        <v>0</v>
      </c>
      <c r="F15">
        <v>8</v>
      </c>
      <c r="G15">
        <v>0</v>
      </c>
      <c r="H15">
        <v>4</v>
      </c>
      <c r="I15">
        <v>5</v>
      </c>
      <c r="J15">
        <v>1</v>
      </c>
      <c r="K15">
        <v>2</v>
      </c>
      <c r="L15">
        <v>1</v>
      </c>
      <c r="M15">
        <v>3</v>
      </c>
      <c r="N15">
        <v>5</v>
      </c>
      <c r="O15">
        <v>28</v>
      </c>
      <c r="P15">
        <v>2</v>
      </c>
      <c r="Q15">
        <v>19</v>
      </c>
      <c r="R15">
        <v>0</v>
      </c>
      <c r="S15">
        <v>0</v>
      </c>
      <c r="T15">
        <v>14</v>
      </c>
      <c r="U15">
        <v>2</v>
      </c>
    </row>
    <row r="16" spans="1:21" x14ac:dyDescent="0.2">
      <c r="A16" s="1301" t="s">
        <v>665</v>
      </c>
      <c r="B16">
        <v>136</v>
      </c>
      <c r="C16">
        <v>6</v>
      </c>
      <c r="D16">
        <v>168</v>
      </c>
      <c r="E16">
        <v>11</v>
      </c>
      <c r="F16">
        <v>40</v>
      </c>
      <c r="G16">
        <v>2</v>
      </c>
      <c r="H16">
        <v>125</v>
      </c>
      <c r="I16">
        <v>47</v>
      </c>
      <c r="J16">
        <v>11</v>
      </c>
      <c r="K16">
        <v>30</v>
      </c>
      <c r="L16">
        <v>34</v>
      </c>
      <c r="M16">
        <v>33</v>
      </c>
      <c r="N16">
        <v>22</v>
      </c>
      <c r="O16">
        <v>511</v>
      </c>
      <c r="P16">
        <v>30</v>
      </c>
      <c r="Q16">
        <v>128</v>
      </c>
      <c r="R16">
        <v>0</v>
      </c>
      <c r="S16">
        <v>6</v>
      </c>
      <c r="T16">
        <v>92</v>
      </c>
      <c r="U16">
        <v>19</v>
      </c>
    </row>
    <row r="17" spans="1:21" x14ac:dyDescent="0.2">
      <c r="A17" s="1301" t="s">
        <v>34</v>
      </c>
      <c r="B17">
        <v>93</v>
      </c>
      <c r="C17">
        <v>3</v>
      </c>
      <c r="D17">
        <v>32</v>
      </c>
      <c r="E17">
        <v>3</v>
      </c>
      <c r="F17">
        <v>22</v>
      </c>
      <c r="G17">
        <v>3</v>
      </c>
      <c r="H17">
        <v>8</v>
      </c>
      <c r="I17">
        <v>12</v>
      </c>
      <c r="J17">
        <v>3</v>
      </c>
      <c r="K17">
        <v>3</v>
      </c>
      <c r="L17">
        <v>3</v>
      </c>
      <c r="M17">
        <v>8</v>
      </c>
      <c r="N17">
        <v>11</v>
      </c>
      <c r="O17">
        <v>123</v>
      </c>
      <c r="P17">
        <v>4</v>
      </c>
      <c r="Q17">
        <v>22</v>
      </c>
      <c r="R17">
        <v>0</v>
      </c>
      <c r="S17">
        <v>1</v>
      </c>
      <c r="T17">
        <v>40</v>
      </c>
      <c r="U17">
        <v>4</v>
      </c>
    </row>
    <row r="18" spans="1:21" x14ac:dyDescent="0.2">
      <c r="A18" s="1301" t="s">
        <v>35</v>
      </c>
      <c r="B18">
        <v>170</v>
      </c>
      <c r="C18">
        <v>8</v>
      </c>
      <c r="D18">
        <v>84</v>
      </c>
      <c r="E18">
        <v>9</v>
      </c>
      <c r="F18">
        <v>49</v>
      </c>
      <c r="G18">
        <v>10</v>
      </c>
      <c r="H18">
        <v>22</v>
      </c>
      <c r="I18">
        <v>31</v>
      </c>
      <c r="J18">
        <v>14</v>
      </c>
      <c r="K18">
        <v>14</v>
      </c>
      <c r="L18">
        <v>23</v>
      </c>
      <c r="M18">
        <v>19</v>
      </c>
      <c r="N18">
        <v>29</v>
      </c>
      <c r="O18">
        <v>236</v>
      </c>
      <c r="P18">
        <v>10</v>
      </c>
      <c r="Q18">
        <v>21</v>
      </c>
      <c r="R18">
        <v>0</v>
      </c>
      <c r="S18">
        <v>2</v>
      </c>
      <c r="T18">
        <v>64</v>
      </c>
      <c r="U18">
        <v>11</v>
      </c>
    </row>
    <row r="19" spans="1:21" x14ac:dyDescent="0.2">
      <c r="A19" s="1301" t="s">
        <v>36</v>
      </c>
      <c r="B19">
        <v>199</v>
      </c>
      <c r="C19">
        <v>10</v>
      </c>
      <c r="D19">
        <v>247</v>
      </c>
      <c r="E19">
        <v>24</v>
      </c>
      <c r="F19">
        <v>77</v>
      </c>
      <c r="G19">
        <v>14</v>
      </c>
      <c r="H19">
        <v>140</v>
      </c>
      <c r="I19">
        <v>55</v>
      </c>
      <c r="J19">
        <v>25</v>
      </c>
      <c r="K19">
        <v>30</v>
      </c>
      <c r="L19">
        <v>14</v>
      </c>
      <c r="M19">
        <v>36</v>
      </c>
      <c r="N19">
        <v>35</v>
      </c>
      <c r="O19">
        <v>409</v>
      </c>
      <c r="P19">
        <v>39</v>
      </c>
      <c r="Q19">
        <v>316</v>
      </c>
      <c r="R19">
        <v>1</v>
      </c>
      <c r="S19">
        <v>4</v>
      </c>
      <c r="T19">
        <v>219</v>
      </c>
      <c r="U19">
        <v>43</v>
      </c>
    </row>
    <row r="20" spans="1:21" x14ac:dyDescent="0.2">
      <c r="A20" s="1301" t="s">
        <v>37</v>
      </c>
      <c r="B20">
        <v>236</v>
      </c>
      <c r="C20">
        <v>5</v>
      </c>
      <c r="D20">
        <v>51</v>
      </c>
      <c r="E20">
        <v>8</v>
      </c>
      <c r="F20">
        <v>30</v>
      </c>
      <c r="G20">
        <v>2</v>
      </c>
      <c r="H20">
        <v>20</v>
      </c>
      <c r="I20">
        <v>18</v>
      </c>
      <c r="J20">
        <v>4</v>
      </c>
      <c r="K20">
        <v>9</v>
      </c>
      <c r="L20">
        <v>8</v>
      </c>
      <c r="M20">
        <v>6</v>
      </c>
      <c r="N20">
        <v>29</v>
      </c>
      <c r="O20">
        <v>92</v>
      </c>
      <c r="P20">
        <v>16</v>
      </c>
      <c r="Q20">
        <v>24</v>
      </c>
      <c r="R20">
        <v>0</v>
      </c>
      <c r="S20">
        <v>7</v>
      </c>
      <c r="T20">
        <v>64</v>
      </c>
      <c r="U20">
        <v>1</v>
      </c>
    </row>
    <row r="21" spans="1:21" x14ac:dyDescent="0.2">
      <c r="A21" s="1301" t="s">
        <v>38</v>
      </c>
      <c r="B21">
        <v>30</v>
      </c>
      <c r="C21">
        <v>0</v>
      </c>
      <c r="D21">
        <v>29</v>
      </c>
      <c r="E21">
        <v>1</v>
      </c>
      <c r="F21">
        <v>18</v>
      </c>
      <c r="G21">
        <v>4</v>
      </c>
      <c r="H21">
        <v>12</v>
      </c>
      <c r="I21">
        <v>13</v>
      </c>
      <c r="J21">
        <v>2</v>
      </c>
      <c r="K21">
        <v>1</v>
      </c>
      <c r="L21">
        <v>4</v>
      </c>
      <c r="M21">
        <v>4</v>
      </c>
      <c r="N21">
        <v>12</v>
      </c>
      <c r="O21">
        <v>52</v>
      </c>
      <c r="P21">
        <v>9</v>
      </c>
      <c r="Q21">
        <v>29</v>
      </c>
      <c r="R21">
        <v>0</v>
      </c>
      <c r="S21">
        <v>1</v>
      </c>
      <c r="T21">
        <v>22</v>
      </c>
      <c r="U21">
        <v>4</v>
      </c>
    </row>
    <row r="22" spans="1:21" x14ac:dyDescent="0.2">
      <c r="A22" s="1301" t="s">
        <v>39</v>
      </c>
      <c r="B22">
        <v>42</v>
      </c>
      <c r="C22">
        <v>1</v>
      </c>
      <c r="D22">
        <v>18</v>
      </c>
      <c r="E22">
        <v>1</v>
      </c>
      <c r="F22">
        <v>11</v>
      </c>
      <c r="G22">
        <v>2</v>
      </c>
      <c r="H22">
        <v>2</v>
      </c>
      <c r="I22">
        <v>10</v>
      </c>
      <c r="J22">
        <v>4</v>
      </c>
      <c r="K22">
        <v>3</v>
      </c>
      <c r="L22">
        <v>4</v>
      </c>
      <c r="M22">
        <v>5</v>
      </c>
      <c r="N22">
        <v>10</v>
      </c>
      <c r="O22">
        <v>45</v>
      </c>
      <c r="P22">
        <v>1</v>
      </c>
      <c r="Q22">
        <v>12</v>
      </c>
      <c r="R22">
        <v>0</v>
      </c>
      <c r="S22">
        <v>0</v>
      </c>
      <c r="T22">
        <v>15</v>
      </c>
      <c r="U22">
        <v>2</v>
      </c>
    </row>
    <row r="23" spans="1:21" x14ac:dyDescent="0.2">
      <c r="A23" s="1301" t="s">
        <v>40</v>
      </c>
      <c r="B23">
        <v>53</v>
      </c>
      <c r="C23">
        <v>2</v>
      </c>
      <c r="D23">
        <v>6</v>
      </c>
      <c r="E23">
        <v>6</v>
      </c>
      <c r="F23">
        <v>11</v>
      </c>
      <c r="G23">
        <v>0</v>
      </c>
      <c r="H23">
        <v>3</v>
      </c>
      <c r="I23">
        <v>4</v>
      </c>
      <c r="J23">
        <v>3</v>
      </c>
      <c r="K23">
        <v>5</v>
      </c>
      <c r="L23">
        <v>1</v>
      </c>
      <c r="M23">
        <v>1</v>
      </c>
      <c r="N23">
        <v>10</v>
      </c>
      <c r="O23">
        <v>31</v>
      </c>
      <c r="P23">
        <v>3</v>
      </c>
      <c r="Q23">
        <v>5</v>
      </c>
      <c r="R23">
        <v>0</v>
      </c>
      <c r="S23">
        <v>0</v>
      </c>
      <c r="T23">
        <v>6</v>
      </c>
      <c r="U23">
        <v>0</v>
      </c>
    </row>
    <row r="24" spans="1:21" x14ac:dyDescent="0.2">
      <c r="A24" s="1301" t="s">
        <v>393</v>
      </c>
      <c r="B24">
        <v>16</v>
      </c>
      <c r="C24">
        <v>0</v>
      </c>
      <c r="D24">
        <v>5</v>
      </c>
      <c r="E24">
        <v>0</v>
      </c>
      <c r="F24">
        <v>0</v>
      </c>
      <c r="G24">
        <v>0</v>
      </c>
      <c r="H24">
        <v>5</v>
      </c>
      <c r="I24">
        <v>1</v>
      </c>
      <c r="J24">
        <v>0</v>
      </c>
      <c r="K24">
        <v>1</v>
      </c>
      <c r="L24">
        <v>0</v>
      </c>
      <c r="M24">
        <v>0</v>
      </c>
      <c r="N24">
        <v>5</v>
      </c>
      <c r="O24">
        <v>7</v>
      </c>
      <c r="P24">
        <v>0</v>
      </c>
      <c r="Q24">
        <v>1</v>
      </c>
      <c r="R24">
        <v>0</v>
      </c>
      <c r="S24">
        <v>0</v>
      </c>
      <c r="T24">
        <v>8</v>
      </c>
      <c r="U24">
        <v>0</v>
      </c>
    </row>
    <row r="25" spans="1:21" x14ac:dyDescent="0.2">
      <c r="A25" s="1301" t="s">
        <v>41</v>
      </c>
      <c r="B25">
        <v>45</v>
      </c>
      <c r="C25">
        <v>0</v>
      </c>
      <c r="D25">
        <v>36</v>
      </c>
      <c r="E25">
        <v>3</v>
      </c>
      <c r="F25">
        <v>16</v>
      </c>
      <c r="G25">
        <v>3</v>
      </c>
      <c r="H25">
        <v>17</v>
      </c>
      <c r="I25">
        <v>13</v>
      </c>
      <c r="J25">
        <v>1</v>
      </c>
      <c r="K25">
        <v>2</v>
      </c>
      <c r="L25">
        <v>5</v>
      </c>
      <c r="M25">
        <v>9</v>
      </c>
      <c r="N25">
        <v>6</v>
      </c>
      <c r="O25">
        <v>68</v>
      </c>
      <c r="P25">
        <v>5</v>
      </c>
      <c r="Q25">
        <v>37</v>
      </c>
      <c r="R25">
        <v>0</v>
      </c>
      <c r="S25">
        <v>0</v>
      </c>
      <c r="T25">
        <v>40</v>
      </c>
      <c r="U25">
        <v>4</v>
      </c>
    </row>
    <row r="26" spans="1:21" x14ac:dyDescent="0.2">
      <c r="A26" s="1301" t="s">
        <v>42</v>
      </c>
      <c r="B26">
        <v>128</v>
      </c>
      <c r="C26">
        <v>5</v>
      </c>
      <c r="D26">
        <v>88</v>
      </c>
      <c r="E26">
        <v>1</v>
      </c>
      <c r="F26">
        <v>37</v>
      </c>
      <c r="G26">
        <v>5</v>
      </c>
      <c r="H26">
        <v>21</v>
      </c>
      <c r="I26">
        <v>13</v>
      </c>
      <c r="J26">
        <v>7</v>
      </c>
      <c r="K26">
        <v>10</v>
      </c>
      <c r="L26">
        <v>10</v>
      </c>
      <c r="M26">
        <v>26</v>
      </c>
      <c r="N26">
        <v>25</v>
      </c>
      <c r="O26">
        <v>127</v>
      </c>
      <c r="P26">
        <v>13</v>
      </c>
      <c r="Q26">
        <v>85</v>
      </c>
      <c r="R26">
        <v>0</v>
      </c>
      <c r="S26">
        <v>0</v>
      </c>
      <c r="T26">
        <v>69</v>
      </c>
      <c r="U26">
        <v>6</v>
      </c>
    </row>
    <row r="27" spans="1:21" x14ac:dyDescent="0.2">
      <c r="A27" s="1301" t="s">
        <v>43</v>
      </c>
      <c r="B27">
        <v>2</v>
      </c>
      <c r="C27">
        <v>0</v>
      </c>
      <c r="D27">
        <v>6</v>
      </c>
      <c r="E27">
        <v>0</v>
      </c>
      <c r="F27">
        <v>1</v>
      </c>
      <c r="G27">
        <v>0</v>
      </c>
      <c r="H27">
        <v>2</v>
      </c>
      <c r="I27">
        <v>1</v>
      </c>
      <c r="J27">
        <v>0</v>
      </c>
      <c r="K27">
        <v>0</v>
      </c>
      <c r="L27">
        <v>1</v>
      </c>
      <c r="M27">
        <v>0</v>
      </c>
      <c r="N27">
        <v>1</v>
      </c>
      <c r="O27">
        <v>1</v>
      </c>
      <c r="P27">
        <v>0</v>
      </c>
      <c r="Q27">
        <v>0</v>
      </c>
      <c r="R27">
        <v>0</v>
      </c>
      <c r="S27">
        <v>3</v>
      </c>
      <c r="T27">
        <v>4</v>
      </c>
      <c r="U27">
        <v>0</v>
      </c>
    </row>
    <row r="28" spans="1:21" x14ac:dyDescent="0.2">
      <c r="A28" s="1301" t="s">
        <v>44</v>
      </c>
      <c r="B28">
        <v>118</v>
      </c>
      <c r="C28">
        <v>1</v>
      </c>
      <c r="D28">
        <v>29</v>
      </c>
      <c r="E28">
        <v>8</v>
      </c>
      <c r="F28">
        <v>11</v>
      </c>
      <c r="G28">
        <v>0</v>
      </c>
      <c r="H28">
        <v>10</v>
      </c>
      <c r="I28">
        <v>9</v>
      </c>
      <c r="J28">
        <v>4</v>
      </c>
      <c r="K28">
        <v>0</v>
      </c>
      <c r="L28">
        <v>5</v>
      </c>
      <c r="M28">
        <v>3</v>
      </c>
      <c r="N28">
        <v>15</v>
      </c>
      <c r="O28">
        <v>79</v>
      </c>
      <c r="P28">
        <v>17</v>
      </c>
      <c r="Q28">
        <v>14</v>
      </c>
      <c r="R28">
        <v>0</v>
      </c>
      <c r="S28">
        <v>0</v>
      </c>
      <c r="T28">
        <v>22</v>
      </c>
      <c r="U28">
        <v>1</v>
      </c>
    </row>
    <row r="29" spans="1:21" x14ac:dyDescent="0.2">
      <c r="A29" s="1301" t="s">
        <v>45</v>
      </c>
      <c r="B29">
        <v>76</v>
      </c>
      <c r="C29">
        <v>3</v>
      </c>
      <c r="D29">
        <v>45</v>
      </c>
      <c r="E29">
        <v>5</v>
      </c>
      <c r="F29">
        <v>17</v>
      </c>
      <c r="G29">
        <v>5</v>
      </c>
      <c r="H29">
        <v>11</v>
      </c>
      <c r="I29">
        <v>25</v>
      </c>
      <c r="J29">
        <v>4</v>
      </c>
      <c r="K29">
        <v>3</v>
      </c>
      <c r="L29">
        <v>9</v>
      </c>
      <c r="M29">
        <v>6</v>
      </c>
      <c r="N29">
        <v>14</v>
      </c>
      <c r="O29">
        <v>107</v>
      </c>
      <c r="P29">
        <v>14</v>
      </c>
      <c r="Q29">
        <v>91</v>
      </c>
      <c r="R29">
        <v>1</v>
      </c>
      <c r="S29">
        <v>10</v>
      </c>
      <c r="T29">
        <v>64</v>
      </c>
      <c r="U29">
        <v>12</v>
      </c>
    </row>
    <row r="30" spans="1:21" x14ac:dyDescent="0.2">
      <c r="A30" s="1301" t="s">
        <v>46</v>
      </c>
      <c r="B30">
        <v>92</v>
      </c>
      <c r="C30">
        <v>1</v>
      </c>
      <c r="D30">
        <v>23</v>
      </c>
      <c r="E30">
        <v>7</v>
      </c>
      <c r="F30">
        <v>9</v>
      </c>
      <c r="G30">
        <v>2</v>
      </c>
      <c r="H30">
        <v>5</v>
      </c>
      <c r="I30">
        <v>22</v>
      </c>
      <c r="J30">
        <v>2</v>
      </c>
      <c r="K30">
        <v>4</v>
      </c>
      <c r="L30">
        <v>8</v>
      </c>
      <c r="M30">
        <v>5</v>
      </c>
      <c r="N30">
        <v>14</v>
      </c>
      <c r="O30">
        <v>84</v>
      </c>
      <c r="P30">
        <v>8</v>
      </c>
      <c r="Q30">
        <v>8</v>
      </c>
      <c r="R30">
        <v>1</v>
      </c>
      <c r="S30">
        <v>0</v>
      </c>
      <c r="T30">
        <v>20</v>
      </c>
      <c r="U30">
        <v>1</v>
      </c>
    </row>
    <row r="31" spans="1:21" x14ac:dyDescent="0.2">
      <c r="A31" s="1301" t="s">
        <v>47</v>
      </c>
      <c r="B31">
        <v>12</v>
      </c>
      <c r="C31">
        <v>0</v>
      </c>
      <c r="D31">
        <v>6</v>
      </c>
      <c r="E31">
        <v>0</v>
      </c>
      <c r="F31">
        <v>1</v>
      </c>
      <c r="G31">
        <v>0</v>
      </c>
      <c r="H31">
        <v>2</v>
      </c>
      <c r="I31">
        <v>0</v>
      </c>
      <c r="J31">
        <v>0</v>
      </c>
      <c r="K31">
        <v>1</v>
      </c>
      <c r="L31">
        <v>0</v>
      </c>
      <c r="M31">
        <v>0</v>
      </c>
      <c r="N31">
        <v>0</v>
      </c>
      <c r="O31">
        <v>2</v>
      </c>
      <c r="P31">
        <v>2</v>
      </c>
      <c r="Q31">
        <v>1</v>
      </c>
      <c r="R31">
        <v>0</v>
      </c>
      <c r="S31">
        <v>5</v>
      </c>
      <c r="T31">
        <v>5</v>
      </c>
      <c r="U31">
        <v>1</v>
      </c>
    </row>
    <row r="32" spans="1:21" x14ac:dyDescent="0.2">
      <c r="A32" s="1301" t="s">
        <v>48</v>
      </c>
      <c r="B32">
        <v>69</v>
      </c>
      <c r="C32">
        <v>6</v>
      </c>
      <c r="D32">
        <v>14</v>
      </c>
      <c r="E32">
        <v>6</v>
      </c>
      <c r="F32">
        <v>18</v>
      </c>
      <c r="G32">
        <v>5</v>
      </c>
      <c r="H32">
        <v>7</v>
      </c>
      <c r="I32">
        <v>10</v>
      </c>
      <c r="J32">
        <v>4</v>
      </c>
      <c r="K32">
        <v>0</v>
      </c>
      <c r="L32">
        <v>4</v>
      </c>
      <c r="M32">
        <v>3</v>
      </c>
      <c r="N32">
        <v>6</v>
      </c>
      <c r="O32">
        <v>53</v>
      </c>
      <c r="P32">
        <v>8</v>
      </c>
      <c r="Q32">
        <v>38</v>
      </c>
      <c r="R32">
        <v>0</v>
      </c>
      <c r="S32">
        <v>5</v>
      </c>
      <c r="T32">
        <v>16</v>
      </c>
      <c r="U32">
        <v>2</v>
      </c>
    </row>
    <row r="33" spans="1:22" x14ac:dyDescent="0.2">
      <c r="A33" s="1301" t="s">
        <v>49</v>
      </c>
      <c r="B33">
        <v>130</v>
      </c>
      <c r="C33">
        <v>2</v>
      </c>
      <c r="D33">
        <v>65</v>
      </c>
      <c r="E33">
        <v>2</v>
      </c>
      <c r="F33">
        <v>26</v>
      </c>
      <c r="G33">
        <v>2</v>
      </c>
      <c r="H33">
        <v>19</v>
      </c>
      <c r="I33">
        <v>21</v>
      </c>
      <c r="J33">
        <v>5</v>
      </c>
      <c r="K33">
        <v>5</v>
      </c>
      <c r="L33">
        <v>9</v>
      </c>
      <c r="M33">
        <v>18</v>
      </c>
      <c r="N33">
        <v>22</v>
      </c>
      <c r="O33">
        <v>103</v>
      </c>
      <c r="P33">
        <v>17</v>
      </c>
      <c r="Q33">
        <v>79</v>
      </c>
      <c r="R33">
        <v>0</v>
      </c>
      <c r="S33">
        <v>0</v>
      </c>
      <c r="T33">
        <v>50</v>
      </c>
      <c r="U33">
        <v>12</v>
      </c>
    </row>
    <row r="34" spans="1:22" x14ac:dyDescent="0.2">
      <c r="A34" s="1301" t="s">
        <v>50</v>
      </c>
      <c r="B34">
        <v>58</v>
      </c>
      <c r="C34">
        <v>1</v>
      </c>
      <c r="D34">
        <v>21</v>
      </c>
      <c r="E34">
        <v>11</v>
      </c>
      <c r="F34">
        <v>8</v>
      </c>
      <c r="G34">
        <v>0</v>
      </c>
      <c r="H34">
        <v>8</v>
      </c>
      <c r="I34">
        <v>12</v>
      </c>
      <c r="J34">
        <v>2</v>
      </c>
      <c r="K34">
        <v>3</v>
      </c>
      <c r="L34">
        <v>3</v>
      </c>
      <c r="M34">
        <v>4</v>
      </c>
      <c r="N34">
        <v>12</v>
      </c>
      <c r="O34">
        <v>49</v>
      </c>
      <c r="P34">
        <v>5</v>
      </c>
      <c r="Q34">
        <v>7</v>
      </c>
      <c r="R34">
        <v>0</v>
      </c>
      <c r="S34">
        <v>0</v>
      </c>
      <c r="T34">
        <v>14</v>
      </c>
      <c r="U34">
        <v>1</v>
      </c>
    </row>
    <row r="35" spans="1:22" x14ac:dyDescent="0.2">
      <c r="A35" s="1301" t="s">
        <v>51</v>
      </c>
      <c r="B35">
        <v>28</v>
      </c>
      <c r="C35">
        <v>0</v>
      </c>
      <c r="D35">
        <v>20</v>
      </c>
      <c r="E35">
        <v>3</v>
      </c>
      <c r="F35">
        <v>7</v>
      </c>
      <c r="G35">
        <v>0</v>
      </c>
      <c r="H35">
        <v>14</v>
      </c>
      <c r="I35">
        <v>7</v>
      </c>
      <c r="J35">
        <v>2</v>
      </c>
      <c r="K35">
        <v>4</v>
      </c>
      <c r="L35">
        <v>3</v>
      </c>
      <c r="M35">
        <v>7</v>
      </c>
      <c r="N35">
        <v>8</v>
      </c>
      <c r="O35">
        <v>42</v>
      </c>
      <c r="P35">
        <v>3</v>
      </c>
      <c r="Q35">
        <v>42</v>
      </c>
      <c r="R35">
        <v>0</v>
      </c>
      <c r="S35">
        <v>1</v>
      </c>
      <c r="T35">
        <v>25</v>
      </c>
      <c r="U35">
        <v>5</v>
      </c>
    </row>
    <row r="36" spans="1:22" x14ac:dyDescent="0.2">
      <c r="A36" s="1301" t="s">
        <v>52</v>
      </c>
      <c r="B36">
        <v>96</v>
      </c>
      <c r="C36">
        <v>2</v>
      </c>
      <c r="D36">
        <v>27</v>
      </c>
      <c r="E36">
        <v>2</v>
      </c>
      <c r="F36">
        <v>26</v>
      </c>
      <c r="G36">
        <v>6</v>
      </c>
      <c r="H36">
        <v>3</v>
      </c>
      <c r="I36">
        <v>25</v>
      </c>
      <c r="J36">
        <v>7</v>
      </c>
      <c r="K36">
        <v>11</v>
      </c>
      <c r="L36">
        <v>10</v>
      </c>
      <c r="M36">
        <v>6</v>
      </c>
      <c r="N36">
        <v>9</v>
      </c>
      <c r="O36">
        <v>175</v>
      </c>
      <c r="P36">
        <v>6</v>
      </c>
      <c r="Q36">
        <v>45</v>
      </c>
      <c r="R36">
        <v>0</v>
      </c>
      <c r="S36">
        <v>0</v>
      </c>
      <c r="T36">
        <v>33</v>
      </c>
      <c r="U36">
        <v>0</v>
      </c>
    </row>
    <row r="37" spans="1:22" x14ac:dyDescent="0.2">
      <c r="A37" s="1301" t="s">
        <v>666</v>
      </c>
      <c r="B37">
        <v>2525</v>
      </c>
      <c r="C37">
        <v>84</v>
      </c>
      <c r="D37">
        <v>1297</v>
      </c>
      <c r="E37">
        <v>146</v>
      </c>
      <c r="F37">
        <v>559</v>
      </c>
      <c r="G37">
        <v>84</v>
      </c>
      <c r="H37">
        <v>717</v>
      </c>
      <c r="I37">
        <v>486</v>
      </c>
      <c r="J37">
        <v>132</v>
      </c>
      <c r="K37">
        <v>192</v>
      </c>
      <c r="L37">
        <v>196</v>
      </c>
      <c r="M37">
        <v>261</v>
      </c>
      <c r="N37">
        <v>415</v>
      </c>
      <c r="O37">
        <v>3116</v>
      </c>
      <c r="P37">
        <v>293</v>
      </c>
      <c r="Q37">
        <v>1212</v>
      </c>
      <c r="R37">
        <v>3</v>
      </c>
      <c r="S37">
        <v>76</v>
      </c>
      <c r="T37">
        <v>1164</v>
      </c>
      <c r="U37">
        <v>170</v>
      </c>
    </row>
    <row r="42" spans="1:22" x14ac:dyDescent="0.2">
      <c r="V42" s="1300"/>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4"/>
    <pageSetUpPr fitToPage="1"/>
  </sheetPr>
  <dimension ref="A1:R43"/>
  <sheetViews>
    <sheetView showGridLines="0" zoomScaleNormal="100" workbookViewId="0">
      <pane ySplit="2" topLeftCell="A3" activePane="bottomLeft" state="frozen"/>
      <selection activeCell="M9" sqref="M9"/>
      <selection pane="bottomLeft" sqref="A1:H1"/>
    </sheetView>
  </sheetViews>
  <sheetFormatPr defaultRowHeight="12.75" x14ac:dyDescent="0.2"/>
  <cols>
    <col min="1" max="1" width="23.85546875" style="1" customWidth="1"/>
    <col min="2" max="2" width="12" style="1" customWidth="1"/>
    <col min="3" max="3" width="9.140625" style="1"/>
    <col min="4" max="4" width="11" style="1" customWidth="1"/>
    <col min="5" max="5" width="11.5703125" style="1" customWidth="1"/>
    <col min="6" max="6" width="18.5703125" style="1" customWidth="1"/>
    <col min="7" max="7" width="12" style="1" customWidth="1"/>
    <col min="8" max="8" width="17" style="1" customWidth="1"/>
    <col min="9" max="16384" width="9.140625" style="1"/>
  </cols>
  <sheetData>
    <row r="1" spans="1:17" ht="38.25" customHeight="1" x14ac:dyDescent="0.2">
      <c r="A1" s="1671" t="s">
        <v>715</v>
      </c>
      <c r="B1" s="1671"/>
      <c r="C1" s="1671"/>
      <c r="D1" s="1671"/>
      <c r="E1" s="1671"/>
      <c r="F1" s="1671"/>
      <c r="G1" s="1671"/>
      <c r="H1" s="1671"/>
    </row>
    <row r="2" spans="1:17" s="101" customFormat="1" ht="27.75" customHeight="1" x14ac:dyDescent="0.2">
      <c r="A2" s="1670"/>
      <c r="B2" s="1670"/>
      <c r="C2" s="1670"/>
      <c r="D2" s="1670"/>
      <c r="E2" s="1670"/>
      <c r="F2" s="1670"/>
      <c r="G2" s="1670"/>
      <c r="H2" s="1670"/>
      <c r="I2" s="201"/>
      <c r="J2" s="201"/>
    </row>
    <row r="3" spans="1:17" ht="15" customHeight="1" x14ac:dyDescent="0.2">
      <c r="F3" s="146" t="s">
        <v>58</v>
      </c>
    </row>
    <row r="4" spans="1:17" ht="38.25" x14ac:dyDescent="0.2">
      <c r="A4" s="4" t="s">
        <v>22</v>
      </c>
      <c r="B4" s="117" t="s">
        <v>65</v>
      </c>
      <c r="C4" s="1115" t="s">
        <v>66</v>
      </c>
      <c r="D4" s="1115" t="s">
        <v>979</v>
      </c>
      <c r="E4" s="229" t="s">
        <v>980</v>
      </c>
      <c r="F4" s="102" t="s">
        <v>347</v>
      </c>
      <c r="I4"/>
      <c r="J4"/>
      <c r="K4"/>
      <c r="L4"/>
      <c r="M4"/>
      <c r="N4"/>
      <c r="O4"/>
      <c r="P4"/>
      <c r="Q4"/>
    </row>
    <row r="5" spans="1:17" ht="18.75" customHeight="1" x14ac:dyDescent="0.2">
      <c r="A5" s="355" t="s">
        <v>23</v>
      </c>
      <c r="B5" s="387">
        <f>T_06b!C5/T_06b!$B5*100000</f>
        <v>22.727272727272727</v>
      </c>
      <c r="C5" s="388">
        <f>T_06b!D5/T_06b!$B5*100000</f>
        <v>25.349650349650354</v>
      </c>
      <c r="D5" s="388">
        <f>T_06b!E5/T_06b!$B5*100000</f>
        <v>63.811188811188806</v>
      </c>
      <c r="E5" s="388">
        <f>SUM(T_06b!F5:V5)/T_06b!$B5*100000</f>
        <v>147.72727272727272</v>
      </c>
      <c r="F5" s="389">
        <f>SUM(T_06b!C5:V5)/T_06b!$B5*100000</f>
        <v>259.61538461538458</v>
      </c>
      <c r="I5"/>
      <c r="J5"/>
      <c r="K5"/>
      <c r="L5"/>
      <c r="M5"/>
      <c r="N5"/>
      <c r="O5"/>
      <c r="P5"/>
      <c r="Q5"/>
    </row>
    <row r="6" spans="1:17" ht="13.5" customHeight="1" x14ac:dyDescent="0.2">
      <c r="A6" s="5" t="s">
        <v>24</v>
      </c>
      <c r="B6" s="390">
        <f>T_06b!C6/T_06b!$B6*100000</f>
        <v>69.518716577540104</v>
      </c>
      <c r="C6" s="391">
        <f>T_06b!D6/T_06b!$B6*100000</f>
        <v>9.931245225362872</v>
      </c>
      <c r="D6" s="391">
        <f>T_06b!E6/T_06b!$B6*100000</f>
        <v>21.772345301757067</v>
      </c>
      <c r="E6" s="391">
        <f>SUM(T_06b!F6:V6)/T_06b!$B6*100000</f>
        <v>61.11535523300229</v>
      </c>
      <c r="F6" s="89">
        <f>SUM(T_06b!C6:V6)/T_06b!$B6*100000</f>
        <v>162.33766233766235</v>
      </c>
      <c r="I6"/>
      <c r="J6"/>
      <c r="K6"/>
      <c r="L6"/>
      <c r="M6"/>
      <c r="N6"/>
      <c r="O6"/>
      <c r="P6"/>
      <c r="Q6"/>
    </row>
    <row r="7" spans="1:17" ht="13.5" customHeight="1" x14ac:dyDescent="0.2">
      <c r="A7" s="355" t="s">
        <v>25</v>
      </c>
      <c r="B7" s="387">
        <f>T_06b!C7/T_06b!$B7*100000</f>
        <v>55.899552803577578</v>
      </c>
      <c r="C7" s="388">
        <f>T_06b!D7/T_06b!$B7*100000</f>
        <v>17.199862401100791</v>
      </c>
      <c r="D7" s="388">
        <f>T_06b!E7/T_06b!$B7*100000</f>
        <v>66.219470244238053</v>
      </c>
      <c r="E7" s="388">
        <f>SUM(T_06b!F7:V7)/T_06b!$B7*100000</f>
        <v>98.039215686274503</v>
      </c>
      <c r="F7" s="389">
        <f>SUM(T_06b!C7:V7)/T_06b!$B7*100000</f>
        <v>237.35810113519091</v>
      </c>
      <c r="I7"/>
      <c r="J7"/>
      <c r="K7"/>
      <c r="L7"/>
      <c r="M7"/>
      <c r="N7"/>
      <c r="O7"/>
      <c r="P7"/>
      <c r="Q7"/>
    </row>
    <row r="8" spans="1:17" ht="13.5" customHeight="1" x14ac:dyDescent="0.2">
      <c r="A8" s="5" t="s">
        <v>26</v>
      </c>
      <c r="B8" s="390">
        <f>T_06b!C8/T_06b!$B8*100000</f>
        <v>88.699458587720315</v>
      </c>
      <c r="C8" s="391">
        <f>T_06b!D8/T_06b!$B8*100000</f>
        <v>25.342702453634374</v>
      </c>
      <c r="D8" s="391">
        <f>T_06b!E8/T_06b!$B8*100000</f>
        <v>32.254348577352836</v>
      </c>
      <c r="E8" s="391">
        <f>SUM(T_06b!F8:V8)/T_06b!$B8*100000</f>
        <v>203.89356064969473</v>
      </c>
      <c r="F8" s="89">
        <f>SUM(T_06b!C8:V8)/T_06b!$B8*100000</f>
        <v>350.19007026840228</v>
      </c>
      <c r="I8"/>
      <c r="J8"/>
      <c r="K8"/>
      <c r="L8"/>
      <c r="M8"/>
      <c r="N8"/>
      <c r="O8"/>
      <c r="P8"/>
      <c r="Q8"/>
    </row>
    <row r="9" spans="1:17" ht="13.5" customHeight="1" x14ac:dyDescent="0.2">
      <c r="A9" s="355" t="s">
        <v>27</v>
      </c>
      <c r="B9" s="387">
        <f>T_06b!C9/T_06b!$B9*100000</f>
        <v>23.323615160349856</v>
      </c>
      <c r="C9" s="388">
        <f>T_06b!D9/T_06b!$B9*100000</f>
        <v>17.492711370262391</v>
      </c>
      <c r="D9" s="388">
        <f>T_06b!E9/T_06b!$B9*100000</f>
        <v>79.689018464528672</v>
      </c>
      <c r="E9" s="388">
        <f>SUM(T_06b!F9:V9)/T_06b!$B9*100000</f>
        <v>87.463556851311949</v>
      </c>
      <c r="F9" s="389">
        <f>SUM(T_06b!C9:V9)/T_06b!$B9*100000</f>
        <v>207.96890184645287</v>
      </c>
      <c r="I9"/>
      <c r="J9"/>
      <c r="K9"/>
      <c r="L9"/>
      <c r="M9"/>
      <c r="N9"/>
      <c r="O9"/>
      <c r="P9"/>
      <c r="Q9"/>
    </row>
    <row r="10" spans="1:17" ht="13.5" customHeight="1" x14ac:dyDescent="0.2">
      <c r="A10" s="5" t="s">
        <v>28</v>
      </c>
      <c r="B10" s="390">
        <f>T_06b!C10/T_06b!$B10*100000</f>
        <v>60.991957104557642</v>
      </c>
      <c r="C10" s="391">
        <f>T_06b!D10/T_06b!$B10*100000</f>
        <v>20.107238605898122</v>
      </c>
      <c r="D10" s="391">
        <f>T_06b!E10/T_06b!$B10*100000</f>
        <v>30.160857908847188</v>
      </c>
      <c r="E10" s="391">
        <f>SUM(T_06b!F10:V10)/T_06b!$B10*100000</f>
        <v>109.91957104557642</v>
      </c>
      <c r="F10" s="89">
        <f>SUM(T_06b!C10:V10)/T_06b!$B10*100000</f>
        <v>221.17962466487936</v>
      </c>
      <c r="I10"/>
      <c r="J10"/>
      <c r="K10"/>
      <c r="L10"/>
      <c r="M10"/>
      <c r="N10"/>
      <c r="O10"/>
      <c r="P10"/>
      <c r="Q10"/>
    </row>
    <row r="11" spans="1:17" ht="13.5" customHeight="1" x14ac:dyDescent="0.2">
      <c r="A11" s="355" t="s">
        <v>29</v>
      </c>
      <c r="B11" s="387">
        <f>T_06b!C11/T_06b!$B11*100000</f>
        <v>22.863290969000069</v>
      </c>
      <c r="C11" s="388">
        <f>T_06b!D11/T_06b!$B11*100000</f>
        <v>30.26023804720597</v>
      </c>
      <c r="D11" s="388">
        <f>T_06b!E11/T_06b!$B11*100000</f>
        <v>94.815412547912047</v>
      </c>
      <c r="E11" s="388">
        <f>SUM(T_06b!F11:V11)/T_06b!$B11*100000</f>
        <v>131.80014793894156</v>
      </c>
      <c r="F11" s="389">
        <f>SUM(T_06b!C11:V11)/T_06b!$B11*100000</f>
        <v>279.73908950305963</v>
      </c>
      <c r="I11"/>
      <c r="J11"/>
      <c r="K11"/>
      <c r="L11"/>
      <c r="M11"/>
      <c r="N11"/>
      <c r="O11"/>
      <c r="P11"/>
      <c r="Q11"/>
    </row>
    <row r="12" spans="1:17" ht="13.5" customHeight="1" x14ac:dyDescent="0.2">
      <c r="A12" s="5" t="s">
        <v>30</v>
      </c>
      <c r="B12" s="390">
        <f>T_06b!C12/T_06b!$B12*100000</f>
        <v>50.024602263408234</v>
      </c>
      <c r="C12" s="391">
        <f>T_06b!D12/T_06b!$B12*100000</f>
        <v>12.301131704116777</v>
      </c>
      <c r="D12" s="391">
        <f>T_06b!E12/T_06b!$B12*100000</f>
        <v>36.903395112350339</v>
      </c>
      <c r="E12" s="391">
        <f>SUM(T_06b!F12:V12)/T_06b!$B12*100000</f>
        <v>77.087092012465149</v>
      </c>
      <c r="F12" s="89">
        <f>SUM(T_06b!C12:V12)/T_06b!$B12*100000</f>
        <v>176.3162210923405</v>
      </c>
      <c r="I12"/>
      <c r="J12"/>
      <c r="K12"/>
      <c r="L12"/>
      <c r="M12"/>
      <c r="N12"/>
      <c r="O12"/>
      <c r="P12"/>
      <c r="Q12"/>
    </row>
    <row r="13" spans="1:17" ht="13.5" customHeight="1" x14ac:dyDescent="0.2">
      <c r="A13" s="355" t="s">
        <v>31</v>
      </c>
      <c r="B13" s="387">
        <f>T_06b!C13/T_06b!$B13*100000</f>
        <v>35.14288356607787</v>
      </c>
      <c r="C13" s="388">
        <f>T_06b!D13/T_06b!$B13*100000</f>
        <v>24.045130861000647</v>
      </c>
      <c r="D13" s="388">
        <f>T_06b!E13/T_06b!$B13*100000</f>
        <v>39.766947193193374</v>
      </c>
      <c r="E13" s="388">
        <f>SUM(T_06b!F13:V13)/T_06b!$B13*100000</f>
        <v>95.255710718579493</v>
      </c>
      <c r="F13" s="389">
        <f>SUM(T_06b!C13:V13)/T_06b!$B13*100000</f>
        <v>194.2106723388514</v>
      </c>
      <c r="I13"/>
      <c r="J13"/>
      <c r="K13"/>
      <c r="L13"/>
      <c r="M13"/>
      <c r="N13"/>
      <c r="O13"/>
      <c r="P13"/>
      <c r="Q13"/>
    </row>
    <row r="14" spans="1:17" ht="13.5" customHeight="1" x14ac:dyDescent="0.2">
      <c r="A14" s="5" t="s">
        <v>32</v>
      </c>
      <c r="B14" s="390">
        <f>T_06b!C14/T_06b!$B14*100000</f>
        <v>52.460892789011822</v>
      </c>
      <c r="C14" s="391">
        <f>T_06b!D14/T_06b!$B14*100000</f>
        <v>11.446012972148036</v>
      </c>
      <c r="D14" s="391">
        <f>T_06b!E14/T_06b!$B14*100000</f>
        <v>65.814574589851205</v>
      </c>
      <c r="E14" s="391">
        <f>SUM(T_06b!F14:V14)/T_06b!$B14*100000</f>
        <v>77.260587561999245</v>
      </c>
      <c r="F14" s="89">
        <f>SUM(T_06b!C14:V14)/T_06b!$B14*100000</f>
        <v>206.9820679130103</v>
      </c>
      <c r="I14"/>
      <c r="J14"/>
      <c r="K14"/>
      <c r="L14"/>
      <c r="M14"/>
      <c r="N14"/>
      <c r="O14"/>
      <c r="P14"/>
      <c r="Q14"/>
    </row>
    <row r="15" spans="1:17" ht="13.5" customHeight="1" x14ac:dyDescent="0.2">
      <c r="A15" s="355" t="s">
        <v>33</v>
      </c>
      <c r="B15" s="387">
        <f>T_06b!C15/T_06b!$B15*100000</f>
        <v>30.603630223723087</v>
      </c>
      <c r="C15" s="388">
        <f>T_06b!D15/T_06b!$B15*100000</f>
        <v>14.774166314900802</v>
      </c>
      <c r="D15" s="388">
        <f>T_06b!E15/T_06b!$B15*100000</f>
        <v>29.548332629801603</v>
      </c>
      <c r="E15" s="388">
        <f>SUM(T_06b!F15:V15)/T_06b!$B15*100000</f>
        <v>70.704938792739554</v>
      </c>
      <c r="F15" s="389">
        <f>SUM(T_06b!C15:V15)/T_06b!$B15*100000</f>
        <v>145.63106796116506</v>
      </c>
      <c r="I15"/>
      <c r="J15"/>
      <c r="K15"/>
      <c r="L15"/>
      <c r="M15"/>
      <c r="N15"/>
      <c r="O15"/>
      <c r="P15"/>
      <c r="Q15"/>
    </row>
    <row r="16" spans="1:17" ht="13.5" customHeight="1" x14ac:dyDescent="0.2">
      <c r="A16" s="5" t="s">
        <v>137</v>
      </c>
      <c r="B16" s="390">
        <f>T_06b!C16/T_06b!$B16*100000</f>
        <v>26.499873346193567</v>
      </c>
      <c r="C16" s="391">
        <f>T_06b!D16/T_06b!$B16*100000</f>
        <v>32.735137662944993</v>
      </c>
      <c r="D16" s="391">
        <f>T_06b!E16/T_06b!$B16*100000</f>
        <v>99.56937705812436</v>
      </c>
      <c r="E16" s="391">
        <f>SUM(T_06b!F16:V16)/T_06b!$B16*100000</f>
        <v>123.92587829543461</v>
      </c>
      <c r="F16" s="89">
        <f>SUM(T_06b!C16:V16)/T_06b!$B16*100000</f>
        <v>282.73026636269753</v>
      </c>
      <c r="I16"/>
      <c r="J16"/>
      <c r="K16"/>
      <c r="L16"/>
      <c r="M16"/>
      <c r="N16"/>
      <c r="O16"/>
      <c r="P16"/>
      <c r="Q16"/>
    </row>
    <row r="17" spans="1:17" ht="13.5" customHeight="1" x14ac:dyDescent="0.2">
      <c r="A17" s="355" t="s">
        <v>34</v>
      </c>
      <c r="B17" s="387">
        <f>T_06b!C17/T_06b!$B17*100000</f>
        <v>58.077811777930435</v>
      </c>
      <c r="C17" s="388">
        <f>T_06b!D17/T_06b!$B17*100000</f>
        <v>19.983763192406172</v>
      </c>
      <c r="D17" s="388">
        <f>T_06b!E17/T_06b!$B17*100000</f>
        <v>76.812589770811215</v>
      </c>
      <c r="E17" s="388">
        <f>SUM(T_06b!F17:V17)/T_06b!$B17*100000</f>
        <v>93.673889964403912</v>
      </c>
      <c r="F17" s="389">
        <f>SUM(T_06b!C17:V17)/T_06b!$B17*100000</f>
        <v>248.54805470555172</v>
      </c>
      <c r="I17"/>
      <c r="J17"/>
      <c r="K17"/>
      <c r="L17"/>
      <c r="M17"/>
      <c r="N17"/>
      <c r="O17"/>
      <c r="P17"/>
      <c r="Q17"/>
    </row>
    <row r="18" spans="1:17" ht="13.5" customHeight="1" x14ac:dyDescent="0.2">
      <c r="A18" s="5" t="s">
        <v>35</v>
      </c>
      <c r="B18" s="390">
        <f>T_06b!C18/T_06b!$B18*100000</f>
        <v>45.77151934519803</v>
      </c>
      <c r="C18" s="391">
        <f>T_06b!D18/T_06b!$B18*100000</f>
        <v>22.616515441156675</v>
      </c>
      <c r="D18" s="391">
        <f>T_06b!E18/T_06b!$B18*100000</f>
        <v>63.541638620392561</v>
      </c>
      <c r="E18" s="391">
        <f>SUM(T_06b!F18:V18)/T_06b!$B18*100000</f>
        <v>90.466061764626701</v>
      </c>
      <c r="F18" s="89">
        <f>SUM(T_06b!C18:V18)/T_06b!$B18*100000</f>
        <v>222.39573517137396</v>
      </c>
      <c r="I18"/>
      <c r="J18"/>
      <c r="K18"/>
      <c r="L18"/>
      <c r="M18"/>
      <c r="N18"/>
      <c r="O18"/>
      <c r="P18"/>
      <c r="Q18"/>
    </row>
    <row r="19" spans="1:17" ht="13.5" customHeight="1" x14ac:dyDescent="0.2">
      <c r="A19" s="355" t="s">
        <v>36</v>
      </c>
      <c r="B19" s="387">
        <f>T_06b!C19/T_06b!$B19*100000</f>
        <v>32.044056552123919</v>
      </c>
      <c r="C19" s="388">
        <f>T_06b!D19/T_06b!$B19*100000</f>
        <v>39.773276222987988</v>
      </c>
      <c r="D19" s="388">
        <f>T_06b!E19/T_06b!$B19*100000</f>
        <v>65.859392612154195</v>
      </c>
      <c r="E19" s="388">
        <f>SUM(T_06b!F19:V19)/T_06b!$B19*100000</f>
        <v>174.22949341406076</v>
      </c>
      <c r="F19" s="389">
        <f>SUM(T_06b!C19:V19)/T_06b!$B19*100000</f>
        <v>311.90621880132682</v>
      </c>
      <c r="I19"/>
      <c r="J19"/>
      <c r="K19"/>
      <c r="L19"/>
      <c r="M19"/>
      <c r="N19"/>
      <c r="O19"/>
      <c r="P19"/>
      <c r="Q19"/>
    </row>
    <row r="20" spans="1:17" ht="13.5" customHeight="1" x14ac:dyDescent="0.2">
      <c r="A20" s="5" t="s">
        <v>37</v>
      </c>
      <c r="B20" s="390">
        <f>T_06b!C20/T_06b!$B20*100000</f>
        <v>100.34866910451569</v>
      </c>
      <c r="C20" s="391">
        <f>T_06b!D20/T_06b!$B20*100000</f>
        <v>21.68551747597585</v>
      </c>
      <c r="D20" s="391">
        <f>T_06b!E20/T_06b!$B20*100000</f>
        <v>39.118972701760349</v>
      </c>
      <c r="E20" s="391">
        <f>SUM(T_06b!F20:V20)/T_06b!$B20*100000</f>
        <v>106.72676247980272</v>
      </c>
      <c r="F20" s="89">
        <f>SUM(T_06b!C20:V20)/T_06b!$B20*100000</f>
        <v>267.87992176205461</v>
      </c>
      <c r="I20"/>
      <c r="J20"/>
      <c r="K20"/>
      <c r="L20"/>
      <c r="M20"/>
      <c r="N20"/>
      <c r="O20"/>
      <c r="P20"/>
      <c r="Q20"/>
    </row>
    <row r="21" spans="1:17" ht="13.5" customHeight="1" x14ac:dyDescent="0.2">
      <c r="A21" s="355" t="s">
        <v>38</v>
      </c>
      <c r="B21" s="387">
        <f>T_06b!C21/T_06b!$B21*100000</f>
        <v>38.090401218892843</v>
      </c>
      <c r="C21" s="388">
        <f>T_06b!D21/T_06b!$B21*100000</f>
        <v>36.820721178263078</v>
      </c>
      <c r="D21" s="388">
        <f>T_06b!E21/T_06b!$B21*100000</f>
        <v>66.023362112747591</v>
      </c>
      <c r="E21" s="388">
        <f>SUM(T_06b!F21:V21)/T_06b!$B21*100000</f>
        <v>172.67648552564754</v>
      </c>
      <c r="F21" s="389">
        <f>SUM(T_06b!C21:V21)/T_06b!$B21*100000</f>
        <v>313.61097003555102</v>
      </c>
      <c r="I21"/>
      <c r="J21"/>
      <c r="K21"/>
      <c r="L21"/>
      <c r="M21"/>
      <c r="N21"/>
      <c r="O21"/>
      <c r="P21"/>
      <c r="Q21"/>
    </row>
    <row r="22" spans="1:17" ht="13.5" customHeight="1" x14ac:dyDescent="0.2">
      <c r="A22" s="5" t="s">
        <v>39</v>
      </c>
      <c r="B22" s="390">
        <f>T_06b!C22/T_06b!$B22*100000</f>
        <v>46.620046620046622</v>
      </c>
      <c r="C22" s="391">
        <f>T_06b!D22/T_06b!$B22*100000</f>
        <v>19.980019980019978</v>
      </c>
      <c r="D22" s="391">
        <f>T_06b!E22/T_06b!$B22*100000</f>
        <v>49.950049950049952</v>
      </c>
      <c r="E22" s="391">
        <f>SUM(T_06b!F22:V22)/T_06b!$B22*100000</f>
        <v>92.130092130092123</v>
      </c>
      <c r="F22" s="89">
        <f>SUM(T_06b!C22:V22)/T_06b!$B22*100000</f>
        <v>208.68020868020869</v>
      </c>
      <c r="I22"/>
      <c r="J22"/>
      <c r="K22"/>
      <c r="L22"/>
      <c r="M22"/>
      <c r="N22"/>
      <c r="O22"/>
      <c r="P22"/>
      <c r="Q22"/>
    </row>
    <row r="23" spans="1:17" ht="13.5" customHeight="1" x14ac:dyDescent="0.2">
      <c r="A23" s="355" t="s">
        <v>40</v>
      </c>
      <c r="B23" s="387">
        <f>T_06b!C23/T_06b!$B23*100000</f>
        <v>55.33514303612445</v>
      </c>
      <c r="C23" s="388">
        <f>T_06b!D23/T_06b!$B23*100000</f>
        <v>6.2643558154103154</v>
      </c>
      <c r="D23" s="388">
        <f>T_06b!E23/T_06b!$B23*100000</f>
        <v>32.365838379619966</v>
      </c>
      <c r="E23" s="388">
        <f>SUM(T_06b!F23:V23)/T_06b!$B23*100000</f>
        <v>62.643558154103154</v>
      </c>
      <c r="F23" s="389">
        <f>SUM(T_06b!C23:V23)/T_06b!$B23*100000</f>
        <v>156.60889538525788</v>
      </c>
      <c r="I23"/>
      <c r="J23"/>
      <c r="K23"/>
      <c r="L23"/>
      <c r="M23"/>
      <c r="N23"/>
      <c r="O23"/>
      <c r="P23"/>
      <c r="Q23"/>
    </row>
    <row r="24" spans="1:17" ht="13.5" customHeight="1" x14ac:dyDescent="0.2">
      <c r="A24" s="5" t="s">
        <v>393</v>
      </c>
      <c r="B24" s="390">
        <f>T_06b!C24/T_06b!$B24*100000</f>
        <v>59.369202226345081</v>
      </c>
      <c r="C24" s="391">
        <f>T_06b!D24/T_06b!$B24*100000</f>
        <v>18.552875695732837</v>
      </c>
      <c r="D24" s="391">
        <f>T_06b!E24/T_06b!$B24*100000</f>
        <v>25.974025974025974</v>
      </c>
      <c r="E24" s="391">
        <f>SUM(T_06b!F24:V24)/T_06b!$B24*100000</f>
        <v>77.922077922077918</v>
      </c>
      <c r="F24" s="89">
        <f>SUM(T_06b!C24:V24)/T_06b!$B24*100000</f>
        <v>181.81818181818181</v>
      </c>
      <c r="I24"/>
      <c r="J24"/>
      <c r="K24"/>
      <c r="L24"/>
      <c r="M24"/>
      <c r="N24"/>
      <c r="O24"/>
      <c r="P24"/>
      <c r="Q24"/>
    </row>
    <row r="25" spans="1:17" ht="13.5" customHeight="1" x14ac:dyDescent="0.2">
      <c r="A25" s="355" t="s">
        <v>41</v>
      </c>
      <c r="B25" s="387">
        <f>T_06b!C25/T_06b!$B25*100000</f>
        <v>33.139406436409161</v>
      </c>
      <c r="C25" s="388">
        <f>T_06b!D25/T_06b!$B25*100000</f>
        <v>26.51152514912733</v>
      </c>
      <c r="D25" s="388">
        <f>T_06b!E25/T_06b!$B25*100000</f>
        <v>50.077325281684949</v>
      </c>
      <c r="E25" s="388">
        <f>SUM(T_06b!F25:V25)/T_06b!$B25*100000</f>
        <v>118.56543191693055</v>
      </c>
      <c r="F25" s="389">
        <f>SUM(T_06b!C25:V25)/T_06b!$B25*100000</f>
        <v>228.29368878415201</v>
      </c>
      <c r="I25"/>
      <c r="J25"/>
      <c r="K25"/>
      <c r="L25"/>
      <c r="M25"/>
      <c r="N25"/>
      <c r="O25"/>
      <c r="P25"/>
      <c r="Q25"/>
    </row>
    <row r="26" spans="1:17" ht="13.5" customHeight="1" x14ac:dyDescent="0.2">
      <c r="A26" s="5" t="s">
        <v>42</v>
      </c>
      <c r="B26" s="390">
        <f>T_06b!C26/T_06b!$B26*100000</f>
        <v>37.651488410401221</v>
      </c>
      <c r="C26" s="391">
        <f>T_06b!D26/T_06b!$B26*100000</f>
        <v>25.885398282150838</v>
      </c>
      <c r="D26" s="391">
        <f>T_06b!E26/T_06b!$B26*100000</f>
        <v>37.357336157194965</v>
      </c>
      <c r="E26" s="391">
        <f>SUM(T_06b!F26:V26)/T_06b!$B26*100000</f>
        <v>97.952700317684446</v>
      </c>
      <c r="F26" s="89">
        <f>SUM(T_06b!C26:V26)/T_06b!$B26*100000</f>
        <v>198.84692316743147</v>
      </c>
      <c r="I26"/>
      <c r="J26"/>
      <c r="K26"/>
      <c r="L26"/>
      <c r="M26"/>
      <c r="N26"/>
      <c r="O26"/>
      <c r="P26"/>
      <c r="Q26"/>
    </row>
    <row r="27" spans="1:17" ht="13.5" customHeight="1" x14ac:dyDescent="0.2">
      <c r="A27" s="355" t="s">
        <v>43</v>
      </c>
      <c r="B27" s="387">
        <f>T_06b!C27/T_06b!$B27*100000</f>
        <v>9.0909090909090899</v>
      </c>
      <c r="C27" s="388">
        <f>T_06b!D27/T_06b!$B27*100000</f>
        <v>27.272727272727273</v>
      </c>
      <c r="D27" s="388">
        <f>T_06b!E27/T_06b!$B27*100000</f>
        <v>4.545454545454545</v>
      </c>
      <c r="E27" s="388">
        <f>SUM(T_06b!F27:V27)/T_06b!$B27*100000</f>
        <v>59.090909090909093</v>
      </c>
      <c r="F27" s="389">
        <f>SUM(T_06b!C27:V27)/T_06b!$B27*100000</f>
        <v>100</v>
      </c>
      <c r="I27"/>
      <c r="J27"/>
      <c r="K27"/>
      <c r="L27"/>
      <c r="M27"/>
      <c r="N27"/>
      <c r="O27"/>
      <c r="P27"/>
      <c r="Q27"/>
    </row>
    <row r="28" spans="1:17" ht="13.5" customHeight="1" x14ac:dyDescent="0.2">
      <c r="A28" s="5" t="s">
        <v>44</v>
      </c>
      <c r="B28" s="390">
        <f>T_06b!C28/T_06b!$B28*100000</f>
        <v>78.093977498345467</v>
      </c>
      <c r="C28" s="391">
        <f>T_06b!D28/T_06b!$B28*100000</f>
        <v>19.192587690271342</v>
      </c>
      <c r="D28" s="391">
        <f>T_06b!E28/T_06b!$B28*100000</f>
        <v>52.283256121773654</v>
      </c>
      <c r="E28" s="391">
        <f>SUM(T_06b!F28:V28)/T_06b!$B28*100000</f>
        <v>79.417604235605552</v>
      </c>
      <c r="F28" s="89">
        <f>SUM(T_06b!C28:V28)/T_06b!$B28*100000</f>
        <v>228.98742554599605</v>
      </c>
      <c r="I28"/>
      <c r="J28"/>
      <c r="K28"/>
      <c r="L28"/>
      <c r="M28"/>
      <c r="N28"/>
      <c r="O28"/>
      <c r="P28"/>
      <c r="Q28"/>
    </row>
    <row r="29" spans="1:17" ht="13.5" customHeight="1" x14ac:dyDescent="0.2">
      <c r="A29" s="355" t="s">
        <v>45</v>
      </c>
      <c r="B29" s="387">
        <f>T_06b!C29/T_06b!$B29*100000</f>
        <v>42.979132500141382</v>
      </c>
      <c r="C29" s="388">
        <f>T_06b!D29/T_06b!$B29*100000</f>
        <v>25.44817055929424</v>
      </c>
      <c r="D29" s="388">
        <f>T_06b!E29/T_06b!$B29*100000</f>
        <v>60.510094440988517</v>
      </c>
      <c r="E29" s="388">
        <f>SUM(T_06b!F29:V29)/T_06b!$B29*100000</f>
        <v>166.26138098738903</v>
      </c>
      <c r="F29" s="389">
        <f>SUM(T_06b!C29:V29)/T_06b!$B29*100000</f>
        <v>295.19877848781312</v>
      </c>
      <c r="I29"/>
      <c r="J29"/>
      <c r="K29"/>
      <c r="L29"/>
      <c r="M29"/>
      <c r="N29"/>
      <c r="O29"/>
      <c r="P29"/>
      <c r="Q29"/>
    </row>
    <row r="30" spans="1:17" ht="13.5" customHeight="1" x14ac:dyDescent="0.2">
      <c r="A30" s="30" t="s">
        <v>46</v>
      </c>
      <c r="B30" s="390">
        <f>T_06b!C30/T_06b!$B30*100000</f>
        <v>79.986089375760741</v>
      </c>
      <c r="C30" s="391">
        <f>T_06b!D30/T_06b!$B30*100000</f>
        <v>19.996522343940185</v>
      </c>
      <c r="D30" s="391">
        <f>T_06b!E30/T_06b!$B30*100000</f>
        <v>73.030777256129369</v>
      </c>
      <c r="E30" s="391">
        <f>SUM(T_06b!F30:V30)/T_06b!$B30*100000</f>
        <v>101.72143974960878</v>
      </c>
      <c r="F30" s="89">
        <f>SUM(T_06b!C30:V30)/T_06b!$B30*100000</f>
        <v>274.73482872543906</v>
      </c>
      <c r="I30"/>
      <c r="J30"/>
      <c r="K30"/>
      <c r="L30"/>
      <c r="M30"/>
      <c r="N30"/>
      <c r="O30"/>
      <c r="P30"/>
      <c r="Q30"/>
    </row>
    <row r="31" spans="1:17" ht="13.5" customHeight="1" x14ac:dyDescent="0.2">
      <c r="A31" s="355" t="s">
        <v>47</v>
      </c>
      <c r="B31" s="387">
        <f>T_06b!C31/T_06b!$B31*100000</f>
        <v>51.99306759098787</v>
      </c>
      <c r="C31" s="388">
        <f>T_06b!D31/T_06b!$B31*100000</f>
        <v>25.996533795493935</v>
      </c>
      <c r="D31" s="388">
        <f>T_06b!E31/T_06b!$B31*100000</f>
        <v>8.6655112651646444</v>
      </c>
      <c r="E31" s="388">
        <f>SUM(T_06b!F31:V31)/T_06b!$B31*100000</f>
        <v>77.989601386481795</v>
      </c>
      <c r="F31" s="389">
        <f>SUM(T_06b!C31:V31)/T_06b!$B31*100000</f>
        <v>164.64471403812826</v>
      </c>
      <c r="I31"/>
      <c r="J31"/>
      <c r="K31"/>
      <c r="L31"/>
      <c r="M31"/>
      <c r="N31"/>
      <c r="O31"/>
      <c r="P31"/>
      <c r="Q31"/>
    </row>
    <row r="32" spans="1:17" ht="13.5" customHeight="1" x14ac:dyDescent="0.2">
      <c r="A32" s="5" t="s">
        <v>48</v>
      </c>
      <c r="B32" s="390">
        <f>T_06b!C32/T_06b!$B32*100000</f>
        <v>61.235356762513312</v>
      </c>
      <c r="C32" s="391">
        <f>T_06b!D32/T_06b!$B32*100000</f>
        <v>12.424565140220091</v>
      </c>
      <c r="D32" s="391">
        <f>T_06b!E32/T_06b!$B32*100000</f>
        <v>47.035853745118921</v>
      </c>
      <c r="E32" s="391">
        <f>SUM(T_06b!F32:V32)/T_06b!$B32*100000</f>
        <v>122.47071352502662</v>
      </c>
      <c r="F32" s="89">
        <f>SUM(T_06b!C32:V32)/T_06b!$B32*100000</f>
        <v>243.16648917287893</v>
      </c>
      <c r="I32"/>
      <c r="J32"/>
      <c r="K32"/>
      <c r="L32"/>
      <c r="M32"/>
      <c r="N32"/>
      <c r="O32"/>
      <c r="P32"/>
      <c r="Q32"/>
    </row>
    <row r="33" spans="1:18" ht="13.5" customHeight="1" x14ac:dyDescent="0.2">
      <c r="A33" s="355" t="s">
        <v>49</v>
      </c>
      <c r="B33" s="387">
        <f>T_06b!C33/T_06b!$B33*100000</f>
        <v>40.858660464531539</v>
      </c>
      <c r="C33" s="388">
        <f>T_06b!D33/T_06b!$B33*100000</f>
        <v>20.429330232265769</v>
      </c>
      <c r="D33" s="388">
        <f>T_06b!E33/T_06b!$B33*100000</f>
        <v>32.37263098343653</v>
      </c>
      <c r="E33" s="388">
        <f>SUM(T_06b!F33:V33)/T_06b!$B33*100000</f>
        <v>90.831945186535506</v>
      </c>
      <c r="F33" s="389">
        <f>SUM(T_06b!C33:V33)/T_06b!$B33*100000</f>
        <v>184.49256686676932</v>
      </c>
      <c r="I33"/>
      <c r="J33"/>
      <c r="K33"/>
      <c r="L33"/>
      <c r="M33"/>
      <c r="N33"/>
      <c r="O33"/>
      <c r="P33"/>
      <c r="Q33"/>
    </row>
    <row r="34" spans="1:18" ht="13.5" customHeight="1" x14ac:dyDescent="0.2">
      <c r="A34" s="5" t="s">
        <v>50</v>
      </c>
      <c r="B34" s="390">
        <f>T_06b!C34/T_06b!$B34*100000</f>
        <v>61.702127659574472</v>
      </c>
      <c r="C34" s="391">
        <f>T_06b!D34/T_06b!$B34*100000</f>
        <v>22.340425531914892</v>
      </c>
      <c r="D34" s="391">
        <f>T_06b!E34/T_06b!$B34*100000</f>
        <v>52.12765957446809</v>
      </c>
      <c r="E34" s="391">
        <f>SUM(T_06b!F34:V34)/T_06b!$B34*100000</f>
        <v>96.808510638297875</v>
      </c>
      <c r="F34" s="89">
        <f>SUM(T_06b!C34:V34)/T_06b!$B34*100000</f>
        <v>232.97872340425533</v>
      </c>
      <c r="I34"/>
      <c r="J34"/>
      <c r="K34"/>
      <c r="L34"/>
      <c r="M34"/>
      <c r="N34"/>
      <c r="O34"/>
      <c r="P34"/>
      <c r="Q34"/>
    </row>
    <row r="35" spans="1:18" ht="13.5" customHeight="1" x14ac:dyDescent="0.2">
      <c r="A35" s="355" t="s">
        <v>51</v>
      </c>
      <c r="B35" s="387">
        <f>T_06b!C35/T_06b!$B35*100000</f>
        <v>31.246512665997098</v>
      </c>
      <c r="C35" s="388">
        <f>T_06b!D35/T_06b!$B35*100000</f>
        <v>22.318937618569358</v>
      </c>
      <c r="D35" s="388">
        <f>T_06b!E35/T_06b!$B35*100000</f>
        <v>46.869768998995646</v>
      </c>
      <c r="E35" s="388">
        <f>SUM(T_06b!F35:V35)/T_06b!$B35*100000</f>
        <v>146.18904140162928</v>
      </c>
      <c r="F35" s="389">
        <f>SUM(T_06b!C35:V35)/T_06b!$B35*100000</f>
        <v>246.62426068519139</v>
      </c>
      <c r="I35"/>
      <c r="J35"/>
      <c r="K35"/>
      <c r="L35"/>
      <c r="M35"/>
      <c r="N35"/>
      <c r="O35"/>
      <c r="P35"/>
      <c r="Q35"/>
    </row>
    <row r="36" spans="1:18" ht="13.5" customHeight="1" x14ac:dyDescent="0.2">
      <c r="A36" s="5" t="s">
        <v>52</v>
      </c>
      <c r="B36" s="390">
        <f>T_06b!C36/T_06b!$B36*100000</f>
        <v>52.9479896310187</v>
      </c>
      <c r="C36" s="391">
        <f>T_06b!D36/T_06b!$B36*100000</f>
        <v>14.891622083724009</v>
      </c>
      <c r="D36" s="391">
        <f>T_06b!E36/T_06b!$B36*100000</f>
        <v>96.519772764877843</v>
      </c>
      <c r="E36" s="391">
        <f>SUM(T_06b!F36:V36)/T_06b!$B36*100000</f>
        <v>105.34443770338095</v>
      </c>
      <c r="F36" s="89">
        <f>SUM(T_06b!C36:V36)/T_06b!$B36*100000</f>
        <v>269.70382218300148</v>
      </c>
      <c r="I36"/>
      <c r="J36"/>
      <c r="K36"/>
      <c r="L36"/>
      <c r="M36"/>
      <c r="N36"/>
      <c r="O36"/>
      <c r="P36"/>
      <c r="Q36"/>
    </row>
    <row r="37" spans="1:18" ht="13.5" customHeight="1" x14ac:dyDescent="0.2">
      <c r="A37" s="355"/>
      <c r="B37" s="387"/>
      <c r="C37" s="388"/>
      <c r="D37" s="388"/>
      <c r="E37" s="388"/>
      <c r="F37" s="389"/>
      <c r="I37"/>
      <c r="J37"/>
      <c r="K37"/>
      <c r="L37"/>
      <c r="M37"/>
      <c r="N37"/>
      <c r="O37"/>
      <c r="P37"/>
      <c r="Q37"/>
    </row>
    <row r="38" spans="1:18" s="101" customFormat="1" ht="30" customHeight="1" x14ac:dyDescent="0.2">
      <c r="A38" s="194" t="s">
        <v>159</v>
      </c>
      <c r="B38" s="392">
        <f>T_06b!C37/T_06b!$B37*100000</f>
        <v>46.545494764783953</v>
      </c>
      <c r="C38" s="393">
        <f>T_06b!D37/T_06b!$B37*100000</f>
        <v>23.908715528683086</v>
      </c>
      <c r="D38" s="393">
        <f>T_06b!E37/T_06b!$B37*100000</f>
        <v>57.439905618640317</v>
      </c>
      <c r="E38" s="393">
        <f>SUM(T_06b!F37:V37)/T_06b!$B37*100000</f>
        <v>114.10558914614363</v>
      </c>
      <c r="F38" s="233">
        <f>SUM(T_06b!C37:V37)/T_06b!$B37*100000</f>
        <v>241.99970505825101</v>
      </c>
      <c r="I38"/>
      <c r="J38"/>
      <c r="K38"/>
      <c r="L38"/>
      <c r="M38"/>
      <c r="N38"/>
      <c r="O38"/>
      <c r="P38"/>
      <c r="Q38"/>
    </row>
    <row r="39" spans="1:18" x14ac:dyDescent="0.2">
      <c r="J39"/>
      <c r="K39"/>
      <c r="L39"/>
      <c r="M39"/>
      <c r="N39"/>
      <c r="O39"/>
      <c r="P39"/>
      <c r="Q39"/>
      <c r="R39"/>
    </row>
    <row r="40" spans="1:18" x14ac:dyDescent="0.2">
      <c r="A40" s="2" t="s">
        <v>162</v>
      </c>
    </row>
    <row r="41" spans="1:18" x14ac:dyDescent="0.2">
      <c r="A41" s="1" t="s">
        <v>963</v>
      </c>
    </row>
    <row r="42" spans="1:18" x14ac:dyDescent="0.2">
      <c r="A42" s="292"/>
    </row>
    <row r="43" spans="1:18" x14ac:dyDescent="0.2">
      <c r="A43" s="51" t="s">
        <v>136</v>
      </c>
    </row>
  </sheetData>
  <sheetProtection algorithmName="SHA-512" hashValue="BpHEBOeWVp8tuwKJjpWQ+Kv55IKKAa4nvQoKek9KCpUh+vqm/xntLPQXo/zSLh8Y0O5CmKZ/DCsNVQ/HE4SAyw==" saltValue="C+1r7X0z8R5xAQhk4edNuw==" spinCount="100000" sheet="1" objects="1" scenarios="1"/>
  <mergeCells count="2">
    <mergeCell ref="A2:H2"/>
    <mergeCell ref="A1:H1"/>
  </mergeCells>
  <hyperlinks>
    <hyperlink ref="A43" location="Contents!A1" display="Return to contents " xr:uid="{00000000-0004-0000-1F00-000000000000}"/>
  </hyperlinks>
  <pageMargins left="0.70866141732283472" right="0.70866141732283472" top="0.74803149606299213" bottom="0.74803149606299213" header="0.31496062992125984" footer="0.31496062992125984"/>
  <pageSetup paperSize="9" scale="77"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0"/>
  <dimension ref="A2:V37"/>
  <sheetViews>
    <sheetView workbookViewId="0">
      <selection activeCell="F26" sqref="F26"/>
    </sheetView>
  </sheetViews>
  <sheetFormatPr defaultRowHeight="12.75" x14ac:dyDescent="0.2"/>
  <cols>
    <col min="1" max="1" width="20.28515625" bestFit="1" customWidth="1"/>
    <col min="2" max="2" width="11.42578125" bestFit="1" customWidth="1"/>
    <col min="3" max="3" width="14.42578125" bestFit="1" customWidth="1"/>
    <col min="4" max="4" width="18.85546875" bestFit="1" customWidth="1"/>
    <col min="5" max="5" width="28.140625" bestFit="1" customWidth="1"/>
    <col min="6" max="6" width="33.28515625" bestFit="1" customWidth="1"/>
    <col min="7" max="7" width="41.5703125" bestFit="1" customWidth="1"/>
    <col min="8" max="8" width="40.28515625" bestFit="1" customWidth="1"/>
    <col min="9" max="9" width="21.7109375" bestFit="1" customWidth="1"/>
    <col min="10" max="10" width="55.140625" bestFit="1" customWidth="1"/>
    <col min="11" max="11" width="26.28515625" bestFit="1" customWidth="1"/>
    <col min="12" max="12" width="28.7109375" bestFit="1" customWidth="1"/>
    <col min="13" max="13" width="35.140625" bestFit="1" customWidth="1"/>
    <col min="14" max="14" width="28.42578125" bestFit="1" customWidth="1"/>
    <col min="15" max="15" width="36.425781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 min="22" max="22" width="37.7109375" bestFit="1" customWidth="1"/>
  </cols>
  <sheetData>
    <row r="2" spans="1:22" x14ac:dyDescent="0.2">
      <c r="A2" s="1300" t="s">
        <v>4</v>
      </c>
      <c r="B2" t="s">
        <v>603</v>
      </c>
    </row>
    <row r="4" spans="1:22" x14ac:dyDescent="0.2">
      <c r="A4" s="1300" t="s">
        <v>658</v>
      </c>
      <c r="B4" t="s">
        <v>669</v>
      </c>
      <c r="C4" t="s">
        <v>695</v>
      </c>
      <c r="D4" t="s">
        <v>697</v>
      </c>
      <c r="E4" t="s">
        <v>708</v>
      </c>
      <c r="F4" t="s">
        <v>696</v>
      </c>
      <c r="G4" t="s">
        <v>698</v>
      </c>
      <c r="H4" t="s">
        <v>699</v>
      </c>
      <c r="I4" t="s">
        <v>701</v>
      </c>
      <c r="J4" t="s">
        <v>702</v>
      </c>
      <c r="K4" t="s">
        <v>703</v>
      </c>
      <c r="L4" t="s">
        <v>700</v>
      </c>
      <c r="M4" t="s">
        <v>705</v>
      </c>
      <c r="N4" t="s">
        <v>706</v>
      </c>
      <c r="O4" t="s">
        <v>707</v>
      </c>
      <c r="P4" t="s">
        <v>709</v>
      </c>
      <c r="Q4" t="s">
        <v>710</v>
      </c>
      <c r="R4" t="s">
        <v>711</v>
      </c>
      <c r="S4" t="s">
        <v>712</v>
      </c>
      <c r="T4" t="s">
        <v>713</v>
      </c>
      <c r="U4" t="s">
        <v>714</v>
      </c>
      <c r="V4" t="s">
        <v>704</v>
      </c>
    </row>
    <row r="5" spans="1:22" x14ac:dyDescent="0.2">
      <c r="A5" s="1301" t="s">
        <v>23</v>
      </c>
      <c r="B5">
        <v>228800</v>
      </c>
      <c r="C5">
        <v>52</v>
      </c>
      <c r="D5">
        <v>58</v>
      </c>
      <c r="E5">
        <v>146</v>
      </c>
      <c r="F5">
        <v>13</v>
      </c>
      <c r="G5">
        <v>1</v>
      </c>
      <c r="H5">
        <v>26</v>
      </c>
      <c r="I5">
        <v>151</v>
      </c>
      <c r="J5">
        <v>18</v>
      </c>
      <c r="K5">
        <v>3</v>
      </c>
      <c r="L5">
        <v>5</v>
      </c>
      <c r="M5">
        <v>3</v>
      </c>
      <c r="N5">
        <v>5</v>
      </c>
      <c r="O5">
        <v>20</v>
      </c>
      <c r="P5">
        <v>11</v>
      </c>
      <c r="Q5">
        <v>29</v>
      </c>
      <c r="R5">
        <v>0</v>
      </c>
      <c r="S5">
        <v>1</v>
      </c>
      <c r="T5">
        <v>28</v>
      </c>
      <c r="U5">
        <v>8</v>
      </c>
      <c r="V5">
        <v>16</v>
      </c>
    </row>
    <row r="6" spans="1:22" x14ac:dyDescent="0.2">
      <c r="A6" s="1301" t="s">
        <v>24</v>
      </c>
      <c r="B6">
        <v>261800</v>
      </c>
      <c r="C6">
        <v>182</v>
      </c>
      <c r="D6">
        <v>26</v>
      </c>
      <c r="E6">
        <v>57</v>
      </c>
      <c r="F6">
        <v>0</v>
      </c>
      <c r="G6">
        <v>5</v>
      </c>
      <c r="H6">
        <v>17</v>
      </c>
      <c r="I6">
        <v>14</v>
      </c>
      <c r="J6">
        <v>26</v>
      </c>
      <c r="K6">
        <v>0</v>
      </c>
      <c r="L6">
        <v>1</v>
      </c>
      <c r="M6">
        <v>4</v>
      </c>
      <c r="N6">
        <v>6</v>
      </c>
      <c r="O6">
        <v>24</v>
      </c>
      <c r="P6">
        <v>8</v>
      </c>
      <c r="Q6">
        <v>12</v>
      </c>
      <c r="R6">
        <v>0</v>
      </c>
      <c r="S6">
        <v>0</v>
      </c>
      <c r="T6">
        <v>34</v>
      </c>
      <c r="U6">
        <v>2</v>
      </c>
      <c r="V6">
        <v>7</v>
      </c>
    </row>
    <row r="7" spans="1:22" x14ac:dyDescent="0.2">
      <c r="A7" s="1301" t="s">
        <v>25</v>
      </c>
      <c r="B7">
        <v>116280</v>
      </c>
      <c r="C7">
        <v>65</v>
      </c>
      <c r="D7">
        <v>20</v>
      </c>
      <c r="E7">
        <v>77</v>
      </c>
      <c r="F7">
        <v>1</v>
      </c>
      <c r="G7">
        <v>2</v>
      </c>
      <c r="H7">
        <v>16</v>
      </c>
      <c r="I7">
        <v>3</v>
      </c>
      <c r="J7">
        <v>11</v>
      </c>
      <c r="K7">
        <v>3</v>
      </c>
      <c r="L7">
        <v>1</v>
      </c>
      <c r="M7">
        <v>2</v>
      </c>
      <c r="N7">
        <v>3</v>
      </c>
      <c r="O7">
        <v>9</v>
      </c>
      <c r="P7">
        <v>7</v>
      </c>
      <c r="Q7">
        <v>20</v>
      </c>
      <c r="R7">
        <v>0</v>
      </c>
      <c r="S7">
        <v>0</v>
      </c>
      <c r="T7">
        <v>28</v>
      </c>
      <c r="U7">
        <v>4</v>
      </c>
      <c r="V7">
        <v>4</v>
      </c>
    </row>
    <row r="8" spans="1:22" x14ac:dyDescent="0.2">
      <c r="A8" s="1301" t="s">
        <v>26</v>
      </c>
      <c r="B8">
        <v>86810</v>
      </c>
      <c r="C8">
        <v>77</v>
      </c>
      <c r="D8">
        <v>22</v>
      </c>
      <c r="E8">
        <v>28</v>
      </c>
      <c r="F8">
        <v>2</v>
      </c>
      <c r="G8">
        <v>3</v>
      </c>
      <c r="H8">
        <v>6</v>
      </c>
      <c r="I8">
        <v>8</v>
      </c>
      <c r="J8">
        <v>15</v>
      </c>
      <c r="K8">
        <v>4</v>
      </c>
      <c r="L8">
        <v>2</v>
      </c>
      <c r="M8">
        <v>6</v>
      </c>
      <c r="N8">
        <v>3</v>
      </c>
      <c r="O8">
        <v>10</v>
      </c>
      <c r="P8">
        <v>6</v>
      </c>
      <c r="Q8">
        <v>29</v>
      </c>
      <c r="R8">
        <v>0</v>
      </c>
      <c r="S8">
        <v>25</v>
      </c>
      <c r="T8">
        <v>53</v>
      </c>
      <c r="U8">
        <v>3</v>
      </c>
      <c r="V8">
        <v>2</v>
      </c>
    </row>
    <row r="9" spans="1:22" x14ac:dyDescent="0.2">
      <c r="A9" s="1301" t="s">
        <v>27</v>
      </c>
      <c r="B9">
        <v>51450</v>
      </c>
      <c r="C9">
        <v>12</v>
      </c>
      <c r="D9">
        <v>9</v>
      </c>
      <c r="E9">
        <v>41</v>
      </c>
      <c r="F9">
        <v>0</v>
      </c>
      <c r="G9">
        <v>0</v>
      </c>
      <c r="H9">
        <v>8</v>
      </c>
      <c r="I9">
        <v>1</v>
      </c>
      <c r="J9">
        <v>4</v>
      </c>
      <c r="K9">
        <v>2</v>
      </c>
      <c r="L9">
        <v>1</v>
      </c>
      <c r="M9">
        <v>2</v>
      </c>
      <c r="N9">
        <v>6</v>
      </c>
      <c r="O9">
        <v>4</v>
      </c>
      <c r="P9">
        <v>0</v>
      </c>
      <c r="Q9">
        <v>3</v>
      </c>
      <c r="R9">
        <v>0</v>
      </c>
      <c r="S9">
        <v>0</v>
      </c>
      <c r="T9">
        <v>12</v>
      </c>
      <c r="U9">
        <v>1</v>
      </c>
      <c r="V9">
        <v>1</v>
      </c>
    </row>
    <row r="10" spans="1:22" x14ac:dyDescent="0.2">
      <c r="A10" s="1301" t="s">
        <v>28</v>
      </c>
      <c r="B10">
        <v>149200</v>
      </c>
      <c r="C10">
        <v>91</v>
      </c>
      <c r="D10">
        <v>30</v>
      </c>
      <c r="E10">
        <v>45</v>
      </c>
      <c r="F10">
        <v>4</v>
      </c>
      <c r="G10">
        <v>13</v>
      </c>
      <c r="H10">
        <v>11</v>
      </c>
      <c r="I10">
        <v>12</v>
      </c>
      <c r="J10">
        <v>23</v>
      </c>
      <c r="K10">
        <v>8</v>
      </c>
      <c r="L10">
        <v>1</v>
      </c>
      <c r="M10">
        <v>7</v>
      </c>
      <c r="N10">
        <v>5</v>
      </c>
      <c r="O10">
        <v>19</v>
      </c>
      <c r="P10">
        <v>7</v>
      </c>
      <c r="Q10">
        <v>7</v>
      </c>
      <c r="R10">
        <v>0</v>
      </c>
      <c r="S10">
        <v>1</v>
      </c>
      <c r="T10">
        <v>35</v>
      </c>
      <c r="U10">
        <v>5</v>
      </c>
      <c r="V10">
        <v>6</v>
      </c>
    </row>
    <row r="11" spans="1:22" x14ac:dyDescent="0.2">
      <c r="A11" s="1301" t="s">
        <v>29</v>
      </c>
      <c r="B11">
        <v>148710</v>
      </c>
      <c r="C11">
        <v>34</v>
      </c>
      <c r="D11">
        <v>45</v>
      </c>
      <c r="E11">
        <v>141</v>
      </c>
      <c r="F11">
        <v>3</v>
      </c>
      <c r="G11">
        <v>2</v>
      </c>
      <c r="H11">
        <v>12</v>
      </c>
      <c r="I11">
        <v>54</v>
      </c>
      <c r="J11">
        <v>8</v>
      </c>
      <c r="K11">
        <v>5</v>
      </c>
      <c r="L11">
        <v>6</v>
      </c>
      <c r="M11">
        <v>6</v>
      </c>
      <c r="N11">
        <v>3</v>
      </c>
      <c r="O11">
        <v>12</v>
      </c>
      <c r="P11">
        <v>32</v>
      </c>
      <c r="Q11">
        <v>21</v>
      </c>
      <c r="R11">
        <v>0</v>
      </c>
      <c r="S11">
        <v>1</v>
      </c>
      <c r="T11">
        <v>20</v>
      </c>
      <c r="U11">
        <v>7</v>
      </c>
      <c r="V11">
        <v>4</v>
      </c>
    </row>
    <row r="12" spans="1:22" x14ac:dyDescent="0.2">
      <c r="A12" s="1301" t="s">
        <v>30</v>
      </c>
      <c r="B12">
        <v>121940</v>
      </c>
      <c r="C12">
        <v>61</v>
      </c>
      <c r="D12">
        <v>15</v>
      </c>
      <c r="E12">
        <v>45</v>
      </c>
      <c r="F12">
        <v>3</v>
      </c>
      <c r="G12">
        <v>5</v>
      </c>
      <c r="H12">
        <v>7</v>
      </c>
      <c r="I12">
        <v>2</v>
      </c>
      <c r="J12">
        <v>4</v>
      </c>
      <c r="K12">
        <v>2</v>
      </c>
      <c r="L12">
        <v>0</v>
      </c>
      <c r="M12">
        <v>0</v>
      </c>
      <c r="N12">
        <v>3</v>
      </c>
      <c r="O12">
        <v>8</v>
      </c>
      <c r="P12">
        <v>5</v>
      </c>
      <c r="Q12">
        <v>26</v>
      </c>
      <c r="R12">
        <v>0</v>
      </c>
      <c r="S12">
        <v>0</v>
      </c>
      <c r="T12">
        <v>23</v>
      </c>
      <c r="U12">
        <v>3</v>
      </c>
      <c r="V12">
        <v>3</v>
      </c>
    </row>
    <row r="13" spans="1:22" x14ac:dyDescent="0.2">
      <c r="A13" s="1301" t="s">
        <v>31</v>
      </c>
      <c r="B13">
        <v>108130</v>
      </c>
      <c r="C13">
        <v>38</v>
      </c>
      <c r="D13">
        <v>26</v>
      </c>
      <c r="E13">
        <v>43</v>
      </c>
      <c r="F13">
        <v>0</v>
      </c>
      <c r="G13">
        <v>2</v>
      </c>
      <c r="H13">
        <v>3</v>
      </c>
      <c r="I13">
        <v>8</v>
      </c>
      <c r="J13">
        <v>5</v>
      </c>
      <c r="K13">
        <v>0</v>
      </c>
      <c r="L13">
        <v>1</v>
      </c>
      <c r="M13">
        <v>3</v>
      </c>
      <c r="N13">
        <v>19</v>
      </c>
      <c r="O13">
        <v>6</v>
      </c>
      <c r="P13">
        <v>2</v>
      </c>
      <c r="Q13">
        <v>28</v>
      </c>
      <c r="R13">
        <v>0</v>
      </c>
      <c r="S13">
        <v>2</v>
      </c>
      <c r="T13">
        <v>16</v>
      </c>
      <c r="U13">
        <v>3</v>
      </c>
      <c r="V13">
        <v>5</v>
      </c>
    </row>
    <row r="14" spans="1:22" x14ac:dyDescent="0.2">
      <c r="A14" s="1301" t="s">
        <v>32</v>
      </c>
      <c r="B14">
        <v>104840</v>
      </c>
      <c r="C14">
        <v>55</v>
      </c>
      <c r="D14">
        <v>12</v>
      </c>
      <c r="E14">
        <v>69</v>
      </c>
      <c r="F14">
        <v>1</v>
      </c>
      <c r="G14">
        <v>2</v>
      </c>
      <c r="H14">
        <v>10</v>
      </c>
      <c r="I14">
        <v>4</v>
      </c>
      <c r="J14">
        <v>18</v>
      </c>
      <c r="K14">
        <v>0</v>
      </c>
      <c r="L14">
        <v>1</v>
      </c>
      <c r="M14">
        <v>4</v>
      </c>
      <c r="N14">
        <v>6</v>
      </c>
      <c r="O14">
        <v>3</v>
      </c>
      <c r="P14">
        <v>3</v>
      </c>
      <c r="Q14">
        <v>13</v>
      </c>
      <c r="R14">
        <v>0</v>
      </c>
      <c r="S14">
        <v>1</v>
      </c>
      <c r="T14">
        <v>9</v>
      </c>
      <c r="U14">
        <v>3</v>
      </c>
      <c r="V14">
        <v>3</v>
      </c>
    </row>
    <row r="15" spans="1:22" x14ac:dyDescent="0.2">
      <c r="A15" s="1301" t="s">
        <v>33</v>
      </c>
      <c r="B15">
        <v>94760</v>
      </c>
      <c r="C15">
        <v>29</v>
      </c>
      <c r="D15">
        <v>14</v>
      </c>
      <c r="E15">
        <v>28</v>
      </c>
      <c r="F15">
        <v>1</v>
      </c>
      <c r="G15">
        <v>0</v>
      </c>
      <c r="H15">
        <v>8</v>
      </c>
      <c r="I15">
        <v>4</v>
      </c>
      <c r="J15">
        <v>5</v>
      </c>
      <c r="K15">
        <v>1</v>
      </c>
      <c r="L15">
        <v>0</v>
      </c>
      <c r="M15">
        <v>1</v>
      </c>
      <c r="N15">
        <v>3</v>
      </c>
      <c r="O15">
        <v>5</v>
      </c>
      <c r="P15">
        <v>2</v>
      </c>
      <c r="Q15">
        <v>19</v>
      </c>
      <c r="R15">
        <v>0</v>
      </c>
      <c r="S15">
        <v>0</v>
      </c>
      <c r="T15">
        <v>14</v>
      </c>
      <c r="U15">
        <v>2</v>
      </c>
      <c r="V15">
        <v>2</v>
      </c>
    </row>
    <row r="16" spans="1:22" x14ac:dyDescent="0.2">
      <c r="A16" s="1301" t="s">
        <v>665</v>
      </c>
      <c r="B16">
        <v>513210</v>
      </c>
      <c r="C16">
        <v>136</v>
      </c>
      <c r="D16">
        <v>168</v>
      </c>
      <c r="E16">
        <v>511</v>
      </c>
      <c r="F16">
        <v>6</v>
      </c>
      <c r="G16">
        <v>11</v>
      </c>
      <c r="H16">
        <v>40</v>
      </c>
      <c r="I16">
        <v>125</v>
      </c>
      <c r="J16">
        <v>47</v>
      </c>
      <c r="K16">
        <v>11</v>
      </c>
      <c r="L16">
        <v>2</v>
      </c>
      <c r="M16">
        <v>34</v>
      </c>
      <c r="N16">
        <v>33</v>
      </c>
      <c r="O16">
        <v>22</v>
      </c>
      <c r="P16">
        <v>30</v>
      </c>
      <c r="Q16">
        <v>128</v>
      </c>
      <c r="R16">
        <v>0</v>
      </c>
      <c r="S16">
        <v>6</v>
      </c>
      <c r="T16">
        <v>92</v>
      </c>
      <c r="U16">
        <v>19</v>
      </c>
      <c r="V16">
        <v>30</v>
      </c>
    </row>
    <row r="17" spans="1:22" x14ac:dyDescent="0.2">
      <c r="A17" s="1301" t="s">
        <v>34</v>
      </c>
      <c r="B17">
        <v>160130</v>
      </c>
      <c r="C17">
        <v>93</v>
      </c>
      <c r="D17">
        <v>32</v>
      </c>
      <c r="E17">
        <v>123</v>
      </c>
      <c r="F17">
        <v>3</v>
      </c>
      <c r="G17">
        <v>3</v>
      </c>
      <c r="H17">
        <v>22</v>
      </c>
      <c r="I17">
        <v>8</v>
      </c>
      <c r="J17">
        <v>12</v>
      </c>
      <c r="K17">
        <v>3</v>
      </c>
      <c r="L17">
        <v>3</v>
      </c>
      <c r="M17">
        <v>3</v>
      </c>
      <c r="N17">
        <v>8</v>
      </c>
      <c r="O17">
        <v>11</v>
      </c>
      <c r="P17">
        <v>4</v>
      </c>
      <c r="Q17">
        <v>22</v>
      </c>
      <c r="R17">
        <v>0</v>
      </c>
      <c r="S17">
        <v>1</v>
      </c>
      <c r="T17">
        <v>40</v>
      </c>
      <c r="U17">
        <v>4</v>
      </c>
      <c r="V17">
        <v>3</v>
      </c>
    </row>
    <row r="18" spans="1:22" x14ac:dyDescent="0.2">
      <c r="A18" s="1301" t="s">
        <v>35</v>
      </c>
      <c r="B18">
        <v>371410</v>
      </c>
      <c r="C18">
        <v>170</v>
      </c>
      <c r="D18">
        <v>84</v>
      </c>
      <c r="E18">
        <v>236</v>
      </c>
      <c r="F18">
        <v>8</v>
      </c>
      <c r="G18">
        <v>9</v>
      </c>
      <c r="H18">
        <v>49</v>
      </c>
      <c r="I18">
        <v>22</v>
      </c>
      <c r="J18">
        <v>31</v>
      </c>
      <c r="K18">
        <v>14</v>
      </c>
      <c r="L18">
        <v>10</v>
      </c>
      <c r="M18">
        <v>23</v>
      </c>
      <c r="N18">
        <v>19</v>
      </c>
      <c r="O18">
        <v>29</v>
      </c>
      <c r="P18">
        <v>10</v>
      </c>
      <c r="Q18">
        <v>21</v>
      </c>
      <c r="R18">
        <v>0</v>
      </c>
      <c r="S18">
        <v>2</v>
      </c>
      <c r="T18">
        <v>64</v>
      </c>
      <c r="U18">
        <v>11</v>
      </c>
      <c r="V18">
        <v>14</v>
      </c>
    </row>
    <row r="19" spans="1:22" x14ac:dyDescent="0.2">
      <c r="A19" s="1301" t="s">
        <v>36</v>
      </c>
      <c r="B19">
        <v>621020</v>
      </c>
      <c r="C19">
        <v>199</v>
      </c>
      <c r="D19">
        <v>247</v>
      </c>
      <c r="E19">
        <v>409</v>
      </c>
      <c r="F19">
        <v>10</v>
      </c>
      <c r="G19">
        <v>24</v>
      </c>
      <c r="H19">
        <v>77</v>
      </c>
      <c r="I19">
        <v>140</v>
      </c>
      <c r="J19">
        <v>55</v>
      </c>
      <c r="K19">
        <v>25</v>
      </c>
      <c r="L19">
        <v>14</v>
      </c>
      <c r="M19">
        <v>14</v>
      </c>
      <c r="N19">
        <v>36</v>
      </c>
      <c r="O19">
        <v>35</v>
      </c>
      <c r="P19">
        <v>39</v>
      </c>
      <c r="Q19">
        <v>316</v>
      </c>
      <c r="R19">
        <v>1</v>
      </c>
      <c r="S19">
        <v>4</v>
      </c>
      <c r="T19">
        <v>219</v>
      </c>
      <c r="U19">
        <v>43</v>
      </c>
      <c r="V19">
        <v>30</v>
      </c>
    </row>
    <row r="20" spans="1:22" x14ac:dyDescent="0.2">
      <c r="A20" s="1301" t="s">
        <v>37</v>
      </c>
      <c r="B20">
        <v>235180</v>
      </c>
      <c r="C20">
        <v>236</v>
      </c>
      <c r="D20">
        <v>51</v>
      </c>
      <c r="E20">
        <v>92</v>
      </c>
      <c r="F20">
        <v>5</v>
      </c>
      <c r="G20">
        <v>8</v>
      </c>
      <c r="H20">
        <v>30</v>
      </c>
      <c r="I20">
        <v>20</v>
      </c>
      <c r="J20">
        <v>18</v>
      </c>
      <c r="K20">
        <v>4</v>
      </c>
      <c r="L20">
        <v>2</v>
      </c>
      <c r="M20">
        <v>8</v>
      </c>
      <c r="N20">
        <v>6</v>
      </c>
      <c r="O20">
        <v>29</v>
      </c>
      <c r="P20">
        <v>16</v>
      </c>
      <c r="Q20">
        <v>24</v>
      </c>
      <c r="R20">
        <v>0</v>
      </c>
      <c r="S20">
        <v>7</v>
      </c>
      <c r="T20">
        <v>64</v>
      </c>
      <c r="U20">
        <v>1</v>
      </c>
      <c r="V20">
        <v>9</v>
      </c>
    </row>
    <row r="21" spans="1:22" x14ac:dyDescent="0.2">
      <c r="A21" s="1301" t="s">
        <v>38</v>
      </c>
      <c r="B21">
        <v>78760</v>
      </c>
      <c r="C21">
        <v>30</v>
      </c>
      <c r="D21">
        <v>29</v>
      </c>
      <c r="E21">
        <v>52</v>
      </c>
      <c r="F21">
        <v>0</v>
      </c>
      <c r="G21">
        <v>1</v>
      </c>
      <c r="H21">
        <v>18</v>
      </c>
      <c r="I21">
        <v>12</v>
      </c>
      <c r="J21">
        <v>13</v>
      </c>
      <c r="K21">
        <v>2</v>
      </c>
      <c r="L21">
        <v>4</v>
      </c>
      <c r="M21">
        <v>4</v>
      </c>
      <c r="N21">
        <v>4</v>
      </c>
      <c r="O21">
        <v>12</v>
      </c>
      <c r="P21">
        <v>9</v>
      </c>
      <c r="Q21">
        <v>29</v>
      </c>
      <c r="R21">
        <v>0</v>
      </c>
      <c r="S21">
        <v>1</v>
      </c>
      <c r="T21">
        <v>22</v>
      </c>
      <c r="U21">
        <v>4</v>
      </c>
      <c r="V21">
        <v>1</v>
      </c>
    </row>
    <row r="22" spans="1:22" x14ac:dyDescent="0.2">
      <c r="A22" s="1301" t="s">
        <v>39</v>
      </c>
      <c r="B22">
        <v>90090</v>
      </c>
      <c r="C22">
        <v>42</v>
      </c>
      <c r="D22">
        <v>18</v>
      </c>
      <c r="E22">
        <v>45</v>
      </c>
      <c r="F22">
        <v>1</v>
      </c>
      <c r="G22">
        <v>1</v>
      </c>
      <c r="H22">
        <v>11</v>
      </c>
      <c r="I22">
        <v>2</v>
      </c>
      <c r="J22">
        <v>10</v>
      </c>
      <c r="K22">
        <v>4</v>
      </c>
      <c r="L22">
        <v>2</v>
      </c>
      <c r="M22">
        <v>4</v>
      </c>
      <c r="N22">
        <v>5</v>
      </c>
      <c r="O22">
        <v>10</v>
      </c>
      <c r="P22">
        <v>1</v>
      </c>
      <c r="Q22">
        <v>12</v>
      </c>
      <c r="R22">
        <v>0</v>
      </c>
      <c r="S22">
        <v>0</v>
      </c>
      <c r="T22">
        <v>15</v>
      </c>
      <c r="U22">
        <v>2</v>
      </c>
      <c r="V22">
        <v>3</v>
      </c>
    </row>
    <row r="23" spans="1:22" x14ac:dyDescent="0.2">
      <c r="A23" s="1301" t="s">
        <v>40</v>
      </c>
      <c r="B23">
        <v>95780</v>
      </c>
      <c r="C23">
        <v>53</v>
      </c>
      <c r="D23">
        <v>6</v>
      </c>
      <c r="E23">
        <v>31</v>
      </c>
      <c r="F23">
        <v>2</v>
      </c>
      <c r="G23">
        <v>6</v>
      </c>
      <c r="H23">
        <v>11</v>
      </c>
      <c r="I23">
        <v>3</v>
      </c>
      <c r="J23">
        <v>4</v>
      </c>
      <c r="K23">
        <v>3</v>
      </c>
      <c r="L23">
        <v>0</v>
      </c>
      <c r="M23">
        <v>1</v>
      </c>
      <c r="N23">
        <v>1</v>
      </c>
      <c r="O23">
        <v>10</v>
      </c>
      <c r="P23">
        <v>3</v>
      </c>
      <c r="Q23">
        <v>5</v>
      </c>
      <c r="R23">
        <v>0</v>
      </c>
      <c r="S23">
        <v>0</v>
      </c>
      <c r="T23">
        <v>6</v>
      </c>
      <c r="U23">
        <v>0</v>
      </c>
      <c r="V23">
        <v>5</v>
      </c>
    </row>
    <row r="24" spans="1:22" x14ac:dyDescent="0.2">
      <c r="A24" s="1301" t="s">
        <v>393</v>
      </c>
      <c r="B24">
        <v>26950</v>
      </c>
      <c r="C24">
        <v>16</v>
      </c>
      <c r="D24">
        <v>5</v>
      </c>
      <c r="E24">
        <v>7</v>
      </c>
      <c r="F24">
        <v>0</v>
      </c>
      <c r="G24">
        <v>0</v>
      </c>
      <c r="H24">
        <v>0</v>
      </c>
      <c r="I24">
        <v>5</v>
      </c>
      <c r="J24">
        <v>1</v>
      </c>
      <c r="K24">
        <v>0</v>
      </c>
      <c r="L24">
        <v>0</v>
      </c>
      <c r="M24">
        <v>0</v>
      </c>
      <c r="N24">
        <v>0</v>
      </c>
      <c r="O24">
        <v>5</v>
      </c>
      <c r="P24">
        <v>0</v>
      </c>
      <c r="Q24">
        <v>1</v>
      </c>
      <c r="R24">
        <v>0</v>
      </c>
      <c r="S24">
        <v>0</v>
      </c>
      <c r="T24">
        <v>8</v>
      </c>
      <c r="U24">
        <v>0</v>
      </c>
      <c r="V24">
        <v>1</v>
      </c>
    </row>
    <row r="25" spans="1:22" x14ac:dyDescent="0.2">
      <c r="A25" s="1301" t="s">
        <v>41</v>
      </c>
      <c r="B25">
        <v>135790</v>
      </c>
      <c r="C25">
        <v>45</v>
      </c>
      <c r="D25">
        <v>36</v>
      </c>
      <c r="E25">
        <v>68</v>
      </c>
      <c r="F25">
        <v>0</v>
      </c>
      <c r="G25">
        <v>3</v>
      </c>
      <c r="H25">
        <v>16</v>
      </c>
      <c r="I25">
        <v>17</v>
      </c>
      <c r="J25">
        <v>13</v>
      </c>
      <c r="K25">
        <v>1</v>
      </c>
      <c r="L25">
        <v>3</v>
      </c>
      <c r="M25">
        <v>5</v>
      </c>
      <c r="N25">
        <v>9</v>
      </c>
      <c r="O25">
        <v>6</v>
      </c>
      <c r="P25">
        <v>5</v>
      </c>
      <c r="Q25">
        <v>37</v>
      </c>
      <c r="R25">
        <v>0</v>
      </c>
      <c r="S25">
        <v>0</v>
      </c>
      <c r="T25">
        <v>40</v>
      </c>
      <c r="U25">
        <v>4</v>
      </c>
      <c r="V25">
        <v>2</v>
      </c>
    </row>
    <row r="26" spans="1:22" x14ac:dyDescent="0.2">
      <c r="A26" s="1301" t="s">
        <v>42</v>
      </c>
      <c r="B26">
        <v>339960</v>
      </c>
      <c r="C26">
        <v>128</v>
      </c>
      <c r="D26">
        <v>88</v>
      </c>
      <c r="E26">
        <v>127</v>
      </c>
      <c r="F26">
        <v>5</v>
      </c>
      <c r="G26">
        <v>1</v>
      </c>
      <c r="H26">
        <v>37</v>
      </c>
      <c r="I26">
        <v>21</v>
      </c>
      <c r="J26">
        <v>13</v>
      </c>
      <c r="K26">
        <v>7</v>
      </c>
      <c r="L26">
        <v>5</v>
      </c>
      <c r="M26">
        <v>10</v>
      </c>
      <c r="N26">
        <v>26</v>
      </c>
      <c r="O26">
        <v>25</v>
      </c>
      <c r="P26">
        <v>13</v>
      </c>
      <c r="Q26">
        <v>85</v>
      </c>
      <c r="R26">
        <v>0</v>
      </c>
      <c r="S26">
        <v>0</v>
      </c>
      <c r="T26">
        <v>69</v>
      </c>
      <c r="U26">
        <v>6</v>
      </c>
      <c r="V26">
        <v>10</v>
      </c>
    </row>
    <row r="27" spans="1:22" x14ac:dyDescent="0.2">
      <c r="A27" s="1301" t="s">
        <v>43</v>
      </c>
      <c r="B27">
        <v>22000</v>
      </c>
      <c r="C27">
        <v>2</v>
      </c>
      <c r="D27">
        <v>6</v>
      </c>
      <c r="E27">
        <v>1</v>
      </c>
      <c r="F27">
        <v>0</v>
      </c>
      <c r="G27">
        <v>0</v>
      </c>
      <c r="H27">
        <v>1</v>
      </c>
      <c r="I27">
        <v>2</v>
      </c>
      <c r="J27">
        <v>1</v>
      </c>
      <c r="K27">
        <v>0</v>
      </c>
      <c r="L27">
        <v>0</v>
      </c>
      <c r="M27">
        <v>1</v>
      </c>
      <c r="N27">
        <v>0</v>
      </c>
      <c r="O27">
        <v>1</v>
      </c>
      <c r="P27">
        <v>0</v>
      </c>
      <c r="Q27">
        <v>0</v>
      </c>
      <c r="R27">
        <v>0</v>
      </c>
      <c r="S27">
        <v>3</v>
      </c>
      <c r="T27">
        <v>4</v>
      </c>
      <c r="U27">
        <v>0</v>
      </c>
      <c r="V27">
        <v>0</v>
      </c>
    </row>
    <row r="28" spans="1:22" x14ac:dyDescent="0.2">
      <c r="A28" s="1301" t="s">
        <v>44</v>
      </c>
      <c r="B28">
        <v>151100</v>
      </c>
      <c r="C28">
        <v>118</v>
      </c>
      <c r="D28">
        <v>29</v>
      </c>
      <c r="E28">
        <v>79</v>
      </c>
      <c r="F28">
        <v>1</v>
      </c>
      <c r="G28">
        <v>8</v>
      </c>
      <c r="H28">
        <v>11</v>
      </c>
      <c r="I28">
        <v>10</v>
      </c>
      <c r="J28">
        <v>9</v>
      </c>
      <c r="K28">
        <v>4</v>
      </c>
      <c r="L28">
        <v>0</v>
      </c>
      <c r="M28">
        <v>5</v>
      </c>
      <c r="N28">
        <v>3</v>
      </c>
      <c r="O28">
        <v>15</v>
      </c>
      <c r="P28">
        <v>17</v>
      </c>
      <c r="Q28">
        <v>14</v>
      </c>
      <c r="R28">
        <v>0</v>
      </c>
      <c r="S28">
        <v>0</v>
      </c>
      <c r="T28">
        <v>22</v>
      </c>
      <c r="U28">
        <v>1</v>
      </c>
      <c r="V28">
        <v>0</v>
      </c>
    </row>
    <row r="29" spans="1:22" x14ac:dyDescent="0.2">
      <c r="A29" s="1301" t="s">
        <v>45</v>
      </c>
      <c r="B29">
        <v>176830</v>
      </c>
      <c r="C29">
        <v>76</v>
      </c>
      <c r="D29">
        <v>45</v>
      </c>
      <c r="E29">
        <v>107</v>
      </c>
      <c r="F29">
        <v>3</v>
      </c>
      <c r="G29">
        <v>5</v>
      </c>
      <c r="H29">
        <v>17</v>
      </c>
      <c r="I29">
        <v>11</v>
      </c>
      <c r="J29">
        <v>25</v>
      </c>
      <c r="K29">
        <v>4</v>
      </c>
      <c r="L29">
        <v>5</v>
      </c>
      <c r="M29">
        <v>9</v>
      </c>
      <c r="N29">
        <v>6</v>
      </c>
      <c r="O29">
        <v>14</v>
      </c>
      <c r="P29">
        <v>14</v>
      </c>
      <c r="Q29">
        <v>91</v>
      </c>
      <c r="R29">
        <v>1</v>
      </c>
      <c r="S29">
        <v>10</v>
      </c>
      <c r="T29">
        <v>64</v>
      </c>
      <c r="U29">
        <v>12</v>
      </c>
      <c r="V29">
        <v>3</v>
      </c>
    </row>
    <row r="30" spans="1:22" x14ac:dyDescent="0.2">
      <c r="A30" s="1301" t="s">
        <v>46</v>
      </c>
      <c r="B30">
        <v>115020</v>
      </c>
      <c r="C30">
        <v>92</v>
      </c>
      <c r="D30">
        <v>23</v>
      </c>
      <c r="E30">
        <v>84</v>
      </c>
      <c r="F30">
        <v>1</v>
      </c>
      <c r="G30">
        <v>7</v>
      </c>
      <c r="H30">
        <v>9</v>
      </c>
      <c r="I30">
        <v>5</v>
      </c>
      <c r="J30">
        <v>22</v>
      </c>
      <c r="K30">
        <v>2</v>
      </c>
      <c r="L30">
        <v>2</v>
      </c>
      <c r="M30">
        <v>8</v>
      </c>
      <c r="N30">
        <v>5</v>
      </c>
      <c r="O30">
        <v>14</v>
      </c>
      <c r="P30">
        <v>8</v>
      </c>
      <c r="Q30">
        <v>8</v>
      </c>
      <c r="R30">
        <v>1</v>
      </c>
      <c r="S30">
        <v>0</v>
      </c>
      <c r="T30">
        <v>20</v>
      </c>
      <c r="U30">
        <v>1</v>
      </c>
      <c r="V30">
        <v>4</v>
      </c>
    </row>
    <row r="31" spans="1:22" x14ac:dyDescent="0.2">
      <c r="A31" s="1301" t="s">
        <v>47</v>
      </c>
      <c r="B31">
        <v>23080</v>
      </c>
      <c r="C31">
        <v>12</v>
      </c>
      <c r="D31">
        <v>6</v>
      </c>
      <c r="E31">
        <v>2</v>
      </c>
      <c r="F31">
        <v>0</v>
      </c>
      <c r="G31">
        <v>0</v>
      </c>
      <c r="H31">
        <v>1</v>
      </c>
      <c r="I31">
        <v>2</v>
      </c>
      <c r="J31">
        <v>0</v>
      </c>
      <c r="K31">
        <v>0</v>
      </c>
      <c r="L31">
        <v>0</v>
      </c>
      <c r="M31">
        <v>0</v>
      </c>
      <c r="N31">
        <v>0</v>
      </c>
      <c r="O31">
        <v>0</v>
      </c>
      <c r="P31">
        <v>2</v>
      </c>
      <c r="Q31">
        <v>1</v>
      </c>
      <c r="R31">
        <v>0</v>
      </c>
      <c r="S31">
        <v>5</v>
      </c>
      <c r="T31">
        <v>5</v>
      </c>
      <c r="U31">
        <v>1</v>
      </c>
      <c r="V31">
        <v>1</v>
      </c>
    </row>
    <row r="32" spans="1:22" x14ac:dyDescent="0.2">
      <c r="A32" s="1301" t="s">
        <v>48</v>
      </c>
      <c r="B32">
        <v>112680</v>
      </c>
      <c r="C32">
        <v>69</v>
      </c>
      <c r="D32">
        <v>14</v>
      </c>
      <c r="E32">
        <v>53</v>
      </c>
      <c r="F32">
        <v>6</v>
      </c>
      <c r="G32">
        <v>6</v>
      </c>
      <c r="H32">
        <v>18</v>
      </c>
      <c r="I32">
        <v>7</v>
      </c>
      <c r="J32">
        <v>10</v>
      </c>
      <c r="K32">
        <v>4</v>
      </c>
      <c r="L32">
        <v>5</v>
      </c>
      <c r="M32">
        <v>4</v>
      </c>
      <c r="N32">
        <v>3</v>
      </c>
      <c r="O32">
        <v>6</v>
      </c>
      <c r="P32">
        <v>8</v>
      </c>
      <c r="Q32">
        <v>38</v>
      </c>
      <c r="R32">
        <v>0</v>
      </c>
      <c r="S32">
        <v>5</v>
      </c>
      <c r="T32">
        <v>16</v>
      </c>
      <c r="U32">
        <v>2</v>
      </c>
      <c r="V32">
        <v>0</v>
      </c>
    </row>
    <row r="33" spans="1:22" x14ac:dyDescent="0.2">
      <c r="A33" s="1301" t="s">
        <v>49</v>
      </c>
      <c r="B33">
        <v>318170</v>
      </c>
      <c r="C33">
        <v>130</v>
      </c>
      <c r="D33">
        <v>65</v>
      </c>
      <c r="E33">
        <v>103</v>
      </c>
      <c r="F33">
        <v>2</v>
      </c>
      <c r="G33">
        <v>2</v>
      </c>
      <c r="H33">
        <v>26</v>
      </c>
      <c r="I33">
        <v>19</v>
      </c>
      <c r="J33">
        <v>21</v>
      </c>
      <c r="K33">
        <v>5</v>
      </c>
      <c r="L33">
        <v>2</v>
      </c>
      <c r="M33">
        <v>9</v>
      </c>
      <c r="N33">
        <v>18</v>
      </c>
      <c r="O33">
        <v>22</v>
      </c>
      <c r="P33">
        <v>17</v>
      </c>
      <c r="Q33">
        <v>79</v>
      </c>
      <c r="R33">
        <v>0</v>
      </c>
      <c r="S33">
        <v>0</v>
      </c>
      <c r="T33">
        <v>50</v>
      </c>
      <c r="U33">
        <v>12</v>
      </c>
      <c r="V33">
        <v>5</v>
      </c>
    </row>
    <row r="34" spans="1:22" x14ac:dyDescent="0.2">
      <c r="A34" s="1301" t="s">
        <v>50</v>
      </c>
      <c r="B34">
        <v>94000</v>
      </c>
      <c r="C34">
        <v>58</v>
      </c>
      <c r="D34">
        <v>21</v>
      </c>
      <c r="E34">
        <v>49</v>
      </c>
      <c r="F34">
        <v>1</v>
      </c>
      <c r="G34">
        <v>11</v>
      </c>
      <c r="H34">
        <v>8</v>
      </c>
      <c r="I34">
        <v>8</v>
      </c>
      <c r="J34">
        <v>12</v>
      </c>
      <c r="K34">
        <v>2</v>
      </c>
      <c r="L34">
        <v>0</v>
      </c>
      <c r="M34">
        <v>3</v>
      </c>
      <c r="N34">
        <v>4</v>
      </c>
      <c r="O34">
        <v>12</v>
      </c>
      <c r="P34">
        <v>5</v>
      </c>
      <c r="Q34">
        <v>7</v>
      </c>
      <c r="R34">
        <v>0</v>
      </c>
      <c r="S34">
        <v>0</v>
      </c>
      <c r="T34">
        <v>14</v>
      </c>
      <c r="U34">
        <v>1</v>
      </c>
      <c r="V34">
        <v>3</v>
      </c>
    </row>
    <row r="35" spans="1:22" x14ac:dyDescent="0.2">
      <c r="A35" s="1301" t="s">
        <v>51</v>
      </c>
      <c r="B35">
        <v>89610</v>
      </c>
      <c r="C35">
        <v>28</v>
      </c>
      <c r="D35">
        <v>20</v>
      </c>
      <c r="E35">
        <v>42</v>
      </c>
      <c r="F35">
        <v>0</v>
      </c>
      <c r="G35">
        <v>3</v>
      </c>
      <c r="H35">
        <v>7</v>
      </c>
      <c r="I35">
        <v>14</v>
      </c>
      <c r="J35">
        <v>7</v>
      </c>
      <c r="K35">
        <v>2</v>
      </c>
      <c r="L35">
        <v>0</v>
      </c>
      <c r="M35">
        <v>3</v>
      </c>
      <c r="N35">
        <v>7</v>
      </c>
      <c r="O35">
        <v>8</v>
      </c>
      <c r="P35">
        <v>3</v>
      </c>
      <c r="Q35">
        <v>42</v>
      </c>
      <c r="R35">
        <v>0</v>
      </c>
      <c r="S35">
        <v>1</v>
      </c>
      <c r="T35">
        <v>25</v>
      </c>
      <c r="U35">
        <v>5</v>
      </c>
      <c r="V35">
        <v>4</v>
      </c>
    </row>
    <row r="36" spans="1:22" x14ac:dyDescent="0.2">
      <c r="A36" s="1301" t="s">
        <v>52</v>
      </c>
      <c r="B36">
        <v>181310</v>
      </c>
      <c r="C36">
        <v>96</v>
      </c>
      <c r="D36">
        <v>27</v>
      </c>
      <c r="E36">
        <v>175</v>
      </c>
      <c r="F36">
        <v>2</v>
      </c>
      <c r="G36">
        <v>2</v>
      </c>
      <c r="H36">
        <v>26</v>
      </c>
      <c r="I36">
        <v>3</v>
      </c>
      <c r="J36">
        <v>25</v>
      </c>
      <c r="K36">
        <v>7</v>
      </c>
      <c r="L36">
        <v>6</v>
      </c>
      <c r="M36">
        <v>10</v>
      </c>
      <c r="N36">
        <v>6</v>
      </c>
      <c r="O36">
        <v>9</v>
      </c>
      <c r="P36">
        <v>6</v>
      </c>
      <c r="Q36">
        <v>45</v>
      </c>
      <c r="R36">
        <v>0</v>
      </c>
      <c r="S36">
        <v>0</v>
      </c>
      <c r="T36">
        <v>33</v>
      </c>
      <c r="U36">
        <v>0</v>
      </c>
      <c r="V36">
        <v>11</v>
      </c>
    </row>
    <row r="37" spans="1:22" x14ac:dyDescent="0.2">
      <c r="A37" s="1301" t="s">
        <v>666</v>
      </c>
      <c r="B37">
        <v>5424800</v>
      </c>
      <c r="C37">
        <v>2525</v>
      </c>
      <c r="D37">
        <v>1297</v>
      </c>
      <c r="E37">
        <v>3116</v>
      </c>
      <c r="F37">
        <v>84</v>
      </c>
      <c r="G37">
        <v>146</v>
      </c>
      <c r="H37">
        <v>559</v>
      </c>
      <c r="I37">
        <v>717</v>
      </c>
      <c r="J37">
        <v>486</v>
      </c>
      <c r="K37">
        <v>132</v>
      </c>
      <c r="L37">
        <v>84</v>
      </c>
      <c r="M37">
        <v>196</v>
      </c>
      <c r="N37">
        <v>261</v>
      </c>
      <c r="O37">
        <v>415</v>
      </c>
      <c r="P37">
        <v>293</v>
      </c>
      <c r="Q37">
        <v>1212</v>
      </c>
      <c r="R37">
        <v>3</v>
      </c>
      <c r="S37">
        <v>76</v>
      </c>
      <c r="T37">
        <v>1164</v>
      </c>
      <c r="U37">
        <v>170</v>
      </c>
      <c r="V37">
        <v>192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theme="4"/>
    <pageSetUpPr fitToPage="1"/>
  </sheetPr>
  <dimension ref="A1:L34"/>
  <sheetViews>
    <sheetView showGridLines="0" zoomScaleNormal="100" workbookViewId="0">
      <selection sqref="A1:L1"/>
    </sheetView>
  </sheetViews>
  <sheetFormatPr defaultRowHeight="12.75" x14ac:dyDescent="0.2"/>
  <cols>
    <col min="1" max="1" width="12.28515625" customWidth="1"/>
    <col min="2" max="2" width="11.28515625" customWidth="1"/>
    <col min="3" max="3" width="9.7109375" customWidth="1"/>
    <col min="4" max="4" width="11.28515625" customWidth="1"/>
    <col min="5" max="5" width="10.5703125" customWidth="1"/>
    <col min="6" max="6" width="13.5703125" customWidth="1"/>
    <col min="7" max="7" width="9.7109375" customWidth="1"/>
    <col min="8" max="8" width="10.5703125" customWidth="1"/>
    <col min="10" max="10" width="9" bestFit="1" customWidth="1"/>
    <col min="11" max="11" width="14.28515625" customWidth="1"/>
  </cols>
  <sheetData>
    <row r="1" spans="1:12" ht="38.25" customHeight="1" x14ac:dyDescent="0.2">
      <c r="A1" s="1655" t="s">
        <v>614</v>
      </c>
      <c r="B1" s="1655"/>
      <c r="C1" s="1655"/>
      <c r="D1" s="1655"/>
      <c r="E1" s="1655"/>
      <c r="F1" s="1655"/>
      <c r="G1" s="1655"/>
      <c r="H1" s="1655"/>
      <c r="I1" s="1655"/>
      <c r="J1" s="1655"/>
      <c r="K1" s="1655"/>
      <c r="L1" s="1655"/>
    </row>
    <row r="2" spans="1:12" ht="15" x14ac:dyDescent="0.25">
      <c r="A2" s="1"/>
      <c r="B2" s="1"/>
      <c r="C2" s="1"/>
      <c r="D2" s="1"/>
      <c r="E2" s="1"/>
      <c r="F2" s="1"/>
      <c r="G2" s="3"/>
      <c r="H2" s="1"/>
      <c r="I2" s="1"/>
      <c r="J2" s="253" t="s">
        <v>0</v>
      </c>
      <c r="K2" s="39"/>
    </row>
    <row r="3" spans="1:12" ht="52.5" customHeight="1" x14ac:dyDescent="0.2">
      <c r="A3" s="17" t="s">
        <v>4</v>
      </c>
      <c r="B3" s="117" t="s">
        <v>976</v>
      </c>
      <c r="C3" s="1205" t="s">
        <v>977</v>
      </c>
      <c r="D3" s="1115" t="s">
        <v>175</v>
      </c>
      <c r="E3" s="1115" t="s">
        <v>617</v>
      </c>
      <c r="F3" s="1115" t="s">
        <v>618</v>
      </c>
      <c r="G3" s="1115" t="s">
        <v>176</v>
      </c>
      <c r="H3" s="1115" t="s">
        <v>177</v>
      </c>
      <c r="I3" s="1115" t="s">
        <v>72</v>
      </c>
      <c r="J3" s="229" t="s">
        <v>74</v>
      </c>
      <c r="K3" s="765" t="s">
        <v>178</v>
      </c>
    </row>
    <row r="4" spans="1:12" ht="18.75" customHeight="1" x14ac:dyDescent="0.2">
      <c r="A4" s="1017" t="s">
        <v>20</v>
      </c>
      <c r="B4" s="380">
        <v>735</v>
      </c>
      <c r="C4" s="475"/>
      <c r="D4" s="476">
        <v>1205</v>
      </c>
      <c r="E4" s="475"/>
      <c r="F4" s="475"/>
      <c r="G4" s="380">
        <v>196</v>
      </c>
      <c r="H4" s="380">
        <v>109</v>
      </c>
      <c r="I4" s="380">
        <v>21</v>
      </c>
      <c r="J4" s="380">
        <v>146</v>
      </c>
      <c r="K4" s="40">
        <f t="shared" ref="K4:K11" si="0">SUM(B4:J4)</f>
        <v>2412</v>
      </c>
    </row>
    <row r="5" spans="1:12" ht="13.5" customHeight="1" x14ac:dyDescent="0.2">
      <c r="A5" s="30" t="s">
        <v>13</v>
      </c>
      <c r="B5" s="7">
        <v>637</v>
      </c>
      <c r="C5" s="112">
        <v>1</v>
      </c>
      <c r="D5" s="41">
        <v>1134</v>
      </c>
      <c r="E5" s="112">
        <v>5</v>
      </c>
      <c r="F5" s="474"/>
      <c r="G5" s="7">
        <v>194</v>
      </c>
      <c r="H5" s="7">
        <v>109</v>
      </c>
      <c r="I5" s="7">
        <v>16</v>
      </c>
      <c r="J5" s="7">
        <v>127</v>
      </c>
      <c r="K5" s="9">
        <f t="shared" si="0"/>
        <v>2223</v>
      </c>
    </row>
    <row r="6" spans="1:12" ht="13.5" customHeight="1" x14ac:dyDescent="0.2">
      <c r="A6" s="30" t="s">
        <v>15</v>
      </c>
      <c r="B6" s="7">
        <v>547</v>
      </c>
      <c r="C6" s="112">
        <v>120</v>
      </c>
      <c r="D6" s="41">
        <v>910</v>
      </c>
      <c r="E6" s="41">
        <v>298</v>
      </c>
      <c r="F6" s="112">
        <v>54</v>
      </c>
      <c r="G6" s="7">
        <v>167</v>
      </c>
      <c r="H6" s="7">
        <v>77</v>
      </c>
      <c r="I6" s="7">
        <v>31</v>
      </c>
      <c r="J6" s="7">
        <v>63</v>
      </c>
      <c r="K6" s="9">
        <f t="shared" si="0"/>
        <v>2267</v>
      </c>
    </row>
    <row r="7" spans="1:12" ht="13.5" customHeight="1" x14ac:dyDescent="0.2">
      <c r="A7" s="30" t="s">
        <v>17</v>
      </c>
      <c r="B7" s="7">
        <v>532</v>
      </c>
      <c r="C7" s="112">
        <v>101</v>
      </c>
      <c r="D7" s="41">
        <v>840</v>
      </c>
      <c r="E7" s="41">
        <v>315</v>
      </c>
      <c r="F7" s="112">
        <v>31</v>
      </c>
      <c r="G7" s="7">
        <v>167</v>
      </c>
      <c r="H7" s="7">
        <v>66</v>
      </c>
      <c r="I7" s="7">
        <v>19</v>
      </c>
      <c r="J7" s="7">
        <v>66</v>
      </c>
      <c r="K7" s="9">
        <f t="shared" si="0"/>
        <v>2137</v>
      </c>
    </row>
    <row r="8" spans="1:12" ht="13.5" customHeight="1" x14ac:dyDescent="0.2">
      <c r="A8" s="30" t="s">
        <v>147</v>
      </c>
      <c r="B8" s="7">
        <v>492</v>
      </c>
      <c r="C8" s="41">
        <v>103</v>
      </c>
      <c r="D8" s="41">
        <v>959</v>
      </c>
      <c r="E8" s="41">
        <v>335</v>
      </c>
      <c r="F8" s="7">
        <v>59</v>
      </c>
      <c r="G8" s="7">
        <v>173</v>
      </c>
      <c r="H8" s="7">
        <v>70</v>
      </c>
      <c r="I8" s="7">
        <v>32</v>
      </c>
      <c r="J8" s="7">
        <v>70</v>
      </c>
      <c r="K8" s="9">
        <f t="shared" si="0"/>
        <v>2293</v>
      </c>
    </row>
    <row r="9" spans="1:12" ht="13.5" customHeight="1" x14ac:dyDescent="0.2">
      <c r="A9" s="30" t="str">
        <f>'T06'!$A$11</f>
        <v>2015-16</v>
      </c>
      <c r="B9" s="7">
        <f>'T06'!D11</f>
        <v>560</v>
      </c>
      <c r="C9" s="41">
        <f>'T06'!E11</f>
        <v>106</v>
      </c>
      <c r="D9" s="41">
        <f>'T06'!F11</f>
        <v>979</v>
      </c>
      <c r="E9" s="41">
        <f>'T06'!G11</f>
        <v>374</v>
      </c>
      <c r="F9" s="7">
        <f>'T06'!H11</f>
        <v>72</v>
      </c>
      <c r="G9" s="7">
        <f>'T06'!I11</f>
        <v>181</v>
      </c>
      <c r="H9" s="7">
        <f>'T06'!J11</f>
        <v>60</v>
      </c>
      <c r="I9" s="7">
        <f>'T06'!K11</f>
        <v>34</v>
      </c>
      <c r="J9" s="7">
        <f>'T06'!L11</f>
        <v>78</v>
      </c>
      <c r="K9" s="9">
        <f t="shared" si="0"/>
        <v>2444</v>
      </c>
    </row>
    <row r="10" spans="1:12" ht="13.5" customHeight="1" x14ac:dyDescent="0.2">
      <c r="A10" s="30" t="str">
        <f>'T06'!$A$12</f>
        <v>2016-17</v>
      </c>
      <c r="B10" s="7">
        <f>'T06'!D12</f>
        <v>520</v>
      </c>
      <c r="C10" s="41">
        <f>'T06'!E12</f>
        <v>96</v>
      </c>
      <c r="D10" s="41">
        <f>'T06'!F12</f>
        <v>1035</v>
      </c>
      <c r="E10" s="41">
        <f>'T06'!G12</f>
        <v>380</v>
      </c>
      <c r="F10" s="7">
        <f>'T06'!H12</f>
        <v>79</v>
      </c>
      <c r="G10" s="7">
        <f>'T06'!I12</f>
        <v>200</v>
      </c>
      <c r="H10" s="7">
        <f>'T06'!J12</f>
        <v>40</v>
      </c>
      <c r="I10" s="7">
        <f>'T06'!K12</f>
        <v>33</v>
      </c>
      <c r="J10" s="7">
        <f>'T06'!L12</f>
        <v>78</v>
      </c>
      <c r="K10" s="9">
        <f t="shared" si="0"/>
        <v>2461</v>
      </c>
      <c r="L10" t="s">
        <v>145</v>
      </c>
    </row>
    <row r="11" spans="1:12" ht="13.5" customHeight="1" x14ac:dyDescent="0.2">
      <c r="A11" s="1261" t="str">
        <f>'T06'!$A$13</f>
        <v>2017-18</v>
      </c>
      <c r="B11" s="336">
        <f>'T06'!D13</f>
        <v>543</v>
      </c>
      <c r="C11" s="473">
        <f>'T06'!E13</f>
        <v>111</v>
      </c>
      <c r="D11" s="473">
        <f>'T06'!F13</f>
        <v>1010</v>
      </c>
      <c r="E11" s="473">
        <f>'T06'!G13</f>
        <v>371</v>
      </c>
      <c r="F11" s="336">
        <f>'T06'!H13</f>
        <v>83</v>
      </c>
      <c r="G11" s="336">
        <f>'T06'!I13</f>
        <v>244</v>
      </c>
      <c r="H11" s="336">
        <f>'T06'!J13</f>
        <v>52</v>
      </c>
      <c r="I11" s="336">
        <f>'T06'!K13</f>
        <v>36</v>
      </c>
      <c r="J11" s="336">
        <f>'T06'!L13</f>
        <v>75</v>
      </c>
      <c r="K11" s="12">
        <f t="shared" si="0"/>
        <v>2525</v>
      </c>
      <c r="L11" t="s">
        <v>143</v>
      </c>
    </row>
    <row r="12" spans="1:12" x14ac:dyDescent="0.2">
      <c r="A12" s="1"/>
      <c r="B12" s="1"/>
      <c r="C12" s="1"/>
      <c r="D12" s="1"/>
      <c r="E12" s="1"/>
      <c r="F12" s="1"/>
      <c r="G12" s="1"/>
      <c r="H12" s="1"/>
      <c r="I12" s="1"/>
      <c r="J12" s="39"/>
      <c r="K12" s="39"/>
    </row>
    <row r="13" spans="1:12" x14ac:dyDescent="0.2">
      <c r="A13" s="2" t="s">
        <v>162</v>
      </c>
      <c r="B13" s="1"/>
      <c r="C13" s="1"/>
      <c r="D13" s="1"/>
      <c r="E13" s="1"/>
      <c r="F13" s="1"/>
      <c r="G13" s="1"/>
      <c r="H13" s="1"/>
      <c r="I13" s="1"/>
      <c r="J13" s="39"/>
      <c r="K13" s="39"/>
    </row>
    <row r="14" spans="1:12" x14ac:dyDescent="0.2">
      <c r="A14" s="1649" t="s">
        <v>967</v>
      </c>
      <c r="B14" s="1649"/>
      <c r="C14" s="1"/>
      <c r="D14" s="1"/>
      <c r="E14" s="1"/>
      <c r="F14" s="1"/>
      <c r="G14" s="1"/>
      <c r="H14" s="1"/>
      <c r="I14" s="1"/>
      <c r="J14" s="39"/>
      <c r="K14" s="39"/>
    </row>
    <row r="15" spans="1:12" x14ac:dyDescent="0.2">
      <c r="A15" s="71" t="s">
        <v>971</v>
      </c>
      <c r="B15" s="122"/>
      <c r="C15" s="1"/>
      <c r="D15" s="1"/>
      <c r="E15" s="1"/>
      <c r="F15" s="1"/>
      <c r="G15" s="1"/>
      <c r="H15" s="1"/>
      <c r="I15" s="1"/>
      <c r="J15" s="39"/>
      <c r="K15" s="39"/>
    </row>
    <row r="16" spans="1:12" x14ac:dyDescent="0.2">
      <c r="A16" s="1673"/>
      <c r="B16" s="1673"/>
      <c r="C16" s="1673"/>
      <c r="D16" s="1673"/>
      <c r="E16" s="1673"/>
      <c r="F16" s="1673"/>
      <c r="G16" s="1673"/>
      <c r="H16" s="1"/>
      <c r="I16" s="1"/>
      <c r="J16" s="39"/>
      <c r="K16" s="39"/>
    </row>
    <row r="17" spans="1:11" ht="38.25" customHeight="1" x14ac:dyDescent="0.2">
      <c r="A17" s="1655" t="s">
        <v>615</v>
      </c>
      <c r="B17" s="1655"/>
      <c r="C17" s="1655"/>
      <c r="D17" s="1655"/>
      <c r="E17" s="1655"/>
      <c r="F17" s="1655"/>
      <c r="G17" s="1655"/>
      <c r="H17" s="1655"/>
      <c r="I17" s="1655"/>
      <c r="J17" s="1655"/>
      <c r="K17" s="39"/>
    </row>
    <row r="18" spans="1:11" ht="15" x14ac:dyDescent="0.25">
      <c r="A18" s="1"/>
      <c r="B18" s="1"/>
      <c r="C18" s="1"/>
      <c r="D18" s="1"/>
      <c r="E18" s="1"/>
      <c r="F18" s="1"/>
      <c r="G18" s="1"/>
      <c r="H18" s="253" t="s">
        <v>0</v>
      </c>
      <c r="I18" s="1"/>
      <c r="J18" s="1"/>
      <c r="K18" s="1"/>
    </row>
    <row r="19" spans="1:11" ht="38.25" x14ac:dyDescent="0.2">
      <c r="A19" s="86" t="s">
        <v>4</v>
      </c>
      <c r="B19" s="117" t="s">
        <v>173</v>
      </c>
      <c r="C19" s="1115" t="s">
        <v>179</v>
      </c>
      <c r="D19" s="1115" t="s">
        <v>176</v>
      </c>
      <c r="E19" s="1115" t="s">
        <v>72</v>
      </c>
      <c r="F19" s="1206" t="s">
        <v>616</v>
      </c>
      <c r="G19" s="229" t="s">
        <v>74</v>
      </c>
      <c r="H19" s="772" t="s">
        <v>174</v>
      </c>
      <c r="I19" s="1"/>
    </row>
    <row r="20" spans="1:11" ht="18.75" customHeight="1" x14ac:dyDescent="0.2">
      <c r="A20" s="1017" t="s">
        <v>20</v>
      </c>
      <c r="B20" s="93">
        <v>22</v>
      </c>
      <c r="C20" s="380">
        <v>283</v>
      </c>
      <c r="D20" s="380">
        <v>140</v>
      </c>
      <c r="E20" s="380">
        <v>539</v>
      </c>
      <c r="F20" s="475"/>
      <c r="G20" s="380">
        <f xml:space="preserve"> 702 +787</f>
        <v>1489</v>
      </c>
      <c r="H20" s="40">
        <f>SUM(B20:G20)</f>
        <v>2473</v>
      </c>
      <c r="I20" s="7"/>
    </row>
    <row r="21" spans="1:11" ht="13.5" customHeight="1" x14ac:dyDescent="0.2">
      <c r="A21" s="30" t="s">
        <v>13</v>
      </c>
      <c r="B21" s="6">
        <v>10</v>
      </c>
      <c r="C21" s="7">
        <v>249</v>
      </c>
      <c r="D21" s="7">
        <v>71</v>
      </c>
      <c r="E21" s="7">
        <v>324</v>
      </c>
      <c r="F21" s="112">
        <v>5</v>
      </c>
      <c r="G21" s="7">
        <f xml:space="preserve"> 289 +188</f>
        <v>477</v>
      </c>
      <c r="H21" s="9">
        <f t="shared" ref="H21:H27" si="1">SUM(B21:G21)</f>
        <v>1136</v>
      </c>
      <c r="I21" s="7"/>
    </row>
    <row r="22" spans="1:11" ht="13.5" customHeight="1" x14ac:dyDescent="0.2">
      <c r="A22" s="30" t="s">
        <v>15</v>
      </c>
      <c r="B22" s="6">
        <v>24</v>
      </c>
      <c r="C22" s="7">
        <v>325</v>
      </c>
      <c r="D22" s="7">
        <v>75</v>
      </c>
      <c r="E22" s="7">
        <v>354</v>
      </c>
      <c r="F22" s="41">
        <v>161</v>
      </c>
      <c r="G22" s="7">
        <f xml:space="preserve"> 266 +146</f>
        <v>412</v>
      </c>
      <c r="H22" s="9">
        <f t="shared" si="1"/>
        <v>1351</v>
      </c>
      <c r="I22" s="7"/>
    </row>
    <row r="23" spans="1:11" ht="13.5" customHeight="1" x14ac:dyDescent="0.2">
      <c r="A23" s="30" t="s">
        <v>17</v>
      </c>
      <c r="B23" s="6">
        <v>10</v>
      </c>
      <c r="C23" s="7">
        <v>165</v>
      </c>
      <c r="D23" s="7">
        <v>44</v>
      </c>
      <c r="E23" s="7">
        <v>283</v>
      </c>
      <c r="F23" s="41">
        <v>215</v>
      </c>
      <c r="G23" s="7">
        <f xml:space="preserve"> 202 +147</f>
        <v>349</v>
      </c>
      <c r="H23" s="9">
        <f t="shared" si="1"/>
        <v>1066</v>
      </c>
      <c r="I23" s="7"/>
      <c r="J23" s="1"/>
    </row>
    <row r="24" spans="1:11" ht="13.5" customHeight="1" x14ac:dyDescent="0.2">
      <c r="A24" s="30" t="s">
        <v>147</v>
      </c>
      <c r="B24" s="6">
        <v>20</v>
      </c>
      <c r="C24" s="7">
        <v>206</v>
      </c>
      <c r="D24" s="7">
        <v>59</v>
      </c>
      <c r="E24" s="7">
        <v>275</v>
      </c>
      <c r="F24" s="41">
        <v>299</v>
      </c>
      <c r="G24" s="7">
        <f xml:space="preserve"> 231+ 161</f>
        <v>392</v>
      </c>
      <c r="H24" s="9">
        <f t="shared" si="1"/>
        <v>1251</v>
      </c>
      <c r="I24" s="7"/>
      <c r="J24" s="1"/>
      <c r="K24" s="1"/>
    </row>
    <row r="25" spans="1:11" ht="13.5" customHeight="1" x14ac:dyDescent="0.2">
      <c r="A25" s="30" t="str">
        <f>'T06'!$A$21</f>
        <v>2015-16</v>
      </c>
      <c r="B25" s="6">
        <f>'T06'!C21</f>
        <v>52</v>
      </c>
      <c r="C25" s="7">
        <f>'T06'!D21</f>
        <v>360</v>
      </c>
      <c r="D25" s="7">
        <f>'T06'!E21</f>
        <v>88</v>
      </c>
      <c r="E25" s="7">
        <f>'T06'!F21</f>
        <v>321</v>
      </c>
      <c r="F25" s="41">
        <f>'T06'!G21</f>
        <v>308</v>
      </c>
      <c r="G25" s="7">
        <f>'T06'!H21</f>
        <v>359</v>
      </c>
      <c r="H25" s="9">
        <f t="shared" si="1"/>
        <v>1488</v>
      </c>
      <c r="I25" s="7" t="s">
        <v>145</v>
      </c>
      <c r="J25" s="1"/>
      <c r="K25" s="1"/>
    </row>
    <row r="26" spans="1:11" ht="13.5" customHeight="1" x14ac:dyDescent="0.2">
      <c r="A26" s="30" t="str">
        <f>'T06'!$A$22</f>
        <v>2016-17</v>
      </c>
      <c r="B26" s="6">
        <f>'T06'!C22</f>
        <v>3</v>
      </c>
      <c r="C26" s="7">
        <f>'T06'!D22</f>
        <v>94</v>
      </c>
      <c r="D26" s="7">
        <f>'T06'!E22</f>
        <v>38</v>
      </c>
      <c r="E26" s="7">
        <f>'T06'!F22</f>
        <v>232</v>
      </c>
      <c r="F26" s="41">
        <f>'T06'!G22</f>
        <v>316</v>
      </c>
      <c r="G26" s="7">
        <f>'T06'!H22</f>
        <v>322</v>
      </c>
      <c r="H26" s="9">
        <f t="shared" si="1"/>
        <v>1005</v>
      </c>
      <c r="I26" s="7" t="s">
        <v>145</v>
      </c>
      <c r="J26" s="1"/>
      <c r="K26" s="1"/>
    </row>
    <row r="27" spans="1:11" ht="13.5" customHeight="1" x14ac:dyDescent="0.2">
      <c r="A27" s="1261" t="str">
        <f>'T06'!$A$23</f>
        <v>2017-18</v>
      </c>
      <c r="B27" s="363">
        <f>'T06'!C23</f>
        <v>11</v>
      </c>
      <c r="C27" s="336">
        <f>'T06'!D23</f>
        <v>98</v>
      </c>
      <c r="D27" s="336">
        <f>'T06'!E23</f>
        <v>46</v>
      </c>
      <c r="E27" s="336">
        <f>'T06'!F23</f>
        <v>251</v>
      </c>
      <c r="F27" s="473">
        <f>'T06'!G23</f>
        <v>454</v>
      </c>
      <c r="G27" s="336">
        <f>'T06'!H23</f>
        <v>437</v>
      </c>
      <c r="H27" s="12">
        <f t="shared" si="1"/>
        <v>1297</v>
      </c>
      <c r="I27" s="7" t="s">
        <v>143</v>
      </c>
      <c r="J27" s="1"/>
      <c r="K27" s="1"/>
    </row>
    <row r="28" spans="1:11" x14ac:dyDescent="0.2">
      <c r="A28" s="1"/>
      <c r="B28" s="1"/>
      <c r="C28" s="1"/>
      <c r="D28" s="1"/>
      <c r="E28" s="1"/>
      <c r="F28" s="1"/>
      <c r="G28" s="1"/>
      <c r="H28" s="1"/>
      <c r="I28" s="1"/>
      <c r="J28" s="1"/>
      <c r="K28" s="1"/>
    </row>
    <row r="29" spans="1:11" x14ac:dyDescent="0.2">
      <c r="A29" s="2" t="s">
        <v>162</v>
      </c>
      <c r="B29" s="1"/>
      <c r="C29" s="1"/>
      <c r="D29" s="1"/>
      <c r="E29" s="1"/>
      <c r="F29" s="1"/>
      <c r="G29" s="1"/>
      <c r="H29" s="1"/>
      <c r="I29" s="1"/>
      <c r="J29" s="1"/>
      <c r="K29" s="1"/>
    </row>
    <row r="30" spans="1:11" x14ac:dyDescent="0.2">
      <c r="A30" s="1649" t="s">
        <v>967</v>
      </c>
      <c r="B30" s="1649"/>
      <c r="C30" s="1"/>
      <c r="D30" s="1"/>
      <c r="E30" s="1"/>
      <c r="F30" s="1"/>
      <c r="G30" s="1"/>
      <c r="H30" s="1"/>
      <c r="I30" s="1"/>
      <c r="J30" s="1"/>
      <c r="K30" s="1"/>
    </row>
    <row r="31" spans="1:11" x14ac:dyDescent="0.2">
      <c r="A31" s="71" t="s">
        <v>971</v>
      </c>
      <c r="B31" s="1"/>
      <c r="C31" s="1"/>
      <c r="D31" s="1"/>
      <c r="E31" s="1"/>
      <c r="F31" s="1"/>
      <c r="G31" s="1"/>
      <c r="H31" s="1"/>
      <c r="I31" s="1"/>
      <c r="J31" s="1"/>
      <c r="K31" s="1"/>
    </row>
    <row r="32" spans="1:11" ht="38.25" customHeight="1" x14ac:dyDescent="0.2">
      <c r="A32" s="1672" t="s">
        <v>978</v>
      </c>
      <c r="B32" s="1672"/>
      <c r="C32" s="1672"/>
      <c r="D32" s="1672"/>
      <c r="E32" s="1672"/>
      <c r="F32" s="1672"/>
      <c r="G32" s="1672"/>
      <c r="H32" s="1672"/>
      <c r="I32" s="1"/>
      <c r="J32" s="1"/>
      <c r="K32" s="1"/>
    </row>
    <row r="34" spans="1:2" x14ac:dyDescent="0.2">
      <c r="A34" s="1668" t="s">
        <v>169</v>
      </c>
      <c r="B34" s="1668"/>
    </row>
  </sheetData>
  <sheetProtection algorithmName="SHA-512" hashValue="3Up3srwA/PkO2BSRStI+U/lUjYOMSlcdM5Uqu4UpX0XQ5sP9+e9xfEbq5npuRh4ulxDjmPKfeV2XL9tzCo0iZA==" saltValue="nfsHEe4U/A4G/Vb/cBDeeg==" spinCount="100000" sheet="1" objects="1" scenarios="1"/>
  <mergeCells count="7">
    <mergeCell ref="A34:B34"/>
    <mergeCell ref="A1:L1"/>
    <mergeCell ref="A17:J17"/>
    <mergeCell ref="A30:B30"/>
    <mergeCell ref="A32:H32"/>
    <mergeCell ref="A14:B14"/>
    <mergeCell ref="A16:G16"/>
  </mergeCells>
  <hyperlinks>
    <hyperlink ref="A34:B34" location="Contents!A1" display="Return to contents" xr:uid="{00000000-0004-0000-2100-000000000000}"/>
  </hyperlinks>
  <pageMargins left="0.7" right="0.7" top="0.75" bottom="0.75" header="0.3" footer="0.3"/>
  <pageSetup paperSize="9" scale="68" orientation="portrait" r:id="rId1"/>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theme="4"/>
    <pageSetUpPr fitToPage="1"/>
  </sheetPr>
  <dimension ref="A1:U35"/>
  <sheetViews>
    <sheetView zoomScaleNormal="100" workbookViewId="0">
      <selection sqref="A1:D1"/>
    </sheetView>
  </sheetViews>
  <sheetFormatPr defaultRowHeight="12.75" x14ac:dyDescent="0.2"/>
  <cols>
    <col min="1" max="1" width="45.5703125" style="1" customWidth="1"/>
    <col min="2" max="9" width="9.7109375" style="1" customWidth="1"/>
    <col min="10" max="11" width="2.28515625" style="1" customWidth="1"/>
    <col min="12" max="18" width="9.7109375" style="1" customWidth="1"/>
    <col min="19" max="16384" width="9.140625" style="1"/>
  </cols>
  <sheetData>
    <row r="1" spans="1:19" ht="38.25" customHeight="1" x14ac:dyDescent="0.25">
      <c r="A1" s="1655" t="s">
        <v>619</v>
      </c>
      <c r="B1" s="1655"/>
      <c r="C1" s="1655"/>
      <c r="D1" s="1655"/>
      <c r="E1" s="467"/>
      <c r="F1" s="467"/>
      <c r="G1" s="467"/>
      <c r="H1" s="467"/>
      <c r="I1" s="253" t="s">
        <v>0</v>
      </c>
      <c r="J1" s="253"/>
      <c r="K1" s="467"/>
      <c r="L1" s="467"/>
      <c r="M1" s="467"/>
      <c r="N1" s="467"/>
      <c r="O1" s="467"/>
      <c r="P1" s="467"/>
      <c r="Q1" s="467"/>
      <c r="R1" s="516"/>
      <c r="S1" s="253" t="s">
        <v>0</v>
      </c>
    </row>
    <row r="2" spans="1:19" x14ac:dyDescent="0.2">
      <c r="G2" s="141" t="s">
        <v>145</v>
      </c>
      <c r="H2" s="141" t="s">
        <v>145</v>
      </c>
      <c r="I2" s="141" t="s">
        <v>143</v>
      </c>
      <c r="J2" s="141"/>
      <c r="K2" s="141"/>
      <c r="L2" s="141"/>
      <c r="M2" s="141"/>
      <c r="N2" s="141"/>
      <c r="O2" s="141"/>
      <c r="P2" s="141"/>
      <c r="Q2" s="141" t="s">
        <v>145</v>
      </c>
      <c r="R2" s="141" t="s">
        <v>145</v>
      </c>
      <c r="S2" s="141" t="s">
        <v>143</v>
      </c>
    </row>
    <row r="3" spans="1:19" x14ac:dyDescent="0.2">
      <c r="A3" s="51"/>
      <c r="B3" s="1674" t="s">
        <v>60</v>
      </c>
      <c r="C3" s="1675"/>
      <c r="D3" s="1675"/>
      <c r="E3" s="1675"/>
      <c r="F3" s="1675"/>
      <c r="G3" s="1675"/>
      <c r="H3" s="1675"/>
      <c r="I3" s="1676"/>
      <c r="J3" s="518"/>
      <c r="L3" s="1674" t="s">
        <v>75</v>
      </c>
      <c r="M3" s="1675"/>
      <c r="N3" s="1675"/>
      <c r="O3" s="1675"/>
      <c r="P3" s="1675"/>
      <c r="Q3" s="1675"/>
      <c r="R3" s="1675"/>
      <c r="S3" s="1676"/>
    </row>
    <row r="4" spans="1:19" x14ac:dyDescent="0.2">
      <c r="A4" s="86" t="s">
        <v>345</v>
      </c>
      <c r="B4" s="1117" t="s">
        <v>20</v>
      </c>
      <c r="C4" s="1118" t="s">
        <v>13</v>
      </c>
      <c r="D4" s="1118" t="s">
        <v>15</v>
      </c>
      <c r="E4" s="1118" t="s">
        <v>17</v>
      </c>
      <c r="F4" s="1118" t="s">
        <v>147</v>
      </c>
      <c r="G4" s="1118" t="s">
        <v>160</v>
      </c>
      <c r="H4" s="1118" t="s">
        <v>379</v>
      </c>
      <c r="I4" s="1120" t="s">
        <v>603</v>
      </c>
      <c r="J4" s="1603"/>
      <c r="L4" s="1117" t="s">
        <v>20</v>
      </c>
      <c r="M4" s="1118" t="s">
        <v>13</v>
      </c>
      <c r="N4" s="1118" t="s">
        <v>15</v>
      </c>
      <c r="O4" s="1118" t="s">
        <v>17</v>
      </c>
      <c r="P4" s="1118" t="s">
        <v>147</v>
      </c>
      <c r="Q4" s="1118" t="s">
        <v>160</v>
      </c>
      <c r="R4" s="1118" t="s">
        <v>379</v>
      </c>
      <c r="S4" s="1120" t="s">
        <v>603</v>
      </c>
    </row>
    <row r="5" spans="1:19" ht="18.75" customHeight="1" x14ac:dyDescent="0.2">
      <c r="A5" s="46" t="s">
        <v>73</v>
      </c>
      <c r="B5" s="911">
        <v>122</v>
      </c>
      <c r="C5" s="208">
        <v>98</v>
      </c>
      <c r="D5" s="208">
        <v>90</v>
      </c>
      <c r="E5" s="208">
        <v>110</v>
      </c>
      <c r="F5" s="208">
        <v>105</v>
      </c>
      <c r="G5" s="208">
        <f>'T07'!D5</f>
        <v>104</v>
      </c>
      <c r="H5" s="208">
        <f>'T07'!E5</f>
        <v>94</v>
      </c>
      <c r="I5" s="209">
        <f>'T07'!F5</f>
        <v>81</v>
      </c>
      <c r="J5" s="210"/>
      <c r="L5" s="911">
        <v>1872</v>
      </c>
      <c r="M5" s="208">
        <v>1772</v>
      </c>
      <c r="N5" s="208">
        <v>1797</v>
      </c>
      <c r="O5" s="208">
        <v>1881</v>
      </c>
      <c r="P5" s="208">
        <v>1846</v>
      </c>
      <c r="Q5" s="215">
        <f>'T07'!I5</f>
        <v>2046</v>
      </c>
      <c r="R5" s="215">
        <f>'T07'!J5</f>
        <v>2059</v>
      </c>
      <c r="S5" s="216">
        <f>'T07'!K5</f>
        <v>2057</v>
      </c>
    </row>
    <row r="6" spans="1:19" ht="13.5" customHeight="1" x14ac:dyDescent="0.2">
      <c r="A6" s="46" t="s">
        <v>981</v>
      </c>
      <c r="B6" s="912">
        <v>2</v>
      </c>
      <c r="C6" s="210">
        <v>3</v>
      </c>
      <c r="D6" s="210">
        <v>7</v>
      </c>
      <c r="E6" s="210">
        <v>1</v>
      </c>
      <c r="F6" s="210">
        <v>2</v>
      </c>
      <c r="G6" s="210">
        <f>'T07'!D6</f>
        <v>1</v>
      </c>
      <c r="H6" s="210">
        <f>'T07'!E6</f>
        <v>3</v>
      </c>
      <c r="I6" s="211">
        <f>'T07'!F6</f>
        <v>3</v>
      </c>
      <c r="J6" s="210"/>
      <c r="L6" s="912">
        <v>29</v>
      </c>
      <c r="M6" s="210">
        <v>27</v>
      </c>
      <c r="N6" s="210">
        <v>16</v>
      </c>
      <c r="O6" s="210">
        <v>19</v>
      </c>
      <c r="P6" s="210">
        <v>22</v>
      </c>
      <c r="Q6" s="177">
        <f>'T07'!I6</f>
        <v>21</v>
      </c>
      <c r="R6" s="177">
        <f>'T07'!J6</f>
        <v>22</v>
      </c>
      <c r="S6" s="217">
        <f>'T07'!K6</f>
        <v>10</v>
      </c>
    </row>
    <row r="7" spans="1:19" ht="13.5" customHeight="1" x14ac:dyDescent="0.2">
      <c r="A7" s="46" t="s">
        <v>66</v>
      </c>
      <c r="B7" s="241">
        <v>0</v>
      </c>
      <c r="C7" s="212">
        <v>0</v>
      </c>
      <c r="D7" s="212">
        <v>0</v>
      </c>
      <c r="E7" s="212">
        <v>0</v>
      </c>
      <c r="F7" s="212">
        <v>0</v>
      </c>
      <c r="G7" s="212">
        <f>'T07'!D7</f>
        <v>0</v>
      </c>
      <c r="H7" s="212">
        <f>'T07'!E7</f>
        <v>0</v>
      </c>
      <c r="I7" s="213">
        <f>'T07'!F7</f>
        <v>0</v>
      </c>
      <c r="J7" s="212"/>
      <c r="L7" s="912">
        <v>3</v>
      </c>
      <c r="M7" s="210">
        <v>3</v>
      </c>
      <c r="N7" s="210">
        <v>2</v>
      </c>
      <c r="O7" s="210">
        <v>6</v>
      </c>
      <c r="P7" s="210">
        <v>6</v>
      </c>
      <c r="Q7" s="177">
        <f>'T07'!I7</f>
        <v>5</v>
      </c>
      <c r="R7" s="177">
        <f>'T07'!J7</f>
        <v>2</v>
      </c>
      <c r="S7" s="217">
        <f>'T07'!K7</f>
        <v>6</v>
      </c>
    </row>
    <row r="8" spans="1:19" ht="13.5" customHeight="1" x14ac:dyDescent="0.2">
      <c r="A8" s="46" t="s">
        <v>982</v>
      </c>
      <c r="B8" s="912">
        <v>16</v>
      </c>
      <c r="C8" s="210">
        <v>17</v>
      </c>
      <c r="D8" s="210">
        <v>23</v>
      </c>
      <c r="E8" s="210">
        <v>18</v>
      </c>
      <c r="F8" s="210">
        <v>14</v>
      </c>
      <c r="G8" s="210">
        <f>'T07'!D8</f>
        <v>15</v>
      </c>
      <c r="H8" s="210">
        <f>'T07'!E8</f>
        <v>24</v>
      </c>
      <c r="I8" s="211">
        <f>'T07'!F8</f>
        <v>24</v>
      </c>
      <c r="J8" s="210"/>
      <c r="L8" s="912">
        <v>33</v>
      </c>
      <c r="M8" s="210">
        <v>31</v>
      </c>
      <c r="N8" s="210">
        <v>42</v>
      </c>
      <c r="O8" s="210">
        <v>45</v>
      </c>
      <c r="P8" s="210">
        <v>34</v>
      </c>
      <c r="Q8" s="177">
        <f>'T07'!I8</f>
        <v>55</v>
      </c>
      <c r="R8" s="177">
        <f>'T07'!J8</f>
        <v>46</v>
      </c>
      <c r="S8" s="217">
        <f>'T07'!K8</f>
        <v>60</v>
      </c>
    </row>
    <row r="9" spans="1:19" ht="13.5" customHeight="1" x14ac:dyDescent="0.2">
      <c r="A9" s="46" t="s">
        <v>983</v>
      </c>
      <c r="B9" s="912">
        <v>8</v>
      </c>
      <c r="C9" s="210">
        <v>6</v>
      </c>
      <c r="D9" s="210">
        <v>8</v>
      </c>
      <c r="E9" s="210">
        <v>23</v>
      </c>
      <c r="F9" s="212">
        <v>10</v>
      </c>
      <c r="G9" s="212">
        <f>'T07'!D9</f>
        <v>7</v>
      </c>
      <c r="H9" s="212">
        <f>'T07'!E9</f>
        <v>12</v>
      </c>
      <c r="I9" s="213">
        <f>'T07'!F9</f>
        <v>10</v>
      </c>
      <c r="J9" s="212"/>
      <c r="L9" s="912">
        <v>141</v>
      </c>
      <c r="M9" s="210">
        <v>150</v>
      </c>
      <c r="N9" s="210">
        <v>142</v>
      </c>
      <c r="O9" s="210">
        <v>119</v>
      </c>
      <c r="P9" s="212">
        <v>129</v>
      </c>
      <c r="Q9" s="177">
        <f>'T07'!I9</f>
        <v>130</v>
      </c>
      <c r="R9" s="177">
        <f>'T07'!J9</f>
        <v>125</v>
      </c>
      <c r="S9" s="217">
        <f>'T07'!K9</f>
        <v>151</v>
      </c>
    </row>
    <row r="10" spans="1:19" ht="13.5" customHeight="1" x14ac:dyDescent="0.2">
      <c r="A10" s="46" t="s">
        <v>67</v>
      </c>
      <c r="B10" s="241">
        <v>0</v>
      </c>
      <c r="C10" s="212">
        <v>0</v>
      </c>
      <c r="D10" s="212" t="s">
        <v>56</v>
      </c>
      <c r="E10" s="212" t="s">
        <v>56</v>
      </c>
      <c r="F10" s="212">
        <v>2</v>
      </c>
      <c r="G10" s="212">
        <f>'T07'!D10</f>
        <v>0</v>
      </c>
      <c r="H10" s="212">
        <f>'T07'!E10</f>
        <v>0</v>
      </c>
      <c r="I10" s="213">
        <f>'T07'!F10</f>
        <v>0</v>
      </c>
      <c r="J10" s="212"/>
      <c r="L10" s="912">
        <v>7</v>
      </c>
      <c r="M10" s="210">
        <v>6</v>
      </c>
      <c r="N10" s="210">
        <v>14</v>
      </c>
      <c r="O10" s="210">
        <v>23</v>
      </c>
      <c r="P10" s="210">
        <v>7</v>
      </c>
      <c r="Q10" s="177">
        <f>'T07'!I10</f>
        <v>12</v>
      </c>
      <c r="R10" s="177">
        <f>'T07'!J10</f>
        <v>30</v>
      </c>
      <c r="S10" s="217">
        <f>'T07'!K10</f>
        <v>56</v>
      </c>
    </row>
    <row r="11" spans="1:19" ht="13.5" customHeight="1" x14ac:dyDescent="0.2">
      <c r="A11" s="46" t="s">
        <v>68</v>
      </c>
      <c r="B11" s="241">
        <v>0</v>
      </c>
      <c r="C11" s="212">
        <v>0</v>
      </c>
      <c r="D11" s="212">
        <v>0</v>
      </c>
      <c r="E11" s="212">
        <v>0</v>
      </c>
      <c r="F11" s="212">
        <v>0</v>
      </c>
      <c r="G11" s="212">
        <f>'T07'!D11</f>
        <v>0</v>
      </c>
      <c r="H11" s="212">
        <f>'T07'!E11</f>
        <v>0</v>
      </c>
      <c r="I11" s="213">
        <f>'T07'!F11</f>
        <v>0</v>
      </c>
      <c r="J11" s="212"/>
      <c r="L11" s="912">
        <v>8</v>
      </c>
      <c r="M11" s="210">
        <v>13</v>
      </c>
      <c r="N11" s="210">
        <v>7</v>
      </c>
      <c r="O11" s="210">
        <v>10</v>
      </c>
      <c r="P11" s="210">
        <v>7</v>
      </c>
      <c r="Q11" s="177">
        <f>'T07'!I11</f>
        <v>9</v>
      </c>
      <c r="R11" s="177">
        <f>'T07'!J11</f>
        <v>5</v>
      </c>
      <c r="S11" s="217">
        <f>'T07'!K11</f>
        <v>10</v>
      </c>
    </row>
    <row r="12" spans="1:19" ht="13.5" customHeight="1" x14ac:dyDescent="0.2">
      <c r="A12" s="46" t="s">
        <v>992</v>
      </c>
      <c r="B12" s="912">
        <v>15</v>
      </c>
      <c r="C12" s="212">
        <v>15</v>
      </c>
      <c r="D12" s="212">
        <v>7</v>
      </c>
      <c r="E12" s="212">
        <v>7</v>
      </c>
      <c r="F12" s="210">
        <v>20</v>
      </c>
      <c r="G12" s="210">
        <f>'T07'!D12</f>
        <v>80</v>
      </c>
      <c r="H12" s="210">
        <f>'T07'!E12</f>
        <v>130</v>
      </c>
      <c r="I12" s="211">
        <f>'T07'!F12</f>
        <v>59</v>
      </c>
      <c r="J12" s="210"/>
      <c r="L12" s="912">
        <v>220</v>
      </c>
      <c r="M12" s="212">
        <v>183</v>
      </c>
      <c r="N12" s="212">
        <v>143</v>
      </c>
      <c r="O12" s="212">
        <v>157</v>
      </c>
      <c r="P12" s="210">
        <v>182</v>
      </c>
      <c r="Q12" s="177">
        <f>'T07'!I12</f>
        <v>265</v>
      </c>
      <c r="R12" s="177">
        <f>'T07'!J12</f>
        <v>270</v>
      </c>
      <c r="S12" s="217">
        <f>'T07'!K12</f>
        <v>277</v>
      </c>
    </row>
    <row r="13" spans="1:19" ht="13.5" customHeight="1" x14ac:dyDescent="0.2">
      <c r="A13" s="46" t="s">
        <v>985</v>
      </c>
      <c r="B13" s="912">
        <v>28</v>
      </c>
      <c r="C13" s="210">
        <v>36</v>
      </c>
      <c r="D13" s="210">
        <v>19</v>
      </c>
      <c r="E13" s="210">
        <v>11</v>
      </c>
      <c r="F13" s="210">
        <v>30</v>
      </c>
      <c r="G13" s="210">
        <f>'T07'!D13</f>
        <v>30</v>
      </c>
      <c r="H13" s="210">
        <f>'T07'!E13</f>
        <v>36</v>
      </c>
      <c r="I13" s="211">
        <f>'T07'!F13</f>
        <v>22</v>
      </c>
      <c r="J13" s="210"/>
      <c r="L13" s="912">
        <v>11</v>
      </c>
      <c r="M13" s="210">
        <v>18</v>
      </c>
      <c r="N13" s="210">
        <v>10</v>
      </c>
      <c r="O13" s="210">
        <v>12</v>
      </c>
      <c r="P13" s="210">
        <v>16</v>
      </c>
      <c r="Q13" s="177">
        <f>'T07'!I13</f>
        <v>13</v>
      </c>
      <c r="R13" s="177">
        <f>'T07'!J13</f>
        <v>30</v>
      </c>
      <c r="S13" s="217">
        <f>'T07'!K13</f>
        <v>27</v>
      </c>
    </row>
    <row r="14" spans="1:19" ht="13.5" customHeight="1" x14ac:dyDescent="0.2">
      <c r="A14" s="78" t="s">
        <v>986</v>
      </c>
      <c r="B14" s="241">
        <v>1</v>
      </c>
      <c r="C14" s="210">
        <v>1</v>
      </c>
      <c r="D14" s="210">
        <v>1</v>
      </c>
      <c r="E14" s="210">
        <v>1</v>
      </c>
      <c r="F14" s="210">
        <v>2</v>
      </c>
      <c r="G14" s="210">
        <f>'T07'!D14</f>
        <v>7</v>
      </c>
      <c r="H14" s="210">
        <f>'T07'!E14</f>
        <v>0</v>
      </c>
      <c r="I14" s="211">
        <f>'T07'!F14</f>
        <v>1</v>
      </c>
      <c r="J14" s="210"/>
      <c r="L14" s="912">
        <v>28</v>
      </c>
      <c r="M14" s="210">
        <v>68</v>
      </c>
      <c r="N14" s="210">
        <v>35</v>
      </c>
      <c r="O14" s="210">
        <v>44</v>
      </c>
      <c r="P14" s="210">
        <v>33</v>
      </c>
      <c r="Q14" s="177">
        <f>'T07'!I14</f>
        <v>23</v>
      </c>
      <c r="R14" s="177">
        <f>'T07'!J14</f>
        <v>37</v>
      </c>
      <c r="S14" s="217">
        <f>'T07'!K14</f>
        <v>51</v>
      </c>
    </row>
    <row r="15" spans="1:19" ht="13.5" customHeight="1" x14ac:dyDescent="0.2">
      <c r="A15" s="46" t="s">
        <v>69</v>
      </c>
      <c r="B15" s="241">
        <v>0</v>
      </c>
      <c r="C15" s="212">
        <v>0</v>
      </c>
      <c r="D15" s="212">
        <v>0</v>
      </c>
      <c r="E15" s="212">
        <v>0</v>
      </c>
      <c r="F15" s="212">
        <v>0</v>
      </c>
      <c r="G15" s="212">
        <f>'T07'!D15</f>
        <v>0</v>
      </c>
      <c r="H15" s="212">
        <f>'T07'!E15</f>
        <v>0</v>
      </c>
      <c r="I15" s="213">
        <f>'T07'!F15</f>
        <v>0</v>
      </c>
      <c r="J15" s="212"/>
      <c r="L15" s="241">
        <v>8</v>
      </c>
      <c r="M15" s="212">
        <v>3</v>
      </c>
      <c r="N15" s="212">
        <v>8</v>
      </c>
      <c r="O15" s="212">
        <v>4</v>
      </c>
      <c r="P15" s="210">
        <v>1</v>
      </c>
      <c r="Q15" s="177">
        <f>'T07'!I15</f>
        <v>5</v>
      </c>
      <c r="R15" s="177">
        <f>'T07'!J15</f>
        <v>4</v>
      </c>
      <c r="S15" s="217">
        <f>'T07'!K15</f>
        <v>5</v>
      </c>
    </row>
    <row r="16" spans="1:19" ht="13.5" customHeight="1" x14ac:dyDescent="0.2">
      <c r="A16" s="46" t="s">
        <v>993</v>
      </c>
      <c r="B16" s="241">
        <v>0</v>
      </c>
      <c r="C16" s="212">
        <v>0</v>
      </c>
      <c r="D16" s="212">
        <v>0</v>
      </c>
      <c r="E16" s="212">
        <v>0</v>
      </c>
      <c r="F16" s="212">
        <v>1</v>
      </c>
      <c r="G16" s="212">
        <f>'T07'!D16</f>
        <v>0</v>
      </c>
      <c r="H16" s="212">
        <f>'T07'!E16</f>
        <v>1</v>
      </c>
      <c r="I16" s="213">
        <f>'T07'!F16</f>
        <v>1</v>
      </c>
      <c r="J16" s="212"/>
      <c r="L16" s="912">
        <v>22</v>
      </c>
      <c r="M16" s="210">
        <v>19</v>
      </c>
      <c r="N16" s="210">
        <v>30</v>
      </c>
      <c r="O16" s="210">
        <v>32</v>
      </c>
      <c r="P16" s="210">
        <v>43</v>
      </c>
      <c r="Q16" s="177">
        <f>'T07'!I16</f>
        <v>41</v>
      </c>
      <c r="R16" s="177">
        <f>'T07'!J16</f>
        <v>32</v>
      </c>
      <c r="S16" s="217">
        <f>'T07'!K16</f>
        <v>28</v>
      </c>
    </row>
    <row r="17" spans="1:21" ht="13.5" customHeight="1" x14ac:dyDescent="0.2">
      <c r="A17" s="46" t="s">
        <v>988</v>
      </c>
      <c r="B17" s="241">
        <v>0</v>
      </c>
      <c r="C17" s="212">
        <v>0</v>
      </c>
      <c r="D17" s="212">
        <v>0</v>
      </c>
      <c r="E17" s="212">
        <v>0</v>
      </c>
      <c r="F17" s="212">
        <v>0</v>
      </c>
      <c r="G17" s="212">
        <f>'T07'!D17</f>
        <v>0</v>
      </c>
      <c r="H17" s="212">
        <f>'T07'!E17</f>
        <v>0</v>
      </c>
      <c r="I17" s="213">
        <f>'T07'!F17</f>
        <v>0</v>
      </c>
      <c r="J17" s="212"/>
      <c r="L17" s="241">
        <v>3</v>
      </c>
      <c r="M17" s="212">
        <v>1</v>
      </c>
      <c r="N17" s="212">
        <v>1</v>
      </c>
      <c r="O17" s="212" t="s">
        <v>56</v>
      </c>
      <c r="P17" s="212"/>
      <c r="Q17" s="177">
        <f>'T07'!I17</f>
        <v>2</v>
      </c>
      <c r="R17" s="177">
        <f>'T07'!J17</f>
        <v>2</v>
      </c>
      <c r="S17" s="217">
        <f>'T07'!K17</f>
        <v>4</v>
      </c>
    </row>
    <row r="18" spans="1:21" ht="13.5" customHeight="1" x14ac:dyDescent="0.2">
      <c r="A18" s="10" t="s">
        <v>979</v>
      </c>
      <c r="B18" s="241">
        <v>6</v>
      </c>
      <c r="C18" s="212">
        <v>5</v>
      </c>
      <c r="D18" s="212">
        <v>5</v>
      </c>
      <c r="E18" s="212">
        <v>18</v>
      </c>
      <c r="F18" s="212">
        <v>34</v>
      </c>
      <c r="G18" s="212">
        <f>'T07'!D18</f>
        <v>77</v>
      </c>
      <c r="H18" s="212">
        <f>'T07'!E18</f>
        <v>116</v>
      </c>
      <c r="I18" s="213">
        <f>'T07'!F18</f>
        <v>128</v>
      </c>
      <c r="J18" s="212"/>
      <c r="L18" s="241">
        <v>37</v>
      </c>
      <c r="M18" s="212">
        <v>37</v>
      </c>
      <c r="N18" s="212">
        <v>73</v>
      </c>
      <c r="O18" s="212">
        <v>118</v>
      </c>
      <c r="P18" s="212">
        <v>281</v>
      </c>
      <c r="Q18" s="177">
        <f>'T07'!I18</f>
        <v>444</v>
      </c>
      <c r="R18" s="177">
        <f>'T07'!J18</f>
        <v>549</v>
      </c>
      <c r="S18" s="217">
        <f>'T07'!K18</f>
        <v>632</v>
      </c>
    </row>
    <row r="19" spans="1:21" ht="13.5" customHeight="1" x14ac:dyDescent="0.2">
      <c r="A19" s="46" t="s">
        <v>70</v>
      </c>
      <c r="B19" s="241">
        <v>4</v>
      </c>
      <c r="C19" s="212">
        <v>4</v>
      </c>
      <c r="D19" s="212">
        <v>4</v>
      </c>
      <c r="E19" s="212">
        <v>6</v>
      </c>
      <c r="F19" s="212">
        <v>6</v>
      </c>
      <c r="G19" s="212">
        <f>'T07'!D19</f>
        <v>2</v>
      </c>
      <c r="H19" s="212">
        <f>'T07'!E19</f>
        <v>0</v>
      </c>
      <c r="I19" s="213">
        <f>'T07'!F19</f>
        <v>2</v>
      </c>
      <c r="J19" s="212"/>
      <c r="L19" s="241">
        <v>8</v>
      </c>
      <c r="M19" s="212">
        <v>7</v>
      </c>
      <c r="N19" s="212">
        <v>8</v>
      </c>
      <c r="O19" s="212">
        <v>10</v>
      </c>
      <c r="P19" s="212">
        <v>3</v>
      </c>
      <c r="Q19" s="177">
        <f>'T07'!I19</f>
        <v>11</v>
      </c>
      <c r="R19" s="177">
        <f>'T07'!J19</f>
        <v>10</v>
      </c>
      <c r="S19" s="217">
        <f>'T07'!K19</f>
        <v>16</v>
      </c>
    </row>
    <row r="20" spans="1:21" ht="13.5" customHeight="1" x14ac:dyDescent="0.2">
      <c r="A20" s="46" t="s">
        <v>989</v>
      </c>
      <c r="B20" s="241">
        <v>5</v>
      </c>
      <c r="C20" s="212">
        <v>3</v>
      </c>
      <c r="D20" s="212">
        <v>4</v>
      </c>
      <c r="E20" s="212">
        <v>1</v>
      </c>
      <c r="F20" s="212">
        <v>7</v>
      </c>
      <c r="G20" s="212">
        <f>'T07'!D20</f>
        <v>11</v>
      </c>
      <c r="H20" s="212">
        <f>'T07'!E20</f>
        <v>8</v>
      </c>
      <c r="I20" s="213">
        <f>'T07'!F20</f>
        <v>6</v>
      </c>
      <c r="J20" s="212"/>
      <c r="L20" s="241">
        <v>14</v>
      </c>
      <c r="M20" s="212">
        <v>19</v>
      </c>
      <c r="N20" s="212">
        <v>31</v>
      </c>
      <c r="O20" s="212">
        <v>26</v>
      </c>
      <c r="P20" s="212">
        <v>28</v>
      </c>
      <c r="Q20" s="177">
        <f>'T07'!I20</f>
        <v>24</v>
      </c>
      <c r="R20" s="177">
        <f>'T07'!J20</f>
        <v>29</v>
      </c>
      <c r="S20" s="217">
        <f>'T07'!K20</f>
        <v>37</v>
      </c>
    </row>
    <row r="21" spans="1:21" ht="13.5" customHeight="1" x14ac:dyDescent="0.2">
      <c r="A21" s="46" t="s">
        <v>990</v>
      </c>
      <c r="B21" s="241">
        <v>0</v>
      </c>
      <c r="C21" s="212">
        <v>0</v>
      </c>
      <c r="D21" s="212">
        <v>0</v>
      </c>
      <c r="E21" s="212">
        <v>0</v>
      </c>
      <c r="F21" s="212">
        <v>0</v>
      </c>
      <c r="G21" s="212">
        <f>'T07'!D21</f>
        <v>0</v>
      </c>
      <c r="H21" s="212">
        <f>'T07'!E21</f>
        <v>0</v>
      </c>
      <c r="I21" s="213">
        <f>'T07'!F21</f>
        <v>0</v>
      </c>
      <c r="J21" s="212"/>
      <c r="L21" s="241">
        <v>0</v>
      </c>
      <c r="M21" s="212">
        <v>0</v>
      </c>
      <c r="N21" s="212">
        <v>0</v>
      </c>
      <c r="O21" s="212">
        <v>0</v>
      </c>
      <c r="P21" s="212">
        <v>0</v>
      </c>
      <c r="Q21" s="177">
        <f>'T07'!I21</f>
        <v>0</v>
      </c>
      <c r="R21" s="177">
        <f>'T07'!J21</f>
        <v>0</v>
      </c>
      <c r="S21" s="217">
        <f>'T07'!K21</f>
        <v>0</v>
      </c>
    </row>
    <row r="22" spans="1:21" ht="13.5" customHeight="1" x14ac:dyDescent="0.2">
      <c r="A22" s="46" t="s">
        <v>71</v>
      </c>
      <c r="B22" s="241">
        <v>0</v>
      </c>
      <c r="C22" s="212">
        <v>0</v>
      </c>
      <c r="D22" s="212">
        <v>0</v>
      </c>
      <c r="E22" s="212">
        <v>0</v>
      </c>
      <c r="F22" s="212">
        <v>1</v>
      </c>
      <c r="G22" s="212">
        <f>'T07'!D22</f>
        <v>1</v>
      </c>
      <c r="H22" s="212">
        <f>'T07'!E22</f>
        <v>1</v>
      </c>
      <c r="I22" s="213">
        <f>'T07'!F22</f>
        <v>0</v>
      </c>
      <c r="J22" s="212"/>
      <c r="L22" s="241">
        <v>1</v>
      </c>
      <c r="M22" s="212">
        <v>1</v>
      </c>
      <c r="N22" s="212">
        <v>0</v>
      </c>
      <c r="O22" s="212">
        <v>0</v>
      </c>
      <c r="P22" s="212">
        <v>6</v>
      </c>
      <c r="Q22" s="177">
        <f>'T07'!I22</f>
        <v>0</v>
      </c>
      <c r="R22" s="177">
        <f>'T07'!J22</f>
        <v>0</v>
      </c>
      <c r="S22" s="217">
        <f>'T07'!K22</f>
        <v>1</v>
      </c>
    </row>
    <row r="23" spans="1:21" ht="13.5" customHeight="1" x14ac:dyDescent="0.2">
      <c r="A23" s="46" t="s">
        <v>991</v>
      </c>
      <c r="B23" s="241">
        <v>29</v>
      </c>
      <c r="C23" s="212">
        <v>25</v>
      </c>
      <c r="D23" s="212">
        <v>26</v>
      </c>
      <c r="E23" s="212">
        <v>30</v>
      </c>
      <c r="F23" s="212">
        <v>42</v>
      </c>
      <c r="G23" s="212">
        <f>'T07'!D23</f>
        <v>76</v>
      </c>
      <c r="H23" s="212">
        <f>'T07'!E23</f>
        <v>78</v>
      </c>
      <c r="I23" s="213">
        <f>'T07'!F23</f>
        <v>72</v>
      </c>
      <c r="J23" s="212"/>
      <c r="L23" s="241">
        <v>134</v>
      </c>
      <c r="M23" s="212">
        <v>111</v>
      </c>
      <c r="N23" s="212">
        <v>105</v>
      </c>
      <c r="O23" s="212">
        <v>156</v>
      </c>
      <c r="P23" s="212">
        <v>163</v>
      </c>
      <c r="Q23" s="177">
        <f>'T07'!I23</f>
        <v>267</v>
      </c>
      <c r="R23" s="177">
        <f>'T07'!J23</f>
        <v>333</v>
      </c>
      <c r="S23" s="217">
        <f>'T07'!K23</f>
        <v>332</v>
      </c>
    </row>
    <row r="24" spans="1:21" ht="13.5" customHeight="1" x14ac:dyDescent="0.2">
      <c r="A24" s="46" t="s">
        <v>72</v>
      </c>
      <c r="B24" s="241">
        <v>1</v>
      </c>
      <c r="C24" s="212">
        <v>0</v>
      </c>
      <c r="D24" s="212">
        <v>0</v>
      </c>
      <c r="E24" s="212">
        <v>0</v>
      </c>
      <c r="F24" s="212">
        <v>0</v>
      </c>
      <c r="G24" s="212">
        <f>'T07'!D24</f>
        <v>0</v>
      </c>
      <c r="H24" s="212">
        <f>'T07'!E24</f>
        <v>2</v>
      </c>
      <c r="I24" s="213">
        <f>'T07'!F24</f>
        <v>1</v>
      </c>
      <c r="J24" s="212"/>
      <c r="L24" s="241">
        <v>0</v>
      </c>
      <c r="M24" s="212">
        <v>1</v>
      </c>
      <c r="N24" s="212">
        <v>3</v>
      </c>
      <c r="O24" s="212">
        <v>5</v>
      </c>
      <c r="P24" s="212">
        <v>1</v>
      </c>
      <c r="Q24" s="177">
        <f>'T07'!I24</f>
        <v>0</v>
      </c>
      <c r="R24" s="177">
        <f>'T07'!J24</f>
        <v>7</v>
      </c>
      <c r="S24" s="217">
        <f>'T07'!K24</f>
        <v>6</v>
      </c>
    </row>
    <row r="25" spans="1:21" ht="13.5" customHeight="1" x14ac:dyDescent="0.2">
      <c r="A25" s="14"/>
      <c r="B25" s="79"/>
      <c r="C25" s="21"/>
      <c r="D25" s="21"/>
      <c r="E25" s="21"/>
      <c r="F25" s="21"/>
      <c r="G25" s="21"/>
      <c r="H25" s="21"/>
      <c r="I25" s="80"/>
      <c r="J25" s="21"/>
      <c r="L25" s="18"/>
      <c r="M25" s="19"/>
      <c r="N25" s="19"/>
      <c r="O25" s="19"/>
      <c r="P25" s="19"/>
      <c r="S25" s="207"/>
    </row>
    <row r="26" spans="1:21" ht="30" customHeight="1" x14ac:dyDescent="0.2">
      <c r="A26" s="204" t="s">
        <v>11</v>
      </c>
      <c r="B26" s="510">
        <f>SUM(B5:B25)</f>
        <v>237</v>
      </c>
      <c r="C26" s="511">
        <f t="shared" ref="C26:I26" si="0">SUM(C5:C25)</f>
        <v>213</v>
      </c>
      <c r="D26" s="511">
        <f t="shared" si="0"/>
        <v>194</v>
      </c>
      <c r="E26" s="511">
        <f t="shared" si="0"/>
        <v>226</v>
      </c>
      <c r="F26" s="511">
        <f t="shared" si="0"/>
        <v>276</v>
      </c>
      <c r="G26" s="511">
        <f t="shared" si="0"/>
        <v>411</v>
      </c>
      <c r="H26" s="511">
        <f t="shared" si="0"/>
        <v>505</v>
      </c>
      <c r="I26" s="214">
        <f t="shared" si="0"/>
        <v>410</v>
      </c>
      <c r="J26" s="1604"/>
      <c r="K26" s="202"/>
      <c r="L26" s="97">
        <f t="shared" ref="L26:S26" si="1">SUM(L5:L25)</f>
        <v>2579</v>
      </c>
      <c r="M26" s="98">
        <f t="shared" si="1"/>
        <v>2470</v>
      </c>
      <c r="N26" s="98">
        <f t="shared" si="1"/>
        <v>2467</v>
      </c>
      <c r="O26" s="98">
        <f t="shared" si="1"/>
        <v>2667</v>
      </c>
      <c r="P26" s="98">
        <f t="shared" si="1"/>
        <v>2808</v>
      </c>
      <c r="Q26" s="98">
        <f t="shared" si="1"/>
        <v>3373</v>
      </c>
      <c r="R26" s="98">
        <f t="shared" si="1"/>
        <v>3592</v>
      </c>
      <c r="S26" s="99">
        <f t="shared" si="1"/>
        <v>3766</v>
      </c>
      <c r="U26" s="64"/>
    </row>
    <row r="28" spans="1:21" x14ac:dyDescent="0.2">
      <c r="A28" s="2" t="s">
        <v>162</v>
      </c>
      <c r="L28" s="7"/>
      <c r="M28" s="7"/>
      <c r="N28" s="7"/>
      <c r="O28" s="7"/>
      <c r="P28" s="7"/>
      <c r="Q28" s="7"/>
      <c r="R28" s="7"/>
      <c r="S28" s="7"/>
    </row>
    <row r="29" spans="1:21" x14ac:dyDescent="0.2">
      <c r="A29" s="71" t="s">
        <v>967</v>
      </c>
    </row>
    <row r="30" spans="1:21" x14ac:dyDescent="0.2">
      <c r="A30" s="71" t="s">
        <v>968</v>
      </c>
    </row>
    <row r="31" spans="1:21" x14ac:dyDescent="0.2">
      <c r="A31" s="292"/>
    </row>
    <row r="32" spans="1:21" x14ac:dyDescent="0.2">
      <c r="A32" s="51" t="s">
        <v>136</v>
      </c>
    </row>
    <row r="33" s="1" customFormat="1" x14ac:dyDescent="0.2"/>
    <row r="34" s="1" customFormat="1" x14ac:dyDescent="0.2"/>
    <row r="35" s="1" customFormat="1" x14ac:dyDescent="0.2"/>
  </sheetData>
  <sheetProtection algorithmName="SHA-512" hashValue="aLo73rjoAa85aRhtoP2TqlmvoYh07hYRntr4fkVEyj01c80NpLMcvOBNDzY4Tnn0sr8qutFOiOjNr9xBjq8Msw==" saltValue="r7rVVmO+9x6RWmymNq3Gpw==" spinCount="100000" sheet="1" objects="1" scenarios="1"/>
  <mergeCells count="3">
    <mergeCell ref="B3:I3"/>
    <mergeCell ref="L3:S3"/>
    <mergeCell ref="A1:D1"/>
  </mergeCells>
  <hyperlinks>
    <hyperlink ref="A32" location="Contents!A1" display="Return to contents " xr:uid="{00000000-0004-0000-2200-000000000000}"/>
  </hyperlinks>
  <pageMargins left="0.70866141732283472" right="0.70866141732283472" top="0.74803149606299213" bottom="0.74803149606299213" header="0.31496062992125984" footer="0.31496062992125984"/>
  <pageSetup paperSize="9" scale="62" orientation="landscape" r:id="rId1"/>
  <headerFooter>
    <oddFooter>&amp;L&amp;P&amp;C&amp;A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1">
    <tabColor rgb="FF960000"/>
    <pageSetUpPr fitToPage="1"/>
  </sheetPr>
  <dimension ref="A1:W19"/>
  <sheetViews>
    <sheetView showGridLines="0" workbookViewId="0"/>
  </sheetViews>
  <sheetFormatPr defaultRowHeight="12.75" x14ac:dyDescent="0.2"/>
  <cols>
    <col min="1" max="1" width="20.7109375" customWidth="1"/>
    <col min="2" max="2" width="9.140625" customWidth="1"/>
    <col min="5" max="5" width="9.140625" customWidth="1"/>
  </cols>
  <sheetData>
    <row r="1" spans="1:23" ht="38.25" customHeight="1" x14ac:dyDescent="0.35">
      <c r="A1" s="1259" t="str">
        <f>"Non-Fire Incidents by Type of Incident, 2011-12 to 2017-18"</f>
        <v>Non-Fire Incidents by Type of Incident, 2011-12 to 2017-18</v>
      </c>
    </row>
    <row r="3" spans="1:23" x14ac:dyDescent="0.2">
      <c r="A3" s="386"/>
    </row>
    <row r="5" spans="1:23" x14ac:dyDescent="0.2">
      <c r="A5" s="768"/>
    </row>
    <row r="6" spans="1:23" x14ac:dyDescent="0.2">
      <c r="A6" s="768"/>
    </row>
    <row r="7" spans="1:23" x14ac:dyDescent="0.2">
      <c r="A7" s="768"/>
    </row>
    <row r="8" spans="1:23" x14ac:dyDescent="0.2">
      <c r="A8" s="768"/>
    </row>
    <row r="9" spans="1:23" x14ac:dyDescent="0.2">
      <c r="A9" s="768" t="str">
        <f>'6 6a'!A1</f>
        <v>Table 6: Non-fire incidents by type, 2010-11 to 2017-18</v>
      </c>
      <c r="B9" s="768"/>
      <c r="C9" s="768"/>
      <c r="D9" s="768"/>
      <c r="E9" s="768"/>
      <c r="F9" s="768"/>
      <c r="G9" s="768"/>
      <c r="H9" s="768"/>
      <c r="I9" s="768"/>
      <c r="J9" s="768"/>
      <c r="K9" s="768"/>
      <c r="L9" s="768"/>
      <c r="M9" s="768"/>
      <c r="N9" s="768"/>
      <c r="O9" s="768"/>
      <c r="P9" s="768"/>
      <c r="Q9" s="768"/>
      <c r="R9" s="768"/>
      <c r="S9" s="768"/>
      <c r="T9" s="768"/>
      <c r="U9" s="768"/>
      <c r="V9" s="768"/>
      <c r="W9" s="768"/>
    </row>
    <row r="10" spans="1:23" x14ac:dyDescent="0.2">
      <c r="A10" s="768"/>
      <c r="B10" s="768"/>
      <c r="C10" s="768"/>
      <c r="D10" s="768"/>
      <c r="E10" s="768"/>
      <c r="F10" s="768"/>
      <c r="G10" s="768"/>
      <c r="H10" s="768"/>
      <c r="I10" s="768"/>
      <c r="J10" s="768"/>
      <c r="K10" s="768"/>
      <c r="L10" s="768"/>
      <c r="M10" s="768"/>
      <c r="N10" s="768"/>
      <c r="O10" s="768"/>
      <c r="P10" s="768"/>
      <c r="Q10" s="768"/>
      <c r="R10" s="768"/>
      <c r="S10" s="768"/>
      <c r="T10" s="768"/>
      <c r="U10" s="768"/>
      <c r="V10" s="768"/>
      <c r="W10" s="768"/>
    </row>
    <row r="11" spans="1:23" x14ac:dyDescent="0.2">
      <c r="A11" s="768" t="str">
        <f>'6 6a'!A3</f>
        <v>Year</v>
      </c>
      <c r="B11" s="768" t="str">
        <f>'6 6a'!B3</f>
        <v>Road Traffic Collisions (RTC)</v>
      </c>
      <c r="C11" s="768" t="str">
        <f>'6 6a'!C3</f>
        <v>Other Transport Incident</v>
      </c>
      <c r="D11" s="768" t="str">
        <f>'6 6a'!D3</f>
        <v>Flooding</v>
      </c>
      <c r="E11" s="768" t="str">
        <f>'6 6a'!E3</f>
        <v>Rescue or Evacuation from Water</v>
      </c>
      <c r="F11" s="768" t="str">
        <f>'6 6a'!F3</f>
        <v>Other Rescue or Release of Persons</v>
      </c>
      <c r="G11" s="768" t="str">
        <f>'6 6a'!G3</f>
        <v>Evacuation (no fire)</v>
      </c>
      <c r="H11" s="768" t="str">
        <f>'6 6a'!H3</f>
        <v>Lift Release</v>
      </c>
      <c r="I11" s="768" t="str">
        <f>'6 6a'!I3</f>
        <v>Medical Incident: Co-responder or First responder</v>
      </c>
      <c r="J11" s="768" t="str">
        <f>'6 6a'!J3</f>
        <v>Suicide and Suicide Attempts</v>
      </c>
      <c r="K11" s="768" t="str">
        <f>'6 6a'!K3</f>
        <v>Hazardous Materials Incident</v>
      </c>
      <c r="L11" s="768" t="str">
        <f>'6 6a'!L3</f>
        <v>Spills and Leaks (not RTC)</v>
      </c>
      <c r="M11" s="768" t="str">
        <f>'6 6a'!M3</f>
        <v>Removal of Objects</v>
      </c>
      <c r="N11" s="768" t="str">
        <f>'6 6a'!N3</f>
        <v>Animal Assistance Incidents</v>
      </c>
      <c r="O11" s="768" t="str">
        <f>'6 6a'!O3</f>
        <v xml:space="preserve">Effecting Entry or Exit </v>
      </c>
      <c r="P11" s="768" t="str">
        <f>'6 6a'!P3</f>
        <v>Making Safe (not RTC)</v>
      </c>
      <c r="Q11" s="768" t="str">
        <f>'6 6a'!Q3</f>
        <v>No Action (not false alarm)</v>
      </c>
      <c r="R11" s="768" t="str">
        <f>'6 6a'!R3</f>
        <v>Water Provision</v>
      </c>
      <c r="S11" s="768" t="str">
        <f>'6 6a'!S3</f>
        <v>Stand By</v>
      </c>
      <c r="T11" s="768" t="str">
        <f>'6 6a'!T3</f>
        <v>Assist Other Agencies</v>
      </c>
      <c r="U11" s="768" t="str">
        <f>'6 6a'!U3</f>
        <v>Advice Only</v>
      </c>
      <c r="V11" s="768" t="str">
        <f>'6 6a'!V3</f>
        <v>Non-fire Incident Total</v>
      </c>
      <c r="W11" s="768"/>
    </row>
    <row r="12" spans="1:23" x14ac:dyDescent="0.2">
      <c r="A12" s="768" t="str">
        <f>'6 6a'!A4</f>
        <v>2010-11</v>
      </c>
      <c r="B12" s="768">
        <f>'6 6a'!B4</f>
        <v>2412</v>
      </c>
      <c r="C12" s="768">
        <f>'6 6a'!C4</f>
        <v>147</v>
      </c>
      <c r="D12" s="768">
        <f>'6 6a'!D4</f>
        <v>2473</v>
      </c>
      <c r="E12" s="768">
        <f>'6 6a'!E4</f>
        <v>141</v>
      </c>
      <c r="F12" s="768">
        <f>'6 6a'!F4</f>
        <v>664</v>
      </c>
      <c r="G12" s="768">
        <f>'6 6a'!G4</f>
        <v>51</v>
      </c>
      <c r="H12" s="768">
        <f>'6 6a'!H4</f>
        <v>704</v>
      </c>
      <c r="I12" s="768">
        <f>'6 6a'!I4</f>
        <v>327</v>
      </c>
      <c r="J12" s="768">
        <f>'6 6a'!J4</f>
        <v>137</v>
      </c>
      <c r="K12" s="768">
        <f>'6 6a'!K4</f>
        <v>132</v>
      </c>
      <c r="L12" s="768">
        <f>'6 6a'!L4</f>
        <v>430</v>
      </c>
      <c r="M12" s="768">
        <f>'6 6a'!M4</f>
        <v>169</v>
      </c>
      <c r="N12" s="768">
        <f>'6 6a'!N4</f>
        <v>339</v>
      </c>
      <c r="O12" s="768">
        <f>'6 6a'!O4</f>
        <v>899</v>
      </c>
      <c r="P12" s="768">
        <f>'6 6a'!P4</f>
        <v>509</v>
      </c>
      <c r="Q12" s="768">
        <f>'6 6a'!Q4</f>
        <v>703</v>
      </c>
      <c r="R12" s="768">
        <f>'6 6a'!R4</f>
        <v>23</v>
      </c>
      <c r="S12" s="768">
        <f>'6 6a'!S4</f>
        <v>215</v>
      </c>
      <c r="T12" s="768">
        <f>'6 6a'!T4</f>
        <v>571</v>
      </c>
      <c r="U12" s="768">
        <f>'6 6a'!U4</f>
        <v>273</v>
      </c>
      <c r="V12" s="768">
        <f>'6 6a'!V4</f>
        <v>11319</v>
      </c>
      <c r="W12" s="768"/>
    </row>
    <row r="13" spans="1:23" x14ac:dyDescent="0.2">
      <c r="A13" s="768" t="str">
        <f>'6 6a'!A5</f>
        <v>2011-12</v>
      </c>
      <c r="B13" s="768">
        <f>'6 6a'!B5</f>
        <v>2223</v>
      </c>
      <c r="C13" s="768">
        <f>'6 6a'!C5</f>
        <v>116</v>
      </c>
      <c r="D13" s="768">
        <f>'6 6a'!D5</f>
        <v>1136</v>
      </c>
      <c r="E13" s="768">
        <f>'6 6a'!E5</f>
        <v>163</v>
      </c>
      <c r="F13" s="768">
        <f>'6 6a'!F5</f>
        <v>689</v>
      </c>
      <c r="G13" s="768">
        <f>'6 6a'!G5</f>
        <v>72</v>
      </c>
      <c r="H13" s="768">
        <f>'6 6a'!H5</f>
        <v>677</v>
      </c>
      <c r="I13" s="768">
        <f>'6 6a'!I5</f>
        <v>284</v>
      </c>
      <c r="J13" s="768">
        <f>'6 6a'!J5</f>
        <v>138</v>
      </c>
      <c r="K13" s="768">
        <f>'6 6a'!K5</f>
        <v>140</v>
      </c>
      <c r="L13" s="768">
        <f>'6 6a'!L5</f>
        <v>287</v>
      </c>
      <c r="M13" s="768">
        <f>'6 6a'!M5</f>
        <v>154</v>
      </c>
      <c r="N13" s="768">
        <f>'6 6a'!N5</f>
        <v>319</v>
      </c>
      <c r="O13" s="768">
        <f>'6 6a'!O5</f>
        <v>882</v>
      </c>
      <c r="P13" s="768">
        <f>'6 6a'!P5</f>
        <v>925</v>
      </c>
      <c r="Q13" s="768">
        <f>'6 6a'!Q5</f>
        <v>859</v>
      </c>
      <c r="R13" s="768">
        <f>'6 6a'!R5</f>
        <v>9</v>
      </c>
      <c r="S13" s="768">
        <f>'6 6a'!S5</f>
        <v>161</v>
      </c>
      <c r="T13" s="768">
        <f>'6 6a'!T5</f>
        <v>566</v>
      </c>
      <c r="U13" s="768">
        <f>'6 6a'!U5</f>
        <v>317</v>
      </c>
      <c r="V13" s="768">
        <f>'6 6a'!V5</f>
        <v>10117</v>
      </c>
      <c r="W13" s="768"/>
    </row>
    <row r="14" spans="1:23" x14ac:dyDescent="0.2">
      <c r="A14" s="768" t="str">
        <f>'6 6a'!A6</f>
        <v>2012-13</v>
      </c>
      <c r="B14" s="768">
        <f>'6 6a'!B6</f>
        <v>2267</v>
      </c>
      <c r="C14" s="768">
        <f>'6 6a'!C6</f>
        <v>98</v>
      </c>
      <c r="D14" s="768">
        <f>'6 6a'!D6</f>
        <v>1351</v>
      </c>
      <c r="E14" s="768">
        <f>'6 6a'!E6</f>
        <v>167</v>
      </c>
      <c r="F14" s="768">
        <f>'6 6a'!F6</f>
        <v>556</v>
      </c>
      <c r="G14" s="768">
        <f>'6 6a'!G6</f>
        <v>63</v>
      </c>
      <c r="H14" s="768">
        <f>'6 6a'!H6</f>
        <v>617</v>
      </c>
      <c r="I14" s="768">
        <f>'6 6a'!I6</f>
        <v>244</v>
      </c>
      <c r="J14" s="768">
        <f>'6 6a'!J6</f>
        <v>111</v>
      </c>
      <c r="K14" s="768">
        <f>'6 6a'!K6</f>
        <v>174</v>
      </c>
      <c r="L14" s="768">
        <f>'6 6a'!L6</f>
        <v>286</v>
      </c>
      <c r="M14" s="768">
        <f>'6 6a'!M6</f>
        <v>218</v>
      </c>
      <c r="N14" s="768">
        <f>'6 6a'!N6</f>
        <v>350</v>
      </c>
      <c r="O14" s="768">
        <f>'6 6a'!O6</f>
        <v>883</v>
      </c>
      <c r="P14" s="768">
        <f>'6 6a'!P6</f>
        <v>246</v>
      </c>
      <c r="Q14" s="768">
        <f>'6 6a'!Q6</f>
        <v>740</v>
      </c>
      <c r="R14" s="768">
        <f>'6 6a'!R6</f>
        <v>4</v>
      </c>
      <c r="S14" s="768">
        <f>'6 6a'!S6</f>
        <v>112</v>
      </c>
      <c r="T14" s="768">
        <f>'6 6a'!T6</f>
        <v>470</v>
      </c>
      <c r="U14" s="768">
        <f>'6 6a'!U6</f>
        <v>201</v>
      </c>
      <c r="V14" s="768">
        <f>'6 6a'!V6</f>
        <v>9158</v>
      </c>
      <c r="W14" s="768"/>
    </row>
    <row r="15" spans="1:23" x14ac:dyDescent="0.2">
      <c r="A15" s="768" t="str">
        <f>'6 6a'!A7</f>
        <v>2013-14</v>
      </c>
      <c r="B15" s="768">
        <f>'6 6a'!B7</f>
        <v>2136</v>
      </c>
      <c r="C15" s="768">
        <f>'6 6a'!C7</f>
        <v>78</v>
      </c>
      <c r="D15" s="768">
        <f>'6 6a'!D7</f>
        <v>1065</v>
      </c>
      <c r="E15" s="768">
        <f>'6 6a'!E7</f>
        <v>149</v>
      </c>
      <c r="F15" s="768">
        <f>'6 6a'!F7</f>
        <v>454</v>
      </c>
      <c r="G15" s="768">
        <f>'6 6a'!G7</f>
        <v>60</v>
      </c>
      <c r="H15" s="768">
        <f>'6 6a'!H7</f>
        <v>667</v>
      </c>
      <c r="I15" s="768">
        <f>'6 6a'!I7</f>
        <v>278</v>
      </c>
      <c r="J15" s="768">
        <f>'6 6a'!J7</f>
        <v>94</v>
      </c>
      <c r="K15" s="768">
        <f>'6 6a'!K7</f>
        <v>194</v>
      </c>
      <c r="L15" s="768">
        <f>'6 6a'!L7</f>
        <v>252</v>
      </c>
      <c r="M15" s="768">
        <f>'6 6a'!M7</f>
        <v>248</v>
      </c>
      <c r="N15" s="768">
        <f>'6 6a'!N7</f>
        <v>364</v>
      </c>
      <c r="O15" s="768">
        <f>'6 6a'!O7</f>
        <v>1073</v>
      </c>
      <c r="P15" s="768">
        <f>'6 6a'!P7</f>
        <v>418</v>
      </c>
      <c r="Q15" s="768">
        <f>'6 6a'!Q7</f>
        <v>763</v>
      </c>
      <c r="R15" s="768">
        <f>'6 6a'!R7</f>
        <v>18</v>
      </c>
      <c r="S15" s="768">
        <f>'6 6a'!S7</f>
        <v>81</v>
      </c>
      <c r="T15" s="768">
        <f>'6 6a'!T7</f>
        <v>555</v>
      </c>
      <c r="U15" s="768">
        <f>'6 6a'!U7</f>
        <v>215</v>
      </c>
      <c r="V15" s="768">
        <f>'6 6a'!V7</f>
        <v>9162</v>
      </c>
      <c r="W15" s="768"/>
    </row>
    <row r="16" spans="1:23" x14ac:dyDescent="0.2">
      <c r="A16" s="768" t="str">
        <f>'6 6a'!A8</f>
        <v>2014-15</v>
      </c>
      <c r="B16" s="768">
        <f>'6 6a'!B8</f>
        <v>2293</v>
      </c>
      <c r="C16" s="768">
        <f>'6 6a'!C8</f>
        <v>96</v>
      </c>
      <c r="D16" s="768">
        <f>'6 6a'!D8</f>
        <v>1251</v>
      </c>
      <c r="E16" s="768">
        <f>'6 6a'!E8</f>
        <v>116</v>
      </c>
      <c r="F16" s="768">
        <f>'6 6a'!F8</f>
        <v>497</v>
      </c>
      <c r="G16" s="768">
        <f>'6 6a'!G8</f>
        <v>59</v>
      </c>
      <c r="H16" s="768">
        <f>'6 6a'!H8</f>
        <v>613</v>
      </c>
      <c r="I16" s="768">
        <f>'6 6a'!I8</f>
        <v>374</v>
      </c>
      <c r="J16" s="768">
        <f>'6 6a'!J8</f>
        <v>123</v>
      </c>
      <c r="K16" s="768">
        <f>'6 6a'!K8</f>
        <v>189</v>
      </c>
      <c r="L16" s="768">
        <f>'6 6a'!L8</f>
        <v>233</v>
      </c>
      <c r="M16" s="768">
        <f>'6 6a'!M8</f>
        <v>253</v>
      </c>
      <c r="N16" s="768">
        <f>'6 6a'!N8</f>
        <v>374</v>
      </c>
      <c r="O16" s="768">
        <f>'6 6a'!O8</f>
        <v>1782</v>
      </c>
      <c r="P16" s="768">
        <f>'6 6a'!P8</f>
        <v>353</v>
      </c>
      <c r="Q16" s="768">
        <f>'6 6a'!Q8</f>
        <v>1076</v>
      </c>
      <c r="R16" s="768">
        <f>'6 6a'!R8</f>
        <v>8</v>
      </c>
      <c r="S16" s="768">
        <f>'6 6a'!S8</f>
        <v>79</v>
      </c>
      <c r="T16" s="768">
        <f>'6 6a'!T8</f>
        <v>774</v>
      </c>
      <c r="U16" s="768">
        <f>'6 6a'!U8</f>
        <v>200</v>
      </c>
      <c r="V16" s="768">
        <f>'6 6a'!V8</f>
        <v>10743</v>
      </c>
      <c r="W16" s="768"/>
    </row>
    <row r="17" spans="1:23" x14ac:dyDescent="0.2">
      <c r="A17" s="768" t="str">
        <f>'6 6a'!A9</f>
        <v>2015-16</v>
      </c>
      <c r="B17" s="768">
        <f>'6 6a'!B9</f>
        <v>2444</v>
      </c>
      <c r="C17" s="768">
        <f>'6 6a'!C9</f>
        <v>89</v>
      </c>
      <c r="D17" s="768">
        <f>'6 6a'!D9</f>
        <v>1488</v>
      </c>
      <c r="E17" s="768">
        <f>'6 6a'!E9</f>
        <v>176</v>
      </c>
      <c r="F17" s="768">
        <f>'6 6a'!F9</f>
        <v>526</v>
      </c>
      <c r="G17" s="768">
        <f>'6 6a'!G9</f>
        <v>51</v>
      </c>
      <c r="H17" s="768">
        <f>'6 6a'!H9</f>
        <v>652</v>
      </c>
      <c r="I17" s="768">
        <f>'6 6a'!I9</f>
        <v>523</v>
      </c>
      <c r="J17" s="768">
        <f>'6 6a'!J9</f>
        <v>113</v>
      </c>
      <c r="K17" s="768">
        <f>'6 6a'!K9</f>
        <v>183</v>
      </c>
      <c r="L17" s="768">
        <f>'6 6a'!L9</f>
        <v>222</v>
      </c>
      <c r="M17" s="768">
        <f>'6 6a'!M9</f>
        <v>283</v>
      </c>
      <c r="N17" s="768">
        <f>'6 6a'!N9</f>
        <v>384</v>
      </c>
      <c r="O17" s="768">
        <f>'6 6a'!O9</f>
        <v>2495</v>
      </c>
      <c r="P17" s="768">
        <f>'6 6a'!P9</f>
        <v>403</v>
      </c>
      <c r="Q17" s="768">
        <f>'6 6a'!Q9</f>
        <v>1331</v>
      </c>
      <c r="R17" s="768">
        <f>'6 6a'!R9</f>
        <v>8</v>
      </c>
      <c r="S17" s="768">
        <f>'6 6a'!S9</f>
        <v>76</v>
      </c>
      <c r="T17" s="768">
        <f>'6 6a'!T9</f>
        <v>1201</v>
      </c>
      <c r="U17" s="768">
        <f>'6 6a'!U9</f>
        <v>192</v>
      </c>
      <c r="V17" s="768">
        <f>'6 6a'!V9</f>
        <v>12840</v>
      </c>
      <c r="W17" s="768"/>
    </row>
    <row r="18" spans="1:23" x14ac:dyDescent="0.2">
      <c r="A18" s="768" t="str">
        <f>'6 6a'!A10</f>
        <v>2016-17</v>
      </c>
      <c r="B18" s="768">
        <f>'6 6a'!B10</f>
        <v>2461</v>
      </c>
      <c r="C18" s="768">
        <f>'6 6a'!C10</f>
        <v>85</v>
      </c>
      <c r="D18" s="768">
        <f>'6 6a'!D10</f>
        <v>1005</v>
      </c>
      <c r="E18" s="768">
        <f>'6 6a'!E10</f>
        <v>119</v>
      </c>
      <c r="F18" s="768">
        <f>'6 6a'!F10</f>
        <v>546</v>
      </c>
      <c r="G18" s="768">
        <f>'6 6a'!G10</f>
        <v>71</v>
      </c>
      <c r="H18" s="768">
        <f>'6 6a'!H10</f>
        <v>695</v>
      </c>
      <c r="I18" s="768">
        <f>'6 6a'!I10</f>
        <v>539</v>
      </c>
      <c r="J18" s="768">
        <f>'6 6a'!J10</f>
        <v>138</v>
      </c>
      <c r="K18" s="768">
        <f>'6 6a'!K10</f>
        <v>193</v>
      </c>
      <c r="L18" s="768">
        <f>'6 6a'!L10</f>
        <v>255</v>
      </c>
      <c r="M18" s="768">
        <f>'6 6a'!M10</f>
        <v>273</v>
      </c>
      <c r="N18" s="768">
        <f>'6 6a'!N10</f>
        <v>401</v>
      </c>
      <c r="O18" s="768">
        <f>'6 6a'!O10</f>
        <v>2852</v>
      </c>
      <c r="P18" s="768">
        <f>'6 6a'!P10</f>
        <v>216</v>
      </c>
      <c r="Q18" s="768">
        <f>'6 6a'!Q10</f>
        <v>1122</v>
      </c>
      <c r="R18" s="768">
        <f>'6 6a'!R10</f>
        <v>7</v>
      </c>
      <c r="S18" s="768">
        <f>'6 6a'!S10</f>
        <v>73</v>
      </c>
      <c r="T18" s="768">
        <f>'6 6a'!T10</f>
        <v>1167</v>
      </c>
      <c r="U18" s="768">
        <f>'6 6a'!U10</f>
        <v>151</v>
      </c>
      <c r="V18" s="768">
        <f>'6 6a'!V10</f>
        <v>12369</v>
      </c>
      <c r="W18" s="768"/>
    </row>
    <row r="19" spans="1:23" x14ac:dyDescent="0.2">
      <c r="A19" s="768" t="str">
        <f>'6 6a'!A11</f>
        <v>2017-18</v>
      </c>
      <c r="B19" s="768">
        <f>'6 6a'!B11</f>
        <v>2525</v>
      </c>
      <c r="C19" s="768">
        <f>'6 6a'!C11</f>
        <v>84</v>
      </c>
      <c r="D19" s="768">
        <f>'6 6a'!D11</f>
        <v>1297</v>
      </c>
      <c r="E19" s="768">
        <f>'6 6a'!E11</f>
        <v>146</v>
      </c>
      <c r="F19" s="768">
        <f>'6 6a'!F11</f>
        <v>559</v>
      </c>
      <c r="G19" s="768">
        <f>'6 6a'!G11</f>
        <v>84</v>
      </c>
      <c r="H19" s="768">
        <f>'6 6a'!H11</f>
        <v>717</v>
      </c>
      <c r="I19" s="768">
        <f>'6 6a'!I11</f>
        <v>486</v>
      </c>
      <c r="J19" s="768">
        <f>'6 6a'!J11</f>
        <v>132</v>
      </c>
      <c r="K19" s="768">
        <f>'6 6a'!K11</f>
        <v>192</v>
      </c>
      <c r="L19" s="768">
        <f>'6 6a'!L11</f>
        <v>196</v>
      </c>
      <c r="M19" s="768">
        <f>'6 6a'!M11</f>
        <v>261</v>
      </c>
      <c r="N19" s="768">
        <f>'6 6a'!N11</f>
        <v>415</v>
      </c>
      <c r="O19" s="768">
        <f>'6 6a'!O11</f>
        <v>3116</v>
      </c>
      <c r="P19" s="768">
        <f>'6 6a'!P11</f>
        <v>293</v>
      </c>
      <c r="Q19" s="768">
        <f>'6 6a'!Q11</f>
        <v>1212</v>
      </c>
      <c r="R19" s="768">
        <f>'6 6a'!R11</f>
        <v>3</v>
      </c>
      <c r="S19" s="768">
        <f>'6 6a'!S11</f>
        <v>76</v>
      </c>
      <c r="T19" s="768">
        <f>'6 6a'!T11</f>
        <v>1164</v>
      </c>
      <c r="U19" s="768">
        <f>'6 6a'!U11</f>
        <v>170</v>
      </c>
      <c r="V19" s="768">
        <f>'6 6a'!V11</f>
        <v>13128</v>
      </c>
      <c r="W19" s="768"/>
    </row>
  </sheetData>
  <sheetProtection algorithmName="SHA-512" hashValue="mBZBuHjldwOkZbm2YSZFmoo1vUF/xjLBm60GurMgKfENbsWCYi/W2Gq2IStK3HZibCZ3WxTimjdZbwCeScsyow==" saltValue="UMgh7dCaWVNE0iGpump32g==" spinCount="100000" sheet="1" objects="1" scenarios="1"/>
  <pageMargins left="0.7" right="0.7" top="0.75" bottom="0.75" header="0.3" footer="0.3"/>
  <pageSetup paperSize="9" scale="8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2">
    <tabColor rgb="FF960000"/>
    <pageSetUpPr fitToPage="1"/>
  </sheetPr>
  <dimension ref="A1:C13"/>
  <sheetViews>
    <sheetView showGridLines="0" zoomScaleNormal="100" workbookViewId="0"/>
  </sheetViews>
  <sheetFormatPr defaultRowHeight="12.75" x14ac:dyDescent="0.2"/>
  <cols>
    <col min="2" max="2" width="16.140625" bestFit="1" customWidth="1"/>
  </cols>
  <sheetData>
    <row r="1" spans="1:3" ht="38.25" customHeight="1" x14ac:dyDescent="0.35">
      <c r="A1" s="1259" t="str">
        <f>"Choropleth Map and Cartogram of Non-Fire Incident Rates per 100,000 Population by Local Authority, " &amp; ThisYear</f>
        <v>Choropleth Map and Cartogram of Non-Fire Incident Rates per 100,000 Population by Local Authority, 2017-18</v>
      </c>
    </row>
    <row r="2" spans="1:3" ht="15" x14ac:dyDescent="0.2">
      <c r="A2" s="1352"/>
    </row>
    <row r="3" spans="1:3" x14ac:dyDescent="0.2">
      <c r="A3" s="386"/>
    </row>
    <row r="9" spans="1:3" x14ac:dyDescent="0.2">
      <c r="C9" s="768"/>
    </row>
    <row r="10" spans="1:3" x14ac:dyDescent="0.2">
      <c r="C10" s="768"/>
    </row>
    <row r="11" spans="1:3" x14ac:dyDescent="0.2">
      <c r="C11" s="768"/>
    </row>
    <row r="12" spans="1:3" x14ac:dyDescent="0.2">
      <c r="C12" s="768"/>
    </row>
    <row r="13" spans="1:3" x14ac:dyDescent="0.2">
      <c r="C13" s="768"/>
    </row>
  </sheetData>
  <sheetProtection algorithmName="SHA-512" hashValue="lzFL7QmPPI3Dwz/vIAu0M5Ak4lJZj1oWRCnmMczc5s/KGFRtx3RyIE0jvZEK1S2qg05nqYjsaamKO1LHHO5jnw==" saltValue="gV79OhfonshGCB0xEaQ3AQ==" spinCount="100000" sheet="1" objects="1" scenarios="1"/>
  <pageMargins left="0.25" right="0.25" top="0.75" bottom="0.75" header="0.3" footer="0.3"/>
  <pageSetup paperSize="9" scale="8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3">
    <tabColor rgb="FF960000"/>
  </sheetPr>
  <dimension ref="A1:I26"/>
  <sheetViews>
    <sheetView showGridLines="0" zoomScaleNormal="100" workbookViewId="0"/>
  </sheetViews>
  <sheetFormatPr defaultRowHeight="12.75" x14ac:dyDescent="0.2"/>
  <cols>
    <col min="1" max="1" width="20.7109375" customWidth="1"/>
  </cols>
  <sheetData>
    <row r="1" spans="1:9" ht="38.25" customHeight="1" x14ac:dyDescent="0.35">
      <c r="A1" s="1259" t="str">
        <f>"Fatalities in Non-Fire Incidents by Type of Incident, 2011-12 to 2017-18"</f>
        <v>Fatalities in Non-Fire Incidents by Type of Incident, 2011-12 to 2017-18</v>
      </c>
    </row>
    <row r="3" spans="1:9" x14ac:dyDescent="0.2">
      <c r="A3" s="386"/>
    </row>
    <row r="5" spans="1:9" x14ac:dyDescent="0.2">
      <c r="A5">
        <f>'7'!A3</f>
        <v>0</v>
      </c>
      <c r="B5" t="str">
        <f>'7'!B3</f>
        <v>Fatal Casualties</v>
      </c>
      <c r="C5">
        <f>'7'!C3</f>
        <v>0</v>
      </c>
      <c r="D5">
        <f>'7'!D3</f>
        <v>0</v>
      </c>
      <c r="E5">
        <f>'7'!E3</f>
        <v>0</v>
      </c>
      <c r="F5">
        <f>'7'!F3</f>
        <v>0</v>
      </c>
      <c r="G5">
        <f>'7'!G3</f>
        <v>0</v>
      </c>
      <c r="H5">
        <f>'7'!I3</f>
        <v>0</v>
      </c>
    </row>
    <row r="6" spans="1:9" x14ac:dyDescent="0.2">
      <c r="A6" t="str">
        <f>'7'!A4</f>
        <v>Type of Non-fire Incident</v>
      </c>
      <c r="B6" t="str">
        <f>'7'!B4</f>
        <v>2010-11</v>
      </c>
      <c r="C6" t="str">
        <f>'7'!C4</f>
        <v>2011-12</v>
      </c>
      <c r="D6" t="str">
        <f>'7'!D4</f>
        <v>2012-13</v>
      </c>
      <c r="E6" t="str">
        <f>'7'!E4</f>
        <v>2013-14</v>
      </c>
      <c r="F6" t="str">
        <f>'7'!F4</f>
        <v>2014-15</v>
      </c>
      <c r="G6" t="str">
        <f>'7'!G4</f>
        <v>2015-16</v>
      </c>
      <c r="H6" t="str">
        <f>'7'!H4</f>
        <v>2016-17</v>
      </c>
      <c r="I6" t="str">
        <f>'7'!I4</f>
        <v>2017-18</v>
      </c>
    </row>
    <row r="7" spans="1:9" x14ac:dyDescent="0.2">
      <c r="A7" t="str">
        <f>'7'!A5</f>
        <v>RTC</v>
      </c>
      <c r="B7">
        <f>'7'!B5</f>
        <v>122</v>
      </c>
      <c r="C7">
        <f>'7'!C5</f>
        <v>98</v>
      </c>
      <c r="D7">
        <f>'7'!D5</f>
        <v>90</v>
      </c>
      <c r="E7">
        <f>'7'!E5</f>
        <v>110</v>
      </c>
      <c r="F7">
        <f>'7'!F5</f>
        <v>105</v>
      </c>
      <c r="G7">
        <f>'7'!G5</f>
        <v>104</v>
      </c>
      <c r="H7">
        <f>'7'!H5</f>
        <v>94</v>
      </c>
      <c r="I7">
        <f>'7'!I5</f>
        <v>81</v>
      </c>
    </row>
    <row r="8" spans="1:9" x14ac:dyDescent="0.2">
      <c r="A8" t="str">
        <f>'7'!A6</f>
        <v>Other Transport Incident</v>
      </c>
      <c r="B8">
        <f>'7'!B6</f>
        <v>2</v>
      </c>
      <c r="C8">
        <f>'7'!C6</f>
        <v>3</v>
      </c>
      <c r="D8">
        <f>'7'!D6</f>
        <v>7</v>
      </c>
      <c r="E8">
        <f>'7'!E6</f>
        <v>1</v>
      </c>
      <c r="F8">
        <f>'7'!F6</f>
        <v>2</v>
      </c>
      <c r="G8">
        <f>'7'!G6</f>
        <v>1</v>
      </c>
      <c r="H8">
        <f>'7'!H6</f>
        <v>3</v>
      </c>
      <c r="I8">
        <f>'7'!I6</f>
        <v>3</v>
      </c>
    </row>
    <row r="9" spans="1:9" x14ac:dyDescent="0.2">
      <c r="A9" t="str">
        <f>'7'!A7</f>
        <v>Flooding</v>
      </c>
      <c r="B9">
        <f>'7'!B7</f>
        <v>0</v>
      </c>
      <c r="C9">
        <f>'7'!C7</f>
        <v>0</v>
      </c>
      <c r="D9">
        <f>'7'!D7</f>
        <v>0</v>
      </c>
      <c r="E9">
        <f>'7'!E7</f>
        <v>0</v>
      </c>
      <c r="F9">
        <f>'7'!F7</f>
        <v>0</v>
      </c>
      <c r="G9">
        <f>'7'!G7</f>
        <v>0</v>
      </c>
      <c r="H9">
        <f>'7'!H7</f>
        <v>0</v>
      </c>
      <c r="I9">
        <f>'7'!I7</f>
        <v>0</v>
      </c>
    </row>
    <row r="10" spans="1:9" x14ac:dyDescent="0.2">
      <c r="A10" t="str">
        <f>'7'!A8</f>
        <v>Rescue or Evacuation from Water</v>
      </c>
      <c r="B10">
        <f>'7'!B8</f>
        <v>16</v>
      </c>
      <c r="C10">
        <f>'7'!C8</f>
        <v>17</v>
      </c>
      <c r="D10">
        <f>'7'!D8</f>
        <v>23</v>
      </c>
      <c r="E10">
        <f>'7'!E8</f>
        <v>18</v>
      </c>
      <c r="F10">
        <f>'7'!F8</f>
        <v>14</v>
      </c>
      <c r="G10">
        <f>'7'!G8</f>
        <v>15</v>
      </c>
      <c r="H10">
        <f>'7'!H8</f>
        <v>24</v>
      </c>
      <c r="I10">
        <f>'7'!I8</f>
        <v>24</v>
      </c>
    </row>
    <row r="11" spans="1:9" x14ac:dyDescent="0.2">
      <c r="A11" t="str">
        <f>'7'!A9</f>
        <v>Other Rescue or Release of Persons</v>
      </c>
      <c r="B11">
        <f>'7'!B9</f>
        <v>8</v>
      </c>
      <c r="C11">
        <f>'7'!C9</f>
        <v>6</v>
      </c>
      <c r="D11">
        <f>'7'!D9</f>
        <v>8</v>
      </c>
      <c r="E11">
        <f>'7'!E9</f>
        <v>23</v>
      </c>
      <c r="F11">
        <f>'7'!F9</f>
        <v>10</v>
      </c>
      <c r="G11">
        <f>'7'!G9</f>
        <v>7</v>
      </c>
      <c r="H11">
        <f>'7'!H9</f>
        <v>12</v>
      </c>
      <c r="I11">
        <f>'7'!I9</f>
        <v>10</v>
      </c>
    </row>
    <row r="12" spans="1:9" x14ac:dyDescent="0.2">
      <c r="A12" t="str">
        <f>'7'!A10</f>
        <v>Evacuation (no fire)</v>
      </c>
      <c r="B12">
        <f>'7'!B10</f>
        <v>0</v>
      </c>
      <c r="C12">
        <f>'7'!C10</f>
        <v>0</v>
      </c>
      <c r="D12" t="str">
        <f>'7'!D10</f>
        <v>-</v>
      </c>
      <c r="E12" t="str">
        <f>'7'!E10</f>
        <v>-</v>
      </c>
      <c r="F12">
        <f>'7'!F10</f>
        <v>2</v>
      </c>
      <c r="G12">
        <f>'7'!G10</f>
        <v>0</v>
      </c>
      <c r="H12">
        <f>'7'!H10</f>
        <v>0</v>
      </c>
      <c r="I12">
        <f>'7'!I10</f>
        <v>0</v>
      </c>
    </row>
    <row r="13" spans="1:9" x14ac:dyDescent="0.2">
      <c r="A13" t="str">
        <f>'7'!A11</f>
        <v>Lift Release</v>
      </c>
      <c r="B13">
        <f>'7'!B11</f>
        <v>0</v>
      </c>
      <c r="C13">
        <f>'7'!C11</f>
        <v>0</v>
      </c>
      <c r="D13">
        <f>'7'!D11</f>
        <v>0</v>
      </c>
      <c r="E13">
        <f>'7'!E11</f>
        <v>0</v>
      </c>
      <c r="F13">
        <f>'7'!F11</f>
        <v>0</v>
      </c>
      <c r="G13">
        <f>'7'!G11</f>
        <v>0</v>
      </c>
      <c r="H13">
        <f>'7'!H11</f>
        <v>0</v>
      </c>
      <c r="I13">
        <f>'7'!I11</f>
        <v>0</v>
      </c>
    </row>
    <row r="14" spans="1:9" x14ac:dyDescent="0.2">
      <c r="A14" t="str">
        <f>'7'!A12</f>
        <v>Medical Incident - Co-responder or First responder</v>
      </c>
      <c r="B14">
        <f>'7'!B12</f>
        <v>15</v>
      </c>
      <c r="C14">
        <f>'7'!C12</f>
        <v>15</v>
      </c>
      <c r="D14">
        <f>'7'!D12</f>
        <v>7</v>
      </c>
      <c r="E14">
        <f>'7'!E12</f>
        <v>7</v>
      </c>
      <c r="F14">
        <f>'7'!F12</f>
        <v>20</v>
      </c>
      <c r="G14">
        <f>'7'!G12</f>
        <v>80</v>
      </c>
      <c r="H14">
        <f>'7'!H12</f>
        <v>130</v>
      </c>
      <c r="I14">
        <f>'7'!I12</f>
        <v>59</v>
      </c>
    </row>
    <row r="15" spans="1:9" x14ac:dyDescent="0.2">
      <c r="A15" t="str">
        <f>'7'!A13</f>
        <v>Suicide and Suicide Attempts</v>
      </c>
      <c r="B15">
        <f>'7'!B13</f>
        <v>28</v>
      </c>
      <c r="C15">
        <f>'7'!C13</f>
        <v>36</v>
      </c>
      <c r="D15">
        <f>'7'!D13</f>
        <v>19</v>
      </c>
      <c r="E15">
        <f>'7'!E13</f>
        <v>11</v>
      </c>
      <c r="F15">
        <f>'7'!F13</f>
        <v>30</v>
      </c>
      <c r="G15">
        <f>'7'!G13</f>
        <v>30</v>
      </c>
      <c r="H15">
        <f>'7'!H13</f>
        <v>36</v>
      </c>
      <c r="I15">
        <f>'7'!I13</f>
        <v>22</v>
      </c>
    </row>
    <row r="16" spans="1:9" x14ac:dyDescent="0.2">
      <c r="A16" t="str">
        <f>'7'!A14</f>
        <v>Hazardous Materials Incident</v>
      </c>
      <c r="B16">
        <f>'7'!B14</f>
        <v>1</v>
      </c>
      <c r="C16">
        <f>'7'!C14</f>
        <v>1</v>
      </c>
      <c r="D16">
        <f>'7'!D14</f>
        <v>1</v>
      </c>
      <c r="E16">
        <f>'7'!E14</f>
        <v>1</v>
      </c>
      <c r="F16">
        <f>'7'!F14</f>
        <v>2</v>
      </c>
      <c r="G16">
        <f>'7'!G14</f>
        <v>7</v>
      </c>
      <c r="H16">
        <f>'7'!H14</f>
        <v>0</v>
      </c>
      <c r="I16">
        <f>'7'!I14</f>
        <v>1</v>
      </c>
    </row>
    <row r="17" spans="1:9" x14ac:dyDescent="0.2">
      <c r="A17" t="str">
        <f>'7'!A15</f>
        <v>Spills and Leaks (not RTC)</v>
      </c>
      <c r="B17">
        <f>'7'!B15</f>
        <v>0</v>
      </c>
      <c r="C17">
        <f>'7'!C15</f>
        <v>0</v>
      </c>
      <c r="D17">
        <f>'7'!D15</f>
        <v>0</v>
      </c>
      <c r="E17">
        <f>'7'!E15</f>
        <v>0</v>
      </c>
      <c r="F17">
        <f>'7'!F15</f>
        <v>0</v>
      </c>
      <c r="G17">
        <f>'7'!G15</f>
        <v>0</v>
      </c>
      <c r="H17">
        <f>'7'!H15</f>
        <v>0</v>
      </c>
      <c r="I17">
        <f>'7'!I15</f>
        <v>0</v>
      </c>
    </row>
    <row r="18" spans="1:9" x14ac:dyDescent="0.2">
      <c r="A18" t="str">
        <f>'7'!A16</f>
        <v>Removal of Objects from People</v>
      </c>
      <c r="B18">
        <f>'7'!B16</f>
        <v>0</v>
      </c>
      <c r="C18">
        <f>'7'!C16</f>
        <v>0</v>
      </c>
      <c r="D18">
        <f>'7'!D16</f>
        <v>0</v>
      </c>
      <c r="E18">
        <f>'7'!E16</f>
        <v>0</v>
      </c>
      <c r="F18">
        <f>'7'!F16</f>
        <v>1</v>
      </c>
      <c r="G18">
        <f>'7'!G16</f>
        <v>0</v>
      </c>
      <c r="H18">
        <f>'7'!H16</f>
        <v>1</v>
      </c>
      <c r="I18">
        <f>'7'!I16</f>
        <v>1</v>
      </c>
    </row>
    <row r="19" spans="1:9" x14ac:dyDescent="0.2">
      <c r="A19" t="str">
        <f>'7'!A17</f>
        <v>Animal Assistance Incidents</v>
      </c>
      <c r="B19">
        <f>'7'!B17</f>
        <v>0</v>
      </c>
      <c r="C19">
        <f>'7'!C17</f>
        <v>0</v>
      </c>
      <c r="D19">
        <f>'7'!D17</f>
        <v>0</v>
      </c>
      <c r="E19">
        <f>'7'!E17</f>
        <v>0</v>
      </c>
      <c r="F19">
        <f>'7'!F17</f>
        <v>0</v>
      </c>
      <c r="G19">
        <f>'7'!G17</f>
        <v>0</v>
      </c>
      <c r="H19">
        <f>'7'!H17</f>
        <v>0</v>
      </c>
      <c r="I19">
        <f>'7'!I17</f>
        <v>0</v>
      </c>
    </row>
    <row r="20" spans="1:9" x14ac:dyDescent="0.2">
      <c r="A20" t="str">
        <f>'7'!A18</f>
        <v xml:space="preserve">Effecting Entry or Exit </v>
      </c>
      <c r="B20">
        <f>'7'!B18</f>
        <v>6</v>
      </c>
      <c r="C20">
        <f>'7'!C18</f>
        <v>5</v>
      </c>
      <c r="D20">
        <f>'7'!D18</f>
        <v>5</v>
      </c>
      <c r="E20">
        <f>'7'!E18</f>
        <v>18</v>
      </c>
      <c r="F20">
        <f>'7'!F18</f>
        <v>34</v>
      </c>
      <c r="G20">
        <f>'7'!G18</f>
        <v>77</v>
      </c>
      <c r="H20">
        <f>'7'!H18</f>
        <v>116</v>
      </c>
      <c r="I20">
        <f>'7'!I18</f>
        <v>128</v>
      </c>
    </row>
    <row r="21" spans="1:9" x14ac:dyDescent="0.2">
      <c r="A21" t="str">
        <f>'7'!A19</f>
        <v>Making Safe (not RTC)</v>
      </c>
      <c r="B21">
        <f>'7'!B19</f>
        <v>4</v>
      </c>
      <c r="C21">
        <f>'7'!C19</f>
        <v>4</v>
      </c>
      <c r="D21">
        <f>'7'!D19</f>
        <v>4</v>
      </c>
      <c r="E21">
        <f>'7'!E19</f>
        <v>6</v>
      </c>
      <c r="F21">
        <f>'7'!F19</f>
        <v>6</v>
      </c>
      <c r="G21">
        <f>'7'!G19</f>
        <v>2</v>
      </c>
      <c r="H21">
        <f>'7'!H19</f>
        <v>0</v>
      </c>
      <c r="I21">
        <f>'7'!I19</f>
        <v>2</v>
      </c>
    </row>
    <row r="22" spans="1:9" x14ac:dyDescent="0.2">
      <c r="A22" t="str">
        <f>'7'!A20</f>
        <v>No Action (not false alarm)</v>
      </c>
      <c r="B22">
        <f>'7'!B20</f>
        <v>5</v>
      </c>
      <c r="C22">
        <f>'7'!C20</f>
        <v>3</v>
      </c>
      <c r="D22">
        <f>'7'!D20</f>
        <v>4</v>
      </c>
      <c r="E22">
        <f>'7'!E20</f>
        <v>1</v>
      </c>
      <c r="F22">
        <f>'7'!F20</f>
        <v>7</v>
      </c>
      <c r="G22">
        <f>'7'!G20</f>
        <v>11</v>
      </c>
      <c r="H22">
        <f>'7'!H20</f>
        <v>8</v>
      </c>
      <c r="I22">
        <f>'7'!I20</f>
        <v>6</v>
      </c>
    </row>
    <row r="23" spans="1:9" x14ac:dyDescent="0.2">
      <c r="A23" t="str">
        <f>'7'!A21</f>
        <v>Water Provision</v>
      </c>
      <c r="B23">
        <f>'7'!B21</f>
        <v>0</v>
      </c>
      <c r="C23">
        <f>'7'!C21</f>
        <v>0</v>
      </c>
      <c r="D23">
        <f>'7'!D21</f>
        <v>0</v>
      </c>
      <c r="E23">
        <f>'7'!E21</f>
        <v>0</v>
      </c>
      <c r="F23">
        <f>'7'!F21</f>
        <v>0</v>
      </c>
      <c r="G23">
        <f>'7'!G21</f>
        <v>0</v>
      </c>
      <c r="H23">
        <f>'7'!H21</f>
        <v>0</v>
      </c>
      <c r="I23">
        <f>'7'!I21</f>
        <v>0</v>
      </c>
    </row>
    <row r="24" spans="1:9" x14ac:dyDescent="0.2">
      <c r="A24" t="str">
        <f>'7'!A22</f>
        <v>Stand By</v>
      </c>
      <c r="B24">
        <f>'7'!B22</f>
        <v>0</v>
      </c>
      <c r="C24">
        <f>'7'!C22</f>
        <v>0</v>
      </c>
      <c r="D24">
        <f>'7'!D22</f>
        <v>0</v>
      </c>
      <c r="E24">
        <f>'7'!E22</f>
        <v>0</v>
      </c>
      <c r="F24">
        <f>'7'!F22</f>
        <v>1</v>
      </c>
      <c r="G24">
        <f>'7'!G22</f>
        <v>1</v>
      </c>
      <c r="H24">
        <f>'7'!H22</f>
        <v>1</v>
      </c>
      <c r="I24">
        <f>'7'!I22</f>
        <v>0</v>
      </c>
    </row>
    <row r="25" spans="1:9" x14ac:dyDescent="0.2">
      <c r="A25" t="str">
        <f>'7'!A23</f>
        <v>Assist Other Agencies</v>
      </c>
      <c r="B25">
        <f>'7'!B23</f>
        <v>29</v>
      </c>
      <c r="C25">
        <f>'7'!C23</f>
        <v>25</v>
      </c>
      <c r="D25">
        <f>'7'!D23</f>
        <v>26</v>
      </c>
      <c r="E25">
        <f>'7'!E23</f>
        <v>30</v>
      </c>
      <c r="F25">
        <f>'7'!F23</f>
        <v>42</v>
      </c>
      <c r="G25">
        <f>'7'!G23</f>
        <v>76</v>
      </c>
      <c r="H25">
        <f>'7'!H23</f>
        <v>78</v>
      </c>
      <c r="I25">
        <f>'7'!I23</f>
        <v>72</v>
      </c>
    </row>
    <row r="26" spans="1:9" x14ac:dyDescent="0.2">
      <c r="A26" t="str">
        <f>'7'!A24</f>
        <v>Advice Only</v>
      </c>
      <c r="B26">
        <f>'7'!B24</f>
        <v>1</v>
      </c>
      <c r="C26">
        <f>'7'!C24</f>
        <v>0</v>
      </c>
      <c r="D26">
        <f>'7'!D24</f>
        <v>0</v>
      </c>
      <c r="E26">
        <f>'7'!E24</f>
        <v>0</v>
      </c>
      <c r="F26">
        <f>'7'!F24</f>
        <v>0</v>
      </c>
      <c r="G26">
        <f>'7'!G24</f>
        <v>0</v>
      </c>
      <c r="H26">
        <f>'7'!H24</f>
        <v>2</v>
      </c>
      <c r="I26">
        <f>'7'!I24</f>
        <v>1</v>
      </c>
    </row>
  </sheetData>
  <sheetProtection algorithmName="SHA-512" hashValue="t2/vxEa8KLZnJSkqnhtuDZcnkmFWiTBcg5CumAdk6nOrrLGFBiSDm2HG1Je+7jw5tvWTLBdarAZJTa46jVL6xw==" saltValue="ecKx/l4GpbbbkTvkgByXhA==" spinCount="100000" sheet="1" objects="1" scenarios="1"/>
  <pageMargins left="0.25" right="0.25" top="0.75" bottom="0.75" header="0.3" footer="0.3"/>
  <pageSetup paperSize="9" scale="9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4">
    <tabColor rgb="FF960000"/>
    <pageSetUpPr fitToPage="1"/>
  </sheetPr>
  <dimension ref="A1:I26"/>
  <sheetViews>
    <sheetView showGridLines="0" workbookViewId="0"/>
  </sheetViews>
  <sheetFormatPr defaultRowHeight="12.75" x14ac:dyDescent="0.2"/>
  <cols>
    <col min="1" max="1" width="20.7109375" customWidth="1"/>
  </cols>
  <sheetData>
    <row r="1" spans="1:9" ht="38.25" customHeight="1" x14ac:dyDescent="0.35">
      <c r="A1" s="1259" t="str">
        <f>"Non-fatal Casualties in Non-Fire Incidents by Type of Incident, 2011-12 to 2017-18"</f>
        <v>Non-fatal Casualties in Non-Fire Incidents by Type of Incident, 2011-12 to 2017-18</v>
      </c>
    </row>
    <row r="3" spans="1:9" x14ac:dyDescent="0.2">
      <c r="A3" s="386"/>
    </row>
    <row r="5" spans="1:9" x14ac:dyDescent="0.2">
      <c r="B5" t="str">
        <f>'7'!L3</f>
        <v>Non-fatal Casualties</v>
      </c>
    </row>
    <row r="6" spans="1:9" x14ac:dyDescent="0.2">
      <c r="A6" t="str">
        <f>'7'!A4</f>
        <v>Type of Non-fire Incident</v>
      </c>
      <c r="B6" t="str">
        <f>'7'!B4</f>
        <v>2010-11</v>
      </c>
      <c r="C6" t="str">
        <f>'7'!C4</f>
        <v>2011-12</v>
      </c>
      <c r="D6" t="str">
        <f>'7'!D4</f>
        <v>2012-13</v>
      </c>
      <c r="E6" t="str">
        <f>'7'!E4</f>
        <v>2013-14</v>
      </c>
      <c r="F6" t="str">
        <f>'7'!F4</f>
        <v>2014-15</v>
      </c>
      <c r="G6" t="str">
        <f>'7'!G4</f>
        <v>2015-16</v>
      </c>
      <c r="H6" t="str">
        <f>'7'!H4</f>
        <v>2016-17</v>
      </c>
      <c r="I6" t="str">
        <f>'7'!I4</f>
        <v>2017-18</v>
      </c>
    </row>
    <row r="7" spans="1:9" x14ac:dyDescent="0.2">
      <c r="A7" t="str">
        <f>'7'!A5</f>
        <v>RTC</v>
      </c>
      <c r="B7">
        <f>'7'!L5</f>
        <v>1872</v>
      </c>
      <c r="C7">
        <f>'7'!M5</f>
        <v>1772</v>
      </c>
      <c r="D7">
        <f>'7'!N5</f>
        <v>1797</v>
      </c>
      <c r="E7">
        <f>'7'!O5</f>
        <v>1881</v>
      </c>
      <c r="F7">
        <f>'7'!P5</f>
        <v>1846</v>
      </c>
      <c r="G7">
        <f>'7'!Q5</f>
        <v>2046</v>
      </c>
      <c r="H7">
        <f>'7'!R5</f>
        <v>2059</v>
      </c>
      <c r="I7">
        <f>'7'!S5</f>
        <v>2057</v>
      </c>
    </row>
    <row r="8" spans="1:9" x14ac:dyDescent="0.2">
      <c r="A8" t="str">
        <f>'7'!A6</f>
        <v>Other Transport Incident</v>
      </c>
      <c r="B8">
        <f>'7'!L6</f>
        <v>29</v>
      </c>
      <c r="C8">
        <f>'7'!M6</f>
        <v>27</v>
      </c>
      <c r="D8">
        <f>'7'!N6</f>
        <v>16</v>
      </c>
      <c r="E8">
        <f>'7'!O6</f>
        <v>19</v>
      </c>
      <c r="F8">
        <f>'7'!P6</f>
        <v>22</v>
      </c>
      <c r="G8">
        <f>'7'!Q6</f>
        <v>21</v>
      </c>
      <c r="H8">
        <f>'7'!R6</f>
        <v>22</v>
      </c>
      <c r="I8">
        <f>'7'!S6</f>
        <v>10</v>
      </c>
    </row>
    <row r="9" spans="1:9" x14ac:dyDescent="0.2">
      <c r="A9" t="str">
        <f>'7'!A7</f>
        <v>Flooding</v>
      </c>
      <c r="B9">
        <f>'7'!L7</f>
        <v>3</v>
      </c>
      <c r="C9">
        <f>'7'!M7</f>
        <v>3</v>
      </c>
      <c r="D9">
        <f>'7'!N7</f>
        <v>2</v>
      </c>
      <c r="E9">
        <f>'7'!O7</f>
        <v>6</v>
      </c>
      <c r="F9">
        <f>'7'!P7</f>
        <v>6</v>
      </c>
      <c r="G9">
        <f>'7'!Q7</f>
        <v>5</v>
      </c>
      <c r="H9">
        <f>'7'!R7</f>
        <v>2</v>
      </c>
      <c r="I9">
        <f>'7'!S7</f>
        <v>6</v>
      </c>
    </row>
    <row r="10" spans="1:9" x14ac:dyDescent="0.2">
      <c r="A10" t="str">
        <f>'7'!A8</f>
        <v>Rescue or Evacuation from Water</v>
      </c>
      <c r="B10">
        <f>'7'!L8</f>
        <v>33</v>
      </c>
      <c r="C10">
        <f>'7'!M8</f>
        <v>31</v>
      </c>
      <c r="D10">
        <f>'7'!N8</f>
        <v>42</v>
      </c>
      <c r="E10">
        <f>'7'!O8</f>
        <v>45</v>
      </c>
      <c r="F10">
        <f>'7'!P8</f>
        <v>34</v>
      </c>
      <c r="G10">
        <f>'7'!Q8</f>
        <v>55</v>
      </c>
      <c r="H10">
        <f>'7'!R8</f>
        <v>46</v>
      </c>
      <c r="I10">
        <f>'7'!S8</f>
        <v>60</v>
      </c>
    </row>
    <row r="11" spans="1:9" x14ac:dyDescent="0.2">
      <c r="A11" t="str">
        <f>'7'!A9</f>
        <v>Other Rescue or Release of Persons</v>
      </c>
      <c r="B11">
        <f>'7'!L9</f>
        <v>141</v>
      </c>
      <c r="C11">
        <f>'7'!M9</f>
        <v>150</v>
      </c>
      <c r="D11">
        <f>'7'!N9</f>
        <v>142</v>
      </c>
      <c r="E11">
        <f>'7'!O9</f>
        <v>119</v>
      </c>
      <c r="F11">
        <f>'7'!P9</f>
        <v>129</v>
      </c>
      <c r="G11">
        <f>'7'!Q9</f>
        <v>130</v>
      </c>
      <c r="H11">
        <f>'7'!R9</f>
        <v>125</v>
      </c>
      <c r="I11">
        <f>'7'!S9</f>
        <v>151</v>
      </c>
    </row>
    <row r="12" spans="1:9" x14ac:dyDescent="0.2">
      <c r="A12" t="str">
        <f>'7'!A10</f>
        <v>Evacuation (no fire)</v>
      </c>
      <c r="B12">
        <f>'7'!L10</f>
        <v>7</v>
      </c>
      <c r="C12">
        <f>'7'!M10</f>
        <v>6</v>
      </c>
      <c r="D12">
        <f>'7'!N10</f>
        <v>14</v>
      </c>
      <c r="E12">
        <f>'7'!O10</f>
        <v>23</v>
      </c>
      <c r="F12">
        <f>'7'!P10</f>
        <v>7</v>
      </c>
      <c r="G12">
        <f>'7'!Q10</f>
        <v>12</v>
      </c>
      <c r="H12">
        <f>'7'!R10</f>
        <v>30</v>
      </c>
      <c r="I12">
        <f>'7'!S10</f>
        <v>56</v>
      </c>
    </row>
    <row r="13" spans="1:9" x14ac:dyDescent="0.2">
      <c r="A13" t="str">
        <f>'7'!A11</f>
        <v>Lift Release</v>
      </c>
      <c r="B13">
        <f>'7'!L11</f>
        <v>8</v>
      </c>
      <c r="C13">
        <f>'7'!M11</f>
        <v>13</v>
      </c>
      <c r="D13">
        <f>'7'!N11</f>
        <v>7</v>
      </c>
      <c r="E13">
        <f>'7'!O11</f>
        <v>10</v>
      </c>
      <c r="F13">
        <f>'7'!P11</f>
        <v>7</v>
      </c>
      <c r="G13">
        <f>'7'!Q11</f>
        <v>9</v>
      </c>
      <c r="H13">
        <f>'7'!R11</f>
        <v>5</v>
      </c>
      <c r="I13">
        <f>'7'!S11</f>
        <v>10</v>
      </c>
    </row>
    <row r="14" spans="1:9" x14ac:dyDescent="0.2">
      <c r="A14" t="str">
        <f>'7'!A12</f>
        <v>Medical Incident - Co-responder or First responder</v>
      </c>
      <c r="B14">
        <f>'7'!L12</f>
        <v>220</v>
      </c>
      <c r="C14">
        <f>'7'!M12</f>
        <v>183</v>
      </c>
      <c r="D14">
        <f>'7'!N12</f>
        <v>143</v>
      </c>
      <c r="E14">
        <f>'7'!O12</f>
        <v>157</v>
      </c>
      <c r="F14">
        <f>'7'!P12</f>
        <v>182</v>
      </c>
      <c r="G14">
        <f>'7'!Q12</f>
        <v>265</v>
      </c>
      <c r="H14">
        <f>'7'!R12</f>
        <v>270</v>
      </c>
      <c r="I14">
        <f>'7'!S12</f>
        <v>277</v>
      </c>
    </row>
    <row r="15" spans="1:9" x14ac:dyDescent="0.2">
      <c r="A15" t="str">
        <f>'7'!A13</f>
        <v>Suicide and Suicide Attempts</v>
      </c>
      <c r="B15">
        <f>'7'!L13</f>
        <v>11</v>
      </c>
      <c r="C15">
        <f>'7'!M13</f>
        <v>18</v>
      </c>
      <c r="D15">
        <f>'7'!N13</f>
        <v>10</v>
      </c>
      <c r="E15">
        <f>'7'!O13</f>
        <v>12</v>
      </c>
      <c r="F15">
        <f>'7'!P13</f>
        <v>16</v>
      </c>
      <c r="G15">
        <f>'7'!Q13</f>
        <v>13</v>
      </c>
      <c r="H15">
        <f>'7'!R13</f>
        <v>30</v>
      </c>
      <c r="I15">
        <f>'7'!S13</f>
        <v>27</v>
      </c>
    </row>
    <row r="16" spans="1:9" x14ac:dyDescent="0.2">
      <c r="A16" t="str">
        <f>'7'!A14</f>
        <v>Hazardous Materials Incident</v>
      </c>
      <c r="B16">
        <f>'7'!L14</f>
        <v>28</v>
      </c>
      <c r="C16">
        <f>'7'!M14</f>
        <v>68</v>
      </c>
      <c r="D16">
        <f>'7'!N14</f>
        <v>35</v>
      </c>
      <c r="E16">
        <f>'7'!O14</f>
        <v>44</v>
      </c>
      <c r="F16">
        <f>'7'!P14</f>
        <v>33</v>
      </c>
      <c r="G16">
        <f>'7'!Q14</f>
        <v>23</v>
      </c>
      <c r="H16">
        <f>'7'!R14</f>
        <v>37</v>
      </c>
      <c r="I16">
        <f>'7'!S14</f>
        <v>51</v>
      </c>
    </row>
    <row r="17" spans="1:9" x14ac:dyDescent="0.2">
      <c r="A17" t="str">
        <f>'7'!A15</f>
        <v>Spills and Leaks (not RTC)</v>
      </c>
      <c r="B17">
        <f>'7'!L15</f>
        <v>8</v>
      </c>
      <c r="C17">
        <f>'7'!M15</f>
        <v>3</v>
      </c>
      <c r="D17">
        <f>'7'!N15</f>
        <v>8</v>
      </c>
      <c r="E17">
        <f>'7'!O15</f>
        <v>4</v>
      </c>
      <c r="F17">
        <f>'7'!P15</f>
        <v>1</v>
      </c>
      <c r="G17">
        <f>'7'!Q15</f>
        <v>5</v>
      </c>
      <c r="H17">
        <f>'7'!R15</f>
        <v>4</v>
      </c>
      <c r="I17">
        <f>'7'!S15</f>
        <v>5</v>
      </c>
    </row>
    <row r="18" spans="1:9" x14ac:dyDescent="0.2">
      <c r="A18" t="str">
        <f>'7'!A16</f>
        <v>Removal of Objects from People</v>
      </c>
      <c r="B18">
        <f>'7'!L16</f>
        <v>22</v>
      </c>
      <c r="C18">
        <f>'7'!M16</f>
        <v>19</v>
      </c>
      <c r="D18">
        <f>'7'!N16</f>
        <v>30</v>
      </c>
      <c r="E18">
        <f>'7'!O16</f>
        <v>32</v>
      </c>
      <c r="F18">
        <f>'7'!P16</f>
        <v>43</v>
      </c>
      <c r="G18">
        <f>'7'!Q16</f>
        <v>41</v>
      </c>
      <c r="H18">
        <f>'7'!R16</f>
        <v>32</v>
      </c>
      <c r="I18">
        <f>'7'!S16</f>
        <v>28</v>
      </c>
    </row>
    <row r="19" spans="1:9" x14ac:dyDescent="0.2">
      <c r="A19" t="str">
        <f>'7'!A17</f>
        <v>Animal Assistance Incidents</v>
      </c>
      <c r="B19">
        <f>'7'!L17</f>
        <v>3</v>
      </c>
      <c r="C19">
        <f>'7'!M17</f>
        <v>1</v>
      </c>
      <c r="D19">
        <f>'7'!N17</f>
        <v>1</v>
      </c>
      <c r="E19" t="str">
        <f>'7'!O17</f>
        <v>-</v>
      </c>
      <c r="F19">
        <f>'7'!P17</f>
        <v>0</v>
      </c>
      <c r="G19">
        <f>'7'!Q17</f>
        <v>2</v>
      </c>
      <c r="H19">
        <f>'7'!R17</f>
        <v>2</v>
      </c>
      <c r="I19">
        <f>'7'!S17</f>
        <v>4</v>
      </c>
    </row>
    <row r="20" spans="1:9" x14ac:dyDescent="0.2">
      <c r="A20" t="str">
        <f>'7'!A18</f>
        <v xml:space="preserve">Effecting Entry or Exit </v>
      </c>
      <c r="B20">
        <f>'7'!L18</f>
        <v>37</v>
      </c>
      <c r="C20">
        <f>'7'!M18</f>
        <v>37</v>
      </c>
      <c r="D20">
        <f>'7'!N18</f>
        <v>73</v>
      </c>
      <c r="E20">
        <f>'7'!O18</f>
        <v>118</v>
      </c>
      <c r="F20">
        <f>'7'!P18</f>
        <v>281</v>
      </c>
      <c r="G20">
        <f>'7'!Q18</f>
        <v>444</v>
      </c>
      <c r="H20">
        <f>'7'!R18</f>
        <v>549</v>
      </c>
      <c r="I20">
        <f>'7'!S18</f>
        <v>632</v>
      </c>
    </row>
    <row r="21" spans="1:9" x14ac:dyDescent="0.2">
      <c r="A21" t="str">
        <f>'7'!A19</f>
        <v>Making Safe (not RTC)</v>
      </c>
      <c r="B21">
        <f>'7'!L19</f>
        <v>8</v>
      </c>
      <c r="C21">
        <f>'7'!M19</f>
        <v>7</v>
      </c>
      <c r="D21">
        <f>'7'!N19</f>
        <v>8</v>
      </c>
      <c r="E21">
        <f>'7'!O19</f>
        <v>10</v>
      </c>
      <c r="F21">
        <f>'7'!P19</f>
        <v>3</v>
      </c>
      <c r="G21">
        <f>'7'!Q19</f>
        <v>11</v>
      </c>
      <c r="H21">
        <f>'7'!R19</f>
        <v>10</v>
      </c>
      <c r="I21">
        <f>'7'!S19</f>
        <v>16</v>
      </c>
    </row>
    <row r="22" spans="1:9" x14ac:dyDescent="0.2">
      <c r="A22" t="str">
        <f>'7'!A20</f>
        <v>No Action (not false alarm)</v>
      </c>
      <c r="B22">
        <f>'7'!L20</f>
        <v>14</v>
      </c>
      <c r="C22">
        <f>'7'!M20</f>
        <v>19</v>
      </c>
      <c r="D22">
        <f>'7'!N20</f>
        <v>31</v>
      </c>
      <c r="E22">
        <f>'7'!O20</f>
        <v>26</v>
      </c>
      <c r="F22">
        <f>'7'!P20</f>
        <v>28</v>
      </c>
      <c r="G22">
        <f>'7'!Q20</f>
        <v>24</v>
      </c>
      <c r="H22">
        <f>'7'!R20</f>
        <v>29</v>
      </c>
      <c r="I22">
        <f>'7'!S20</f>
        <v>37</v>
      </c>
    </row>
    <row r="23" spans="1:9" x14ac:dyDescent="0.2">
      <c r="A23" t="str">
        <f>'7'!A21</f>
        <v>Water Provision</v>
      </c>
      <c r="B23">
        <f>'7'!L21</f>
        <v>0</v>
      </c>
      <c r="C23">
        <f>'7'!M21</f>
        <v>0</v>
      </c>
      <c r="D23">
        <f>'7'!N21</f>
        <v>0</v>
      </c>
      <c r="E23">
        <f>'7'!O21</f>
        <v>0</v>
      </c>
      <c r="F23">
        <f>'7'!P21</f>
        <v>0</v>
      </c>
      <c r="G23">
        <f>'7'!Q21</f>
        <v>0</v>
      </c>
      <c r="H23">
        <f>'7'!R21</f>
        <v>0</v>
      </c>
      <c r="I23">
        <f>'7'!S21</f>
        <v>0</v>
      </c>
    </row>
    <row r="24" spans="1:9" x14ac:dyDescent="0.2">
      <c r="A24" t="str">
        <f>'7'!A22</f>
        <v>Stand By</v>
      </c>
      <c r="B24">
        <f>'7'!L22</f>
        <v>1</v>
      </c>
      <c r="C24">
        <f>'7'!M22</f>
        <v>1</v>
      </c>
      <c r="D24">
        <f>'7'!N22</f>
        <v>0</v>
      </c>
      <c r="E24">
        <f>'7'!O22</f>
        <v>0</v>
      </c>
      <c r="F24">
        <f>'7'!P22</f>
        <v>6</v>
      </c>
      <c r="G24">
        <f>'7'!Q22</f>
        <v>0</v>
      </c>
      <c r="H24">
        <f>'7'!R22</f>
        <v>0</v>
      </c>
      <c r="I24">
        <f>'7'!S22</f>
        <v>1</v>
      </c>
    </row>
    <row r="25" spans="1:9" x14ac:dyDescent="0.2">
      <c r="A25" t="str">
        <f>'7'!A23</f>
        <v>Assist Other Agencies</v>
      </c>
      <c r="B25">
        <f>'7'!L23</f>
        <v>134</v>
      </c>
      <c r="C25">
        <f>'7'!M23</f>
        <v>111</v>
      </c>
      <c r="D25">
        <f>'7'!N23</f>
        <v>105</v>
      </c>
      <c r="E25">
        <f>'7'!O23</f>
        <v>156</v>
      </c>
      <c r="F25">
        <f>'7'!P23</f>
        <v>163</v>
      </c>
      <c r="G25">
        <f>'7'!Q23</f>
        <v>267</v>
      </c>
      <c r="H25">
        <f>'7'!R23</f>
        <v>333</v>
      </c>
      <c r="I25">
        <f>'7'!S23</f>
        <v>332</v>
      </c>
    </row>
    <row r="26" spans="1:9" x14ac:dyDescent="0.2">
      <c r="A26" t="str">
        <f>'7'!A24</f>
        <v>Advice Only</v>
      </c>
      <c r="B26">
        <f>'7'!L24</f>
        <v>0</v>
      </c>
      <c r="C26">
        <f>'7'!M24</f>
        <v>1</v>
      </c>
      <c r="D26">
        <f>'7'!N24</f>
        <v>3</v>
      </c>
      <c r="E26">
        <f>'7'!O24</f>
        <v>5</v>
      </c>
      <c r="F26">
        <f>'7'!P24</f>
        <v>1</v>
      </c>
      <c r="G26">
        <f>'7'!Q24</f>
        <v>0</v>
      </c>
      <c r="H26">
        <f>'7'!R24</f>
        <v>7</v>
      </c>
      <c r="I26">
        <f>'7'!S24</f>
        <v>6</v>
      </c>
    </row>
  </sheetData>
  <sheetProtection algorithmName="SHA-512" hashValue="ufKv9N3pyy+ytBZKqFQmEESidbLunC9xBr8qox7pCEiB4H8oeUHR+0973fJ0zEf5crwoODjc8SWbizQ99WbvAw==" saltValue="AonED9N1GAMnCe3c8B3x2Q==" spinCount="100000" sheet="1" objects="1" scenarios="1"/>
  <pageMargins left="0.7" right="0.7" top="0.75" bottom="0.75" header="0.3" footer="0.3"/>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60000"/>
    <pageSetUpPr fitToPage="1"/>
  </sheetPr>
  <dimension ref="A1:O50"/>
  <sheetViews>
    <sheetView showGridLines="0" workbookViewId="0"/>
  </sheetViews>
  <sheetFormatPr defaultRowHeight="12.75" x14ac:dyDescent="0.2"/>
  <sheetData>
    <row r="1" spans="1:15" ht="33.75" customHeight="1" x14ac:dyDescent="0.35">
      <c r="A1" s="1259" t="str">
        <f>"All Incidents By Type, 1994-94 to 2017-18"</f>
        <v>All Incidents By Type, 1994-94 to 2017-18</v>
      </c>
      <c r="O1" s="1259"/>
    </row>
    <row r="3" spans="1:15" x14ac:dyDescent="0.2">
      <c r="A3" s="386"/>
      <c r="O3" s="386"/>
    </row>
    <row r="47" spans="8:9" x14ac:dyDescent="0.2">
      <c r="H47">
        <v>2</v>
      </c>
      <c r="I47">
        <v>4</v>
      </c>
    </row>
    <row r="48" spans="8:9" x14ac:dyDescent="0.2">
      <c r="H48">
        <v>0</v>
      </c>
      <c r="I48">
        <v>2</v>
      </c>
    </row>
    <row r="49" spans="8:9" x14ac:dyDescent="0.2">
      <c r="H49">
        <v>2</v>
      </c>
      <c r="I49">
        <v>4</v>
      </c>
    </row>
    <row r="50" spans="8:9" x14ac:dyDescent="0.2">
      <c r="H50">
        <v>0</v>
      </c>
      <c r="I50">
        <v>2</v>
      </c>
    </row>
  </sheetData>
  <sheetProtection algorithmName="SHA-512" hashValue="xsfBI8CAH8p2UOf8Q2RJlY3sxsmH9ldFNuxcpWa1LjL4xR4T4yaaKpzEjCAKwoMMiWjoIpYf9QMji8zTqOE3aA==" saltValue="tSFMTqjKRLQ0egmTX1/0Cw==" spinCount="100000" sheet="1" objects="1" scenarios="1"/>
  <pageMargins left="0.7" right="0.7" top="0.75" bottom="0.75" header="0.3" footer="0.3"/>
  <pageSetup paperSize="9" scale="73"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5">
    <tabColor rgb="FF960000"/>
  </sheetPr>
  <dimension ref="A1:C20"/>
  <sheetViews>
    <sheetView showGridLines="0" workbookViewId="0"/>
  </sheetViews>
  <sheetFormatPr defaultRowHeight="12.75" x14ac:dyDescent="0.2"/>
  <sheetData>
    <row r="1" spans="1:3" ht="38.25" customHeight="1" x14ac:dyDescent="0.35">
      <c r="A1" s="1259" t="s">
        <v>896</v>
      </c>
    </row>
    <row r="7" spans="1:3" x14ac:dyDescent="0.2">
      <c r="B7" s="768">
        <f>'6 6a'!V4-'6 6a'!O4</f>
        <v>10420</v>
      </c>
      <c r="C7" s="768">
        <f>B7-'6 6a'!I4-'6 6a'!T4</f>
        <v>9522</v>
      </c>
    </row>
    <row r="8" spans="1:3" x14ac:dyDescent="0.2">
      <c r="B8" s="768">
        <f>'6 6a'!V5-'6 6a'!O5</f>
        <v>9235</v>
      </c>
      <c r="C8" s="768">
        <f>B8-'6 6a'!I5-'6 6a'!T5</f>
        <v>8385</v>
      </c>
    </row>
    <row r="9" spans="1:3" x14ac:dyDescent="0.2">
      <c r="B9" s="768">
        <f>'6 6a'!V6-'6 6a'!O6</f>
        <v>8275</v>
      </c>
      <c r="C9" s="768">
        <f>B9-'6 6a'!I6-'6 6a'!T6</f>
        <v>7561</v>
      </c>
    </row>
    <row r="10" spans="1:3" x14ac:dyDescent="0.2">
      <c r="B10" s="768">
        <f>'6 6a'!V7-'6 6a'!O7</f>
        <v>8089</v>
      </c>
      <c r="C10" s="768">
        <f>B10-'6 6a'!I7-'6 6a'!T7</f>
        <v>7256</v>
      </c>
    </row>
    <row r="11" spans="1:3" x14ac:dyDescent="0.2">
      <c r="B11" s="768">
        <f>'6 6a'!V8-'6 6a'!O8</f>
        <v>8961</v>
      </c>
      <c r="C11" s="768">
        <f>B11-'6 6a'!I8-'6 6a'!T8</f>
        <v>7813</v>
      </c>
    </row>
    <row r="12" spans="1:3" x14ac:dyDescent="0.2">
      <c r="B12" s="768">
        <f>'6 6a'!V9-'6 6a'!O9</f>
        <v>10345</v>
      </c>
      <c r="C12" s="768">
        <f>B12-'6 6a'!I9-'6 6a'!T9</f>
        <v>8621</v>
      </c>
    </row>
    <row r="13" spans="1:3" x14ac:dyDescent="0.2">
      <c r="B13" s="768">
        <f>'6 6a'!V10-'6 6a'!O10</f>
        <v>9517</v>
      </c>
      <c r="C13" s="768">
        <f>B13-'6 6a'!I10-'6 6a'!T10</f>
        <v>7811</v>
      </c>
    </row>
    <row r="14" spans="1:3" x14ac:dyDescent="0.2">
      <c r="B14" s="768">
        <f>'6 6a'!V11-'6 6a'!O11</f>
        <v>10012</v>
      </c>
      <c r="C14" s="768">
        <f>B14-'6 6a'!I11-'6 6a'!T11</f>
        <v>8362</v>
      </c>
    </row>
    <row r="15" spans="1:3" x14ac:dyDescent="0.2">
      <c r="B15" s="768"/>
    </row>
    <row r="16" spans="1:3" x14ac:dyDescent="0.2">
      <c r="B16" s="768"/>
    </row>
    <row r="17" spans="2:2" x14ac:dyDescent="0.2">
      <c r="B17" s="768"/>
    </row>
    <row r="18" spans="2:2" x14ac:dyDescent="0.2">
      <c r="B18" s="768"/>
    </row>
    <row r="19" spans="2:2" x14ac:dyDescent="0.2">
      <c r="B19" s="768"/>
    </row>
    <row r="20" spans="2:2" x14ac:dyDescent="0.2">
      <c r="B20" s="768"/>
    </row>
  </sheetData>
  <sheetProtection algorithmName="SHA-512" hashValue="ek48OSmXJMx17QiSsUlfQUwoARB7HtSE23FyrG1C2RrRs6r82ZFTmQW9VIt/oJZY6TQeZ4taD1O49+QBLW+bkA==" saltValue="FadW5wKyNpmnovPPzzBhvw==" spinCount="100000" sheet="1" objects="1" scenarios="1"/>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theme="4"/>
    <pageSetUpPr fitToPage="1"/>
  </sheetPr>
  <dimension ref="A1:AG98"/>
  <sheetViews>
    <sheetView showGridLines="0" zoomScaleNormal="100" workbookViewId="0">
      <selection sqref="A1:J1"/>
    </sheetView>
  </sheetViews>
  <sheetFormatPr defaultRowHeight="12.75" x14ac:dyDescent="0.2"/>
  <cols>
    <col min="1" max="1" width="22.28515625" style="1" customWidth="1"/>
    <col min="2" max="2" width="11.7109375" style="1" customWidth="1"/>
    <col min="3" max="3" width="11.140625" style="1" customWidth="1"/>
    <col min="4" max="4" width="11.42578125" style="1" customWidth="1"/>
    <col min="5" max="5" width="12.140625" style="1" customWidth="1"/>
    <col min="6" max="6" width="9.140625" style="1"/>
    <col min="7" max="7" width="12.5703125" style="1" customWidth="1"/>
    <col min="8" max="8" width="9.140625" style="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38.25" customHeight="1" x14ac:dyDescent="0.2">
      <c r="A1" s="1655" t="s">
        <v>620</v>
      </c>
      <c r="B1" s="1655"/>
      <c r="C1" s="1655"/>
      <c r="D1" s="1655"/>
      <c r="E1" s="1655"/>
      <c r="F1" s="1655"/>
      <c r="G1" s="1655"/>
      <c r="H1" s="1655"/>
      <c r="I1" s="1655"/>
      <c r="J1" s="1655"/>
    </row>
    <row r="2" spans="1:33" ht="15" x14ac:dyDescent="0.25">
      <c r="P2" s="253" t="s">
        <v>0</v>
      </c>
    </row>
    <row r="3" spans="1:33" ht="13.5" customHeight="1" x14ac:dyDescent="0.2">
      <c r="A3" s="1679" t="s">
        <v>4</v>
      </c>
      <c r="B3" s="1659" t="s">
        <v>5</v>
      </c>
      <c r="C3" s="1661" t="s">
        <v>6</v>
      </c>
      <c r="D3" s="1677"/>
      <c r="E3" s="1677"/>
      <c r="F3" s="1677"/>
      <c r="G3" s="1677"/>
      <c r="H3" s="1677"/>
      <c r="I3" s="1677"/>
      <c r="J3" s="1677"/>
      <c r="K3" s="1677"/>
      <c r="L3" s="1677"/>
      <c r="M3" s="1677"/>
      <c r="N3" s="1677"/>
      <c r="O3" s="1662"/>
      <c r="P3" s="1637" t="s">
        <v>348</v>
      </c>
    </row>
    <row r="4" spans="1:33" s="67" customFormat="1" ht="52.5" customHeight="1" x14ac:dyDescent="0.2">
      <c r="A4" s="1680"/>
      <c r="B4" s="1665"/>
      <c r="C4" s="117" t="s">
        <v>76</v>
      </c>
      <c r="D4" s="1115" t="s">
        <v>77</v>
      </c>
      <c r="E4" s="1115" t="s">
        <v>78</v>
      </c>
      <c r="F4" s="1115" t="s">
        <v>79</v>
      </c>
      <c r="G4" s="1115" t="s">
        <v>994</v>
      </c>
      <c r="H4" s="1115" t="s">
        <v>995</v>
      </c>
      <c r="I4" s="1115" t="s">
        <v>996</v>
      </c>
      <c r="J4" s="1115" t="s">
        <v>80</v>
      </c>
      <c r="K4" s="1115" t="s">
        <v>81</v>
      </c>
      <c r="L4" s="1115" t="s">
        <v>82</v>
      </c>
      <c r="M4" s="1115" t="s">
        <v>83</v>
      </c>
      <c r="N4" s="1115" t="s">
        <v>997</v>
      </c>
      <c r="O4" s="229" t="s">
        <v>8</v>
      </c>
      <c r="P4" s="1644"/>
      <c r="R4"/>
      <c r="S4"/>
      <c r="T4"/>
      <c r="U4"/>
      <c r="V4"/>
      <c r="W4"/>
      <c r="X4"/>
      <c r="Y4"/>
      <c r="Z4"/>
      <c r="AA4"/>
      <c r="AB4"/>
      <c r="AC4"/>
      <c r="AD4"/>
      <c r="AE4"/>
      <c r="AF4"/>
      <c r="AG4"/>
    </row>
    <row r="5" spans="1:33" ht="13.5" customHeight="1" x14ac:dyDescent="0.2">
      <c r="A5" s="30" t="s">
        <v>16</v>
      </c>
      <c r="B5" s="6">
        <f>'Long-Term Trend'!B22</f>
        <v>6666</v>
      </c>
      <c r="C5" s="395"/>
      <c r="D5" s="33">
        <v>554</v>
      </c>
      <c r="E5" s="33">
        <v>94</v>
      </c>
      <c r="F5" s="396"/>
      <c r="G5" s="396"/>
      <c r="H5" s="396"/>
      <c r="I5" s="396"/>
      <c r="J5" s="396"/>
      <c r="K5" s="396"/>
      <c r="L5" s="396"/>
      <c r="M5" s="33">
        <v>205</v>
      </c>
      <c r="N5" s="396"/>
      <c r="O5" s="396"/>
      <c r="P5" s="799">
        <f t="shared" ref="P5:P12" si="0">SUM(B5:O5)</f>
        <v>7519</v>
      </c>
      <c r="Q5" s="7"/>
      <c r="R5" s="7"/>
      <c r="S5"/>
      <c r="T5"/>
      <c r="U5"/>
      <c r="V5"/>
      <c r="W5"/>
      <c r="X5"/>
      <c r="Y5"/>
      <c r="Z5"/>
      <c r="AA5"/>
      <c r="AB5"/>
      <c r="AC5"/>
      <c r="AD5"/>
      <c r="AE5"/>
      <c r="AF5"/>
      <c r="AG5"/>
    </row>
    <row r="6" spans="1:33" ht="13.5" customHeight="1" x14ac:dyDescent="0.2">
      <c r="A6" s="30" t="s">
        <v>18</v>
      </c>
      <c r="B6" s="6">
        <f>'Long-Term Trend'!B23</f>
        <v>6705</v>
      </c>
      <c r="C6" s="395"/>
      <c r="D6" s="33">
        <v>443</v>
      </c>
      <c r="E6" s="33">
        <v>87</v>
      </c>
      <c r="F6" s="396"/>
      <c r="G6" s="396"/>
      <c r="H6" s="396"/>
      <c r="I6" s="396"/>
      <c r="J6" s="396"/>
      <c r="K6" s="396"/>
      <c r="L6" s="396"/>
      <c r="M6" s="33">
        <v>231</v>
      </c>
      <c r="N6" s="396"/>
      <c r="O6" s="396"/>
      <c r="P6" s="799">
        <f t="shared" si="0"/>
        <v>7466</v>
      </c>
      <c r="Q6" s="7"/>
      <c r="R6" s="7"/>
    </row>
    <row r="7" spans="1:33" ht="13.5" customHeight="1" x14ac:dyDescent="0.2">
      <c r="A7" s="30" t="s">
        <v>19</v>
      </c>
      <c r="B7" s="6">
        <f>'Long-Term Trend'!B24</f>
        <v>6573</v>
      </c>
      <c r="C7" s="397">
        <v>612</v>
      </c>
      <c r="D7" s="33">
        <v>418</v>
      </c>
      <c r="E7" s="33">
        <v>88</v>
      </c>
      <c r="F7" s="33">
        <v>301</v>
      </c>
      <c r="G7" s="33">
        <v>64</v>
      </c>
      <c r="H7" s="33">
        <v>145</v>
      </c>
      <c r="I7" s="33">
        <v>87</v>
      </c>
      <c r="J7" s="33">
        <v>176</v>
      </c>
      <c r="K7" s="33">
        <v>202</v>
      </c>
      <c r="L7" s="33">
        <v>328</v>
      </c>
      <c r="M7" s="33">
        <v>220</v>
      </c>
      <c r="N7" s="33">
        <v>161</v>
      </c>
      <c r="O7" s="33">
        <v>206</v>
      </c>
      <c r="P7" s="964">
        <f t="shared" si="0"/>
        <v>9581</v>
      </c>
      <c r="Q7" s="7"/>
      <c r="R7" s="7"/>
    </row>
    <row r="8" spans="1:33" ht="13.5" customHeight="1" x14ac:dyDescent="0.2">
      <c r="A8" s="30" t="s">
        <v>20</v>
      </c>
      <c r="B8" s="6">
        <f>'Long-Term Trend'!B25</f>
        <v>6300</v>
      </c>
      <c r="C8" s="397">
        <v>599</v>
      </c>
      <c r="D8" s="33">
        <v>392</v>
      </c>
      <c r="E8" s="33">
        <v>89</v>
      </c>
      <c r="F8" s="33">
        <v>329</v>
      </c>
      <c r="G8" s="33">
        <v>53</v>
      </c>
      <c r="H8" s="33">
        <v>146</v>
      </c>
      <c r="I8" s="33">
        <v>112</v>
      </c>
      <c r="J8" s="33">
        <v>143</v>
      </c>
      <c r="K8" s="33">
        <v>196</v>
      </c>
      <c r="L8" s="33">
        <v>307</v>
      </c>
      <c r="M8" s="33">
        <v>188</v>
      </c>
      <c r="N8" s="33">
        <v>145</v>
      </c>
      <c r="O8" s="33">
        <v>139</v>
      </c>
      <c r="P8" s="964">
        <f t="shared" si="0"/>
        <v>9138</v>
      </c>
      <c r="Q8" s="7"/>
      <c r="R8" s="7"/>
    </row>
    <row r="9" spans="1:33" ht="13.5" customHeight="1" x14ac:dyDescent="0.2">
      <c r="A9" s="30" t="s">
        <v>13</v>
      </c>
      <c r="B9" s="6">
        <f>'Long-Term Trend'!B26</f>
        <v>6160</v>
      </c>
      <c r="C9" s="397">
        <v>512</v>
      </c>
      <c r="D9" s="33">
        <v>428</v>
      </c>
      <c r="E9" s="33">
        <v>84</v>
      </c>
      <c r="F9" s="33">
        <v>298</v>
      </c>
      <c r="G9" s="33">
        <v>38</v>
      </c>
      <c r="H9" s="33">
        <v>117</v>
      </c>
      <c r="I9" s="33">
        <v>110</v>
      </c>
      <c r="J9" s="33">
        <v>157</v>
      </c>
      <c r="K9" s="33">
        <v>190</v>
      </c>
      <c r="L9" s="33">
        <v>272</v>
      </c>
      <c r="M9" s="33">
        <v>164</v>
      </c>
      <c r="N9" s="33">
        <v>173</v>
      </c>
      <c r="O9" s="33">
        <v>174</v>
      </c>
      <c r="P9" s="964">
        <f t="shared" si="0"/>
        <v>8877</v>
      </c>
      <c r="Q9" s="7"/>
      <c r="R9" s="7"/>
    </row>
    <row r="10" spans="1:33" ht="13.5" customHeight="1" x14ac:dyDescent="0.2">
      <c r="A10" s="30" t="s">
        <v>15</v>
      </c>
      <c r="B10" s="6">
        <f>'Long-Term Trend'!B27</f>
        <v>5836</v>
      </c>
      <c r="C10" s="397">
        <v>475</v>
      </c>
      <c r="D10" s="33">
        <v>349</v>
      </c>
      <c r="E10" s="33">
        <v>86</v>
      </c>
      <c r="F10" s="33">
        <v>235</v>
      </c>
      <c r="G10" s="33">
        <v>37</v>
      </c>
      <c r="H10" s="33">
        <v>104</v>
      </c>
      <c r="I10" s="33">
        <v>121</v>
      </c>
      <c r="J10" s="33">
        <v>125</v>
      </c>
      <c r="K10" s="33">
        <v>145</v>
      </c>
      <c r="L10" s="33">
        <v>234</v>
      </c>
      <c r="M10" s="33">
        <v>160</v>
      </c>
      <c r="N10" s="33">
        <v>152</v>
      </c>
      <c r="O10" s="33">
        <v>163</v>
      </c>
      <c r="P10" s="964">
        <f t="shared" si="0"/>
        <v>8222</v>
      </c>
      <c r="Q10" s="7"/>
      <c r="R10" s="7"/>
    </row>
    <row r="11" spans="1:33" customFormat="1" ht="13.5" customHeight="1" x14ac:dyDescent="0.2">
      <c r="A11" s="218" t="s">
        <v>17</v>
      </c>
      <c r="B11" s="6">
        <f>'Long-Term Trend'!B28</f>
        <v>5334</v>
      </c>
      <c r="C11" s="398">
        <v>450</v>
      </c>
      <c r="D11" s="399">
        <v>343</v>
      </c>
      <c r="E11" s="399">
        <v>88</v>
      </c>
      <c r="F11" s="399">
        <v>220</v>
      </c>
      <c r="G11" s="399">
        <v>39</v>
      </c>
      <c r="H11" s="399">
        <v>120</v>
      </c>
      <c r="I11" s="399">
        <v>113</v>
      </c>
      <c r="J11" s="399">
        <v>124</v>
      </c>
      <c r="K11" s="399">
        <v>156</v>
      </c>
      <c r="L11" s="399">
        <v>232</v>
      </c>
      <c r="M11" s="399">
        <v>151</v>
      </c>
      <c r="N11" s="399">
        <v>141</v>
      </c>
      <c r="O11" s="399">
        <v>176</v>
      </c>
      <c r="P11" s="964">
        <f t="shared" si="0"/>
        <v>7687</v>
      </c>
      <c r="Q11" s="7"/>
      <c r="R11" s="7"/>
    </row>
    <row r="12" spans="1:33" customFormat="1" ht="13.5" customHeight="1" x14ac:dyDescent="0.2">
      <c r="A12" s="10" t="s">
        <v>147</v>
      </c>
      <c r="B12" s="6">
        <f>'Long-Term Trend'!B29</f>
        <v>5582</v>
      </c>
      <c r="C12" s="400">
        <v>431</v>
      </c>
      <c r="D12">
        <v>358</v>
      </c>
      <c r="E12">
        <v>91</v>
      </c>
      <c r="F12">
        <v>222</v>
      </c>
      <c r="G12">
        <v>30</v>
      </c>
      <c r="H12">
        <v>118</v>
      </c>
      <c r="I12">
        <v>99</v>
      </c>
      <c r="J12">
        <v>100</v>
      </c>
      <c r="K12">
        <v>160</v>
      </c>
      <c r="L12">
        <v>233</v>
      </c>
      <c r="M12">
        <v>157</v>
      </c>
      <c r="N12">
        <v>156</v>
      </c>
      <c r="O12">
        <v>171</v>
      </c>
      <c r="P12" s="964">
        <f t="shared" si="0"/>
        <v>7908</v>
      </c>
      <c r="Q12" s="7"/>
      <c r="R12" s="7"/>
    </row>
    <row r="13" spans="1:33" customFormat="1" ht="13.5" customHeight="1" x14ac:dyDescent="0.2">
      <c r="A13" s="10" t="s">
        <v>160</v>
      </c>
      <c r="B13" s="6">
        <f>'T08'!$P$5</f>
        <v>5677</v>
      </c>
      <c r="C13" s="400">
        <f>'T08'!C5</f>
        <v>490</v>
      </c>
      <c r="D13">
        <f>'T08'!D5</f>
        <v>312</v>
      </c>
      <c r="E13">
        <f>'T08'!E5</f>
        <v>86</v>
      </c>
      <c r="F13">
        <f>'T08'!F5</f>
        <v>248</v>
      </c>
      <c r="G13">
        <f>'T08'!G5</f>
        <v>45</v>
      </c>
      <c r="H13">
        <f>'T08'!H5</f>
        <v>130</v>
      </c>
      <c r="I13">
        <f>'T08'!I5</f>
        <v>118</v>
      </c>
      <c r="J13">
        <f>'T08'!J5</f>
        <v>110</v>
      </c>
      <c r="K13">
        <f>'T08'!K5</f>
        <v>167</v>
      </c>
      <c r="L13">
        <f>'T08'!L5</f>
        <v>257</v>
      </c>
      <c r="M13">
        <f>'T08'!M5</f>
        <v>175</v>
      </c>
      <c r="N13">
        <f>'T08'!N5</f>
        <v>167</v>
      </c>
      <c r="O13">
        <f>'T08'!O5</f>
        <v>192</v>
      </c>
      <c r="P13" s="964">
        <f>SUM(B13:O13)</f>
        <v>8174</v>
      </c>
      <c r="Q13" s="7"/>
      <c r="R13" s="7"/>
    </row>
    <row r="14" spans="1:33" customFormat="1" ht="13.5" customHeight="1" x14ac:dyDescent="0.2">
      <c r="A14" s="10" t="s">
        <v>379</v>
      </c>
      <c r="B14" s="1029">
        <f>'T08'!$P$6</f>
        <v>5548</v>
      </c>
      <c r="C14">
        <f>'T08'!C6</f>
        <v>415</v>
      </c>
      <c r="D14">
        <f>'T08'!D6</f>
        <v>317</v>
      </c>
      <c r="E14">
        <f>'T08'!E6</f>
        <v>73</v>
      </c>
      <c r="F14">
        <f>'T08'!F6</f>
        <v>232</v>
      </c>
      <c r="G14">
        <f>'T08'!G6</f>
        <v>52</v>
      </c>
      <c r="H14">
        <f>'T08'!H6</f>
        <v>119</v>
      </c>
      <c r="I14">
        <f>'T08'!I6</f>
        <v>99</v>
      </c>
      <c r="J14">
        <f>'T08'!J6</f>
        <v>105</v>
      </c>
      <c r="K14">
        <f>'T08'!K6</f>
        <v>172</v>
      </c>
      <c r="L14">
        <f>'T08'!L6</f>
        <v>225</v>
      </c>
      <c r="M14">
        <f>'T08'!M6</f>
        <v>164</v>
      </c>
      <c r="N14">
        <f>'T08'!N6</f>
        <v>145</v>
      </c>
      <c r="O14">
        <f>'T08'!O6</f>
        <v>161</v>
      </c>
      <c r="P14" s="964">
        <f t="shared" ref="P14" si="1">SUM(B14:O14)</f>
        <v>7827</v>
      </c>
      <c r="Q14" s="7" t="s">
        <v>145</v>
      </c>
      <c r="R14" s="7"/>
    </row>
    <row r="15" spans="1:33" x14ac:dyDescent="0.2">
      <c r="A15" s="1261" t="s">
        <v>603</v>
      </c>
      <c r="B15" s="1024">
        <f>'T08'!$P$7</f>
        <v>5310</v>
      </c>
      <c r="C15" s="90">
        <f>'T08'!C7</f>
        <v>383</v>
      </c>
      <c r="D15" s="90">
        <f>'T08'!D7</f>
        <v>356</v>
      </c>
      <c r="E15" s="90">
        <f>'T08'!E7</f>
        <v>68</v>
      </c>
      <c r="F15" s="90">
        <f>'T08'!F7</f>
        <v>225</v>
      </c>
      <c r="G15" s="90">
        <f>'T08'!G7</f>
        <v>35</v>
      </c>
      <c r="H15" s="90">
        <f>'T08'!H7</f>
        <v>106</v>
      </c>
      <c r="I15" s="90">
        <f>'T08'!I7</f>
        <v>153</v>
      </c>
      <c r="J15" s="90">
        <f>'T08'!J7</f>
        <v>115</v>
      </c>
      <c r="K15" s="90">
        <f>'T08'!K7</f>
        <v>156</v>
      </c>
      <c r="L15" s="90">
        <f>'T08'!L7</f>
        <v>201</v>
      </c>
      <c r="M15" s="90">
        <f>'T08'!M7</f>
        <v>177</v>
      </c>
      <c r="N15" s="90">
        <f>'T08'!N7</f>
        <v>127</v>
      </c>
      <c r="O15" s="90">
        <f>'T08'!O7</f>
        <v>179</v>
      </c>
      <c r="P15" s="965">
        <f>SUM(B15:O15)</f>
        <v>7591</v>
      </c>
      <c r="Q15" s="7" t="s">
        <v>143</v>
      </c>
      <c r="R15" s="7"/>
    </row>
    <row r="17" spans="1:16" x14ac:dyDescent="0.2">
      <c r="A17" s="68" t="s">
        <v>162</v>
      </c>
    </row>
    <row r="18" spans="1:16" x14ac:dyDescent="0.2">
      <c r="A18" s="71" t="s">
        <v>975</v>
      </c>
    </row>
    <row r="19" spans="1:16" x14ac:dyDescent="0.2">
      <c r="A19" s="71" t="s">
        <v>971</v>
      </c>
    </row>
    <row r="20" spans="1:16" ht="27" customHeight="1" x14ac:dyDescent="0.2">
      <c r="A20" s="1678" t="s">
        <v>1009</v>
      </c>
      <c r="B20" s="1678"/>
      <c r="C20" s="1678"/>
      <c r="D20" s="1678"/>
      <c r="E20" s="1678"/>
      <c r="F20" s="1678"/>
      <c r="G20" s="1678"/>
      <c r="H20" s="1678"/>
      <c r="I20" s="1678"/>
      <c r="J20" s="1678"/>
      <c r="K20" s="1678"/>
      <c r="L20" s="1678"/>
      <c r="M20" s="1678"/>
      <c r="N20" s="1678"/>
      <c r="O20" s="1678"/>
      <c r="P20" s="1678"/>
    </row>
    <row r="21" spans="1:16" x14ac:dyDescent="0.2">
      <c r="A21" s="1649" t="s">
        <v>998</v>
      </c>
      <c r="B21" s="1649"/>
      <c r="C21" s="1649"/>
      <c r="D21" s="1649"/>
      <c r="E21" s="1649"/>
      <c r="F21" s="1649"/>
      <c r="G21" s="1649"/>
      <c r="H21" s="1649"/>
    </row>
    <row r="22" spans="1:16" x14ac:dyDescent="0.2">
      <c r="A22"/>
      <c r="B22"/>
    </row>
    <row r="23" spans="1:16" x14ac:dyDescent="0.2">
      <c r="A23" s="1653" t="s">
        <v>716</v>
      </c>
      <c r="B23" s="1653"/>
      <c r="C23" s="1653"/>
      <c r="D23" s="1653"/>
      <c r="E23" s="1653"/>
      <c r="F23" s="1653"/>
    </row>
    <row r="24" spans="1:16" ht="38.25" customHeight="1" x14ac:dyDescent="0.2">
      <c r="A24" s="1653"/>
      <c r="B24" s="1653"/>
      <c r="C24" s="1653"/>
      <c r="D24" s="1653"/>
      <c r="E24" s="1653"/>
      <c r="F24" s="1653"/>
      <c r="G24" s="467"/>
      <c r="H24" s="467"/>
      <c r="I24" s="467"/>
      <c r="J24" s="467"/>
      <c r="K24" s="467"/>
      <c r="L24" s="467"/>
      <c r="M24" s="467"/>
      <c r="N24" s="467"/>
      <c r="O24" s="467"/>
    </row>
    <row r="25" spans="1:16" ht="15" x14ac:dyDescent="0.25">
      <c r="P25" s="253" t="s">
        <v>0</v>
      </c>
    </row>
    <row r="26" spans="1:16" ht="13.5" customHeight="1" x14ac:dyDescent="0.2">
      <c r="A26" s="1629" t="s">
        <v>22</v>
      </c>
      <c r="B26" s="1659" t="s">
        <v>5</v>
      </c>
      <c r="C26" s="1661" t="s">
        <v>6</v>
      </c>
      <c r="D26" s="1677"/>
      <c r="E26" s="1677"/>
      <c r="F26" s="1677"/>
      <c r="G26" s="1677"/>
      <c r="H26" s="1677"/>
      <c r="I26" s="1677"/>
      <c r="J26" s="1677"/>
      <c r="K26" s="1677"/>
      <c r="L26" s="1677"/>
      <c r="M26" s="1677"/>
      <c r="N26" s="1677"/>
      <c r="O26" s="1662"/>
      <c r="P26" s="1637" t="s">
        <v>348</v>
      </c>
    </row>
    <row r="27" spans="1:16" ht="52.5" customHeight="1" x14ac:dyDescent="0.2">
      <c r="A27" s="1630"/>
      <c r="B27" s="1665"/>
      <c r="C27" s="117" t="s">
        <v>76</v>
      </c>
      <c r="D27" s="1115" t="s">
        <v>77</v>
      </c>
      <c r="E27" s="1115" t="s">
        <v>78</v>
      </c>
      <c r="F27" s="1115" t="s">
        <v>79</v>
      </c>
      <c r="G27" s="1115" t="s">
        <v>994</v>
      </c>
      <c r="H27" s="1115" t="s">
        <v>995</v>
      </c>
      <c r="I27" s="1115" t="s">
        <v>996</v>
      </c>
      <c r="J27" s="1115" t="s">
        <v>80</v>
      </c>
      <c r="K27" s="1115" t="s">
        <v>81</v>
      </c>
      <c r="L27" s="1115" t="s">
        <v>82</v>
      </c>
      <c r="M27" s="1115" t="s">
        <v>83</v>
      </c>
      <c r="N27" s="1115" t="s">
        <v>997</v>
      </c>
      <c r="O27" s="229" t="s">
        <v>8</v>
      </c>
      <c r="P27" s="1644"/>
    </row>
    <row r="28" spans="1:16" ht="18.75" customHeight="1" x14ac:dyDescent="0.2">
      <c r="A28" s="355" t="s">
        <v>23</v>
      </c>
      <c r="B28" s="1054">
        <f>T_08!C5</f>
        <v>277</v>
      </c>
      <c r="C28" s="404">
        <f>T_08!D5</f>
        <v>17</v>
      </c>
      <c r="D28" s="405">
        <f>T_08!E5</f>
        <v>10</v>
      </c>
      <c r="E28" s="405">
        <f>T_08!F5</f>
        <v>0</v>
      </c>
      <c r="F28" s="405">
        <f>T_08!G5</f>
        <v>6</v>
      </c>
      <c r="G28" s="406">
        <f>T_08!H5</f>
        <v>3</v>
      </c>
      <c r="H28" s="405">
        <f>T_08!I5</f>
        <v>9</v>
      </c>
      <c r="I28" s="405">
        <f>T_08!J5</f>
        <v>2</v>
      </c>
      <c r="J28" s="405">
        <f>T_08!K5</f>
        <v>1</v>
      </c>
      <c r="K28" s="405">
        <f>T_08!L5</f>
        <v>9</v>
      </c>
      <c r="L28" s="405">
        <f>T_08!M5</f>
        <v>10</v>
      </c>
      <c r="M28" s="405">
        <f>T_08!N5</f>
        <v>12</v>
      </c>
      <c r="N28" s="405">
        <f>T_08!O5</f>
        <v>14</v>
      </c>
      <c r="O28" s="405">
        <f>T_08!P5</f>
        <v>5</v>
      </c>
      <c r="P28" s="801">
        <f>SUM(B28:O28)</f>
        <v>375</v>
      </c>
    </row>
    <row r="29" spans="1:16" ht="13.5" customHeight="1" x14ac:dyDescent="0.2">
      <c r="A29" s="5" t="s">
        <v>24</v>
      </c>
      <c r="B29" s="642">
        <f>T_08!C6</f>
        <v>168</v>
      </c>
      <c r="C29" s="402">
        <f>T_08!D6</f>
        <v>11</v>
      </c>
      <c r="D29" s="403">
        <f>T_08!E6</f>
        <v>11</v>
      </c>
      <c r="E29" s="403">
        <f>T_08!F6</f>
        <v>12</v>
      </c>
      <c r="F29" s="403">
        <f>T_08!G6</f>
        <v>16</v>
      </c>
      <c r="G29" s="401">
        <f>T_08!H6</f>
        <v>0</v>
      </c>
      <c r="H29" s="403">
        <f>T_08!I6</f>
        <v>5</v>
      </c>
      <c r="I29" s="403">
        <f>T_08!J6</f>
        <v>18</v>
      </c>
      <c r="J29" s="403">
        <f>T_08!K6</f>
        <v>4</v>
      </c>
      <c r="K29" s="403">
        <f>T_08!L6</f>
        <v>4</v>
      </c>
      <c r="L29" s="403">
        <f>T_08!M6</f>
        <v>6</v>
      </c>
      <c r="M29" s="403">
        <f>T_08!N6</f>
        <v>9</v>
      </c>
      <c r="N29" s="403">
        <f>T_08!O6</f>
        <v>3</v>
      </c>
      <c r="O29" s="403">
        <f>T_08!P6</f>
        <v>8</v>
      </c>
      <c r="P29" s="967">
        <f t="shared" ref="P29:P58" si="2">SUM(B29:O29)</f>
        <v>275</v>
      </c>
    </row>
    <row r="30" spans="1:16" ht="13.5" customHeight="1" x14ac:dyDescent="0.2">
      <c r="A30" s="355" t="s">
        <v>25</v>
      </c>
      <c r="B30" s="1054">
        <f>T_08!C7</f>
        <v>81</v>
      </c>
      <c r="C30" s="407">
        <f>T_08!D7</f>
        <v>3</v>
      </c>
      <c r="D30" s="408">
        <f>T_08!E7</f>
        <v>8</v>
      </c>
      <c r="E30" s="408">
        <f>T_08!F7</f>
        <v>4</v>
      </c>
      <c r="F30" s="408">
        <f>T_08!G7</f>
        <v>4</v>
      </c>
      <c r="G30" s="409">
        <f>T_08!H7</f>
        <v>0</v>
      </c>
      <c r="H30" s="409">
        <f>T_08!I7</f>
        <v>0</v>
      </c>
      <c r="I30" s="408">
        <f>T_08!J7</f>
        <v>4</v>
      </c>
      <c r="J30" s="408">
        <f>T_08!K7</f>
        <v>0</v>
      </c>
      <c r="K30" s="408">
        <f>T_08!L7</f>
        <v>5</v>
      </c>
      <c r="L30" s="408">
        <f>T_08!M7</f>
        <v>2</v>
      </c>
      <c r="M30" s="408">
        <f>T_08!N7</f>
        <v>1</v>
      </c>
      <c r="N30" s="408">
        <f>T_08!O7</f>
        <v>0</v>
      </c>
      <c r="O30" s="408">
        <f>T_08!P7</f>
        <v>3</v>
      </c>
      <c r="P30" s="802">
        <f t="shared" si="2"/>
        <v>115</v>
      </c>
    </row>
    <row r="31" spans="1:16" ht="13.5" customHeight="1" x14ac:dyDescent="0.2">
      <c r="A31" s="5" t="s">
        <v>26</v>
      </c>
      <c r="B31" s="642">
        <f>T_08!C8</f>
        <v>86</v>
      </c>
      <c r="C31" s="402">
        <f>T_08!D8</f>
        <v>15</v>
      </c>
      <c r="D31" s="403">
        <f>T_08!E8</f>
        <v>3</v>
      </c>
      <c r="E31" s="403">
        <f>T_08!F8</f>
        <v>6</v>
      </c>
      <c r="F31" s="403">
        <f>T_08!G8</f>
        <v>5</v>
      </c>
      <c r="G31" s="401">
        <f>T_08!H8</f>
        <v>2</v>
      </c>
      <c r="H31" s="403">
        <f>T_08!I8</f>
        <v>2</v>
      </c>
      <c r="I31" s="403">
        <f>T_08!J8</f>
        <v>0</v>
      </c>
      <c r="J31" s="403">
        <f>T_08!K8</f>
        <v>1</v>
      </c>
      <c r="K31" s="403">
        <f>T_08!L8</f>
        <v>2</v>
      </c>
      <c r="L31" s="403">
        <f>T_08!M8</f>
        <v>3</v>
      </c>
      <c r="M31" s="403">
        <f>T_08!N8</f>
        <v>4</v>
      </c>
      <c r="N31" s="403">
        <f>T_08!O8</f>
        <v>1</v>
      </c>
      <c r="O31" s="403">
        <f>T_08!P8</f>
        <v>6</v>
      </c>
      <c r="P31" s="967">
        <f t="shared" si="2"/>
        <v>136</v>
      </c>
    </row>
    <row r="32" spans="1:16" ht="13.5" customHeight="1" x14ac:dyDescent="0.2">
      <c r="A32" s="355" t="s">
        <v>27</v>
      </c>
      <c r="B32" s="1054">
        <f>T_08!C9</f>
        <v>51</v>
      </c>
      <c r="C32" s="407">
        <f>T_08!D9</f>
        <v>3</v>
      </c>
      <c r="D32" s="408">
        <f>T_08!E9</f>
        <v>4</v>
      </c>
      <c r="E32" s="408">
        <f>T_08!F9</f>
        <v>1</v>
      </c>
      <c r="F32" s="408">
        <f>T_08!G9</f>
        <v>7</v>
      </c>
      <c r="G32" s="408">
        <f>T_08!H9</f>
        <v>0</v>
      </c>
      <c r="H32" s="409">
        <f>T_08!I9</f>
        <v>1</v>
      </c>
      <c r="I32" s="408">
        <f>T_08!J9</f>
        <v>1</v>
      </c>
      <c r="J32" s="408">
        <f>T_08!K9</f>
        <v>0</v>
      </c>
      <c r="K32" s="408">
        <f>T_08!L9</f>
        <v>0</v>
      </c>
      <c r="L32" s="408">
        <f>T_08!M9</f>
        <v>0</v>
      </c>
      <c r="M32" s="408">
        <f>T_08!N9</f>
        <v>2</v>
      </c>
      <c r="N32" s="408">
        <f>T_08!O9</f>
        <v>0</v>
      </c>
      <c r="O32" s="408">
        <f>T_08!P9</f>
        <v>2</v>
      </c>
      <c r="P32" s="802">
        <f t="shared" si="2"/>
        <v>72</v>
      </c>
    </row>
    <row r="33" spans="1:16" ht="13.5" customHeight="1" x14ac:dyDescent="0.2">
      <c r="A33" s="5" t="s">
        <v>28</v>
      </c>
      <c r="B33" s="642">
        <f>T_08!C10</f>
        <v>104</v>
      </c>
      <c r="C33" s="402">
        <f>T_08!D10</f>
        <v>6</v>
      </c>
      <c r="D33" s="403">
        <f>T_08!E10</f>
        <v>9</v>
      </c>
      <c r="E33" s="403">
        <f>T_08!F10</f>
        <v>5</v>
      </c>
      <c r="F33" s="403">
        <f>T_08!G10</f>
        <v>6</v>
      </c>
      <c r="G33" s="403">
        <f>T_08!H10</f>
        <v>1</v>
      </c>
      <c r="H33" s="403">
        <f>T_08!I10</f>
        <v>0</v>
      </c>
      <c r="I33" s="403">
        <f>T_08!J10</f>
        <v>1</v>
      </c>
      <c r="J33" s="403">
        <f>T_08!K10</f>
        <v>3</v>
      </c>
      <c r="K33" s="403">
        <f>T_08!L10</f>
        <v>8</v>
      </c>
      <c r="L33" s="403">
        <f>T_08!M10</f>
        <v>1</v>
      </c>
      <c r="M33" s="403">
        <f>T_08!N10</f>
        <v>4</v>
      </c>
      <c r="N33" s="403">
        <f>T_08!O10</f>
        <v>2</v>
      </c>
      <c r="O33" s="403">
        <f>T_08!P10</f>
        <v>3</v>
      </c>
      <c r="P33" s="967">
        <f t="shared" si="2"/>
        <v>153</v>
      </c>
    </row>
    <row r="34" spans="1:16" ht="13.5" customHeight="1" x14ac:dyDescent="0.2">
      <c r="A34" s="355" t="s">
        <v>29</v>
      </c>
      <c r="B34" s="1054">
        <f>T_08!C11</f>
        <v>214</v>
      </c>
      <c r="C34" s="407">
        <f>T_08!D11</f>
        <v>17</v>
      </c>
      <c r="D34" s="408">
        <f>T_08!E11</f>
        <v>10</v>
      </c>
      <c r="E34" s="408">
        <f>T_08!F11</f>
        <v>0</v>
      </c>
      <c r="F34" s="408">
        <f>T_08!G11</f>
        <v>6</v>
      </c>
      <c r="G34" s="408">
        <f>T_08!H11</f>
        <v>2</v>
      </c>
      <c r="H34" s="408">
        <f>T_08!I11</f>
        <v>1</v>
      </c>
      <c r="I34" s="408">
        <f>T_08!J11</f>
        <v>4</v>
      </c>
      <c r="J34" s="408">
        <f>T_08!K11</f>
        <v>3</v>
      </c>
      <c r="K34" s="408">
        <f>T_08!L11</f>
        <v>3</v>
      </c>
      <c r="L34" s="408">
        <f>T_08!M11</f>
        <v>5</v>
      </c>
      <c r="M34" s="408">
        <f>T_08!N11</f>
        <v>6</v>
      </c>
      <c r="N34" s="408">
        <f>T_08!O11</f>
        <v>0</v>
      </c>
      <c r="O34" s="408">
        <f>T_08!P11</f>
        <v>3</v>
      </c>
      <c r="P34" s="802">
        <f t="shared" si="2"/>
        <v>274</v>
      </c>
    </row>
    <row r="35" spans="1:16" ht="13.5" customHeight="1" x14ac:dyDescent="0.2">
      <c r="A35" s="5" t="s">
        <v>30</v>
      </c>
      <c r="B35" s="642">
        <f>T_08!C12</f>
        <v>87</v>
      </c>
      <c r="C35" s="402">
        <f>T_08!D12</f>
        <v>1</v>
      </c>
      <c r="D35" s="403">
        <f>T_08!E12</f>
        <v>9</v>
      </c>
      <c r="E35" s="403">
        <f>T_08!F12</f>
        <v>1</v>
      </c>
      <c r="F35" s="403">
        <f>T_08!G12</f>
        <v>3</v>
      </c>
      <c r="G35" s="403">
        <f>T_08!H12</f>
        <v>1</v>
      </c>
      <c r="H35" s="403">
        <f>T_08!I12</f>
        <v>0</v>
      </c>
      <c r="I35" s="403">
        <f>T_08!J12</f>
        <v>10</v>
      </c>
      <c r="J35" s="403">
        <f>T_08!K12</f>
        <v>4</v>
      </c>
      <c r="K35" s="403">
        <f>T_08!L12</f>
        <v>1</v>
      </c>
      <c r="L35" s="403">
        <f>T_08!M12</f>
        <v>1</v>
      </c>
      <c r="M35" s="403">
        <f>T_08!N12</f>
        <v>1</v>
      </c>
      <c r="N35" s="403">
        <f>T_08!O12</f>
        <v>0</v>
      </c>
      <c r="O35" s="403">
        <f>T_08!P12</f>
        <v>1</v>
      </c>
      <c r="P35" s="967">
        <f t="shared" si="2"/>
        <v>120</v>
      </c>
    </row>
    <row r="36" spans="1:16" ht="13.5" customHeight="1" x14ac:dyDescent="0.2">
      <c r="A36" s="355" t="s">
        <v>31</v>
      </c>
      <c r="B36" s="1054">
        <f>T_08!C13</f>
        <v>67</v>
      </c>
      <c r="C36" s="407">
        <f>T_08!D13</f>
        <v>6</v>
      </c>
      <c r="D36" s="408">
        <f>T_08!E13</f>
        <v>6</v>
      </c>
      <c r="E36" s="408">
        <f>T_08!F13</f>
        <v>0</v>
      </c>
      <c r="F36" s="408">
        <f>T_08!G13</f>
        <v>1</v>
      </c>
      <c r="G36" s="409">
        <f>T_08!H13</f>
        <v>0</v>
      </c>
      <c r="H36" s="408">
        <f>T_08!I13</f>
        <v>0</v>
      </c>
      <c r="I36" s="408">
        <f>T_08!J13</f>
        <v>5</v>
      </c>
      <c r="J36" s="408">
        <f>T_08!K13</f>
        <v>3</v>
      </c>
      <c r="K36" s="408">
        <f>T_08!L13</f>
        <v>1</v>
      </c>
      <c r="L36" s="408">
        <f>T_08!M13</f>
        <v>5</v>
      </c>
      <c r="M36" s="408">
        <f>T_08!N13</f>
        <v>3</v>
      </c>
      <c r="N36" s="408">
        <f>T_08!O13</f>
        <v>1</v>
      </c>
      <c r="O36" s="408">
        <f>T_08!P13</f>
        <v>3</v>
      </c>
      <c r="P36" s="802">
        <f t="shared" si="2"/>
        <v>101</v>
      </c>
    </row>
    <row r="37" spans="1:16" ht="13.5" customHeight="1" x14ac:dyDescent="0.2">
      <c r="A37" s="5" t="s">
        <v>32</v>
      </c>
      <c r="B37" s="642">
        <f>T_08!C14</f>
        <v>76</v>
      </c>
      <c r="C37" s="402">
        <f>T_08!D14</f>
        <v>5</v>
      </c>
      <c r="D37" s="403">
        <f>T_08!E14</f>
        <v>7</v>
      </c>
      <c r="E37" s="403">
        <f>T_08!F14</f>
        <v>3</v>
      </c>
      <c r="F37" s="403">
        <f>T_08!G14</f>
        <v>5</v>
      </c>
      <c r="G37" s="403">
        <f>T_08!H14</f>
        <v>0</v>
      </c>
      <c r="H37" s="403">
        <f>T_08!I14</f>
        <v>2</v>
      </c>
      <c r="I37" s="403">
        <f>T_08!J14</f>
        <v>0</v>
      </c>
      <c r="J37" s="403">
        <f>T_08!K14</f>
        <v>1</v>
      </c>
      <c r="K37" s="403">
        <f>T_08!L14</f>
        <v>2</v>
      </c>
      <c r="L37" s="403">
        <f>T_08!M14</f>
        <v>3</v>
      </c>
      <c r="M37" s="403">
        <f>T_08!N14</f>
        <v>8</v>
      </c>
      <c r="N37" s="403">
        <f>T_08!O14</f>
        <v>2</v>
      </c>
      <c r="O37" s="403">
        <f>T_08!P14</f>
        <v>0</v>
      </c>
      <c r="P37" s="967">
        <f t="shared" si="2"/>
        <v>114</v>
      </c>
    </row>
    <row r="38" spans="1:16" ht="13.5" customHeight="1" x14ac:dyDescent="0.2">
      <c r="A38" s="355" t="s">
        <v>33</v>
      </c>
      <c r="B38" s="1054">
        <f>T_08!C15</f>
        <v>84</v>
      </c>
      <c r="C38" s="407">
        <f>T_08!D15</f>
        <v>2</v>
      </c>
      <c r="D38" s="408">
        <f>T_08!E15</f>
        <v>5</v>
      </c>
      <c r="E38" s="408">
        <f>T_08!F15</f>
        <v>0</v>
      </c>
      <c r="F38" s="408">
        <f>T_08!G15</f>
        <v>3</v>
      </c>
      <c r="G38" s="408">
        <f>T_08!H15</f>
        <v>2</v>
      </c>
      <c r="H38" s="408">
        <f>T_08!I15</f>
        <v>0</v>
      </c>
      <c r="I38" s="408">
        <f>T_08!J15</f>
        <v>0</v>
      </c>
      <c r="J38" s="408">
        <f>T_08!K15</f>
        <v>2</v>
      </c>
      <c r="K38" s="408">
        <f>T_08!L15</f>
        <v>2</v>
      </c>
      <c r="L38" s="408">
        <f>T_08!M15</f>
        <v>3</v>
      </c>
      <c r="M38" s="408">
        <f>T_08!N15</f>
        <v>3</v>
      </c>
      <c r="N38" s="408">
        <f>T_08!O15</f>
        <v>1</v>
      </c>
      <c r="O38" s="408">
        <f>T_08!P15</f>
        <v>0</v>
      </c>
      <c r="P38" s="802">
        <f t="shared" si="2"/>
        <v>107</v>
      </c>
    </row>
    <row r="39" spans="1:16" ht="13.5" customHeight="1" x14ac:dyDescent="0.2">
      <c r="A39" s="5" t="s">
        <v>137</v>
      </c>
      <c r="B39" s="642">
        <f>T_08!C16</f>
        <v>523</v>
      </c>
      <c r="C39" s="402">
        <f>T_08!D16</f>
        <v>56</v>
      </c>
      <c r="D39" s="403">
        <f>T_08!E16</f>
        <v>18</v>
      </c>
      <c r="E39" s="403">
        <f>T_08!F16</f>
        <v>0</v>
      </c>
      <c r="F39" s="403">
        <f>T_08!G16</f>
        <v>6</v>
      </c>
      <c r="G39" s="403">
        <f>T_08!H16</f>
        <v>0</v>
      </c>
      <c r="H39" s="403">
        <f>T_08!I16</f>
        <v>17</v>
      </c>
      <c r="I39" s="403">
        <f>T_08!J16</f>
        <v>17</v>
      </c>
      <c r="J39" s="403">
        <f>T_08!K16</f>
        <v>11</v>
      </c>
      <c r="K39" s="403">
        <f>T_08!L16</f>
        <v>30</v>
      </c>
      <c r="L39" s="403">
        <f>T_08!M16</f>
        <v>23</v>
      </c>
      <c r="M39" s="403">
        <f>T_08!N16</f>
        <v>23</v>
      </c>
      <c r="N39" s="403">
        <f>T_08!O16</f>
        <v>24</v>
      </c>
      <c r="O39" s="403">
        <f>T_08!P16</f>
        <v>14</v>
      </c>
      <c r="P39" s="967">
        <f t="shared" si="2"/>
        <v>762</v>
      </c>
    </row>
    <row r="40" spans="1:16" ht="13.5" customHeight="1" x14ac:dyDescent="0.2">
      <c r="A40" s="355" t="s">
        <v>34</v>
      </c>
      <c r="B40" s="1054">
        <f>T_08!C17</f>
        <v>122</v>
      </c>
      <c r="C40" s="407">
        <f>T_08!D17</f>
        <v>6</v>
      </c>
      <c r="D40" s="408">
        <f>T_08!E17</f>
        <v>15</v>
      </c>
      <c r="E40" s="408">
        <f>T_08!F17</f>
        <v>3</v>
      </c>
      <c r="F40" s="408">
        <f>T_08!G17</f>
        <v>13</v>
      </c>
      <c r="G40" s="408">
        <f>T_08!H17</f>
        <v>0</v>
      </c>
      <c r="H40" s="408">
        <f>T_08!I17</f>
        <v>1</v>
      </c>
      <c r="I40" s="408">
        <f>T_08!J17</f>
        <v>33</v>
      </c>
      <c r="J40" s="408">
        <f>T_08!K17</f>
        <v>4</v>
      </c>
      <c r="K40" s="408">
        <f>T_08!L17</f>
        <v>3</v>
      </c>
      <c r="L40" s="408">
        <f>T_08!M17</f>
        <v>7</v>
      </c>
      <c r="M40" s="408">
        <f>T_08!N17</f>
        <v>2</v>
      </c>
      <c r="N40" s="408">
        <f>T_08!O17</f>
        <v>6</v>
      </c>
      <c r="O40" s="408">
        <f>T_08!P17</f>
        <v>3</v>
      </c>
      <c r="P40" s="802">
        <f t="shared" si="2"/>
        <v>218</v>
      </c>
    </row>
    <row r="41" spans="1:16" ht="13.5" customHeight="1" x14ac:dyDescent="0.2">
      <c r="A41" s="5" t="s">
        <v>35</v>
      </c>
      <c r="B41" s="642">
        <f>T_08!C18</f>
        <v>302</v>
      </c>
      <c r="C41" s="402">
        <f>T_08!D18</f>
        <v>22</v>
      </c>
      <c r="D41" s="403">
        <f>T_08!E18</f>
        <v>35</v>
      </c>
      <c r="E41" s="403">
        <f>T_08!F18</f>
        <v>5</v>
      </c>
      <c r="F41" s="403">
        <f>T_08!G18</f>
        <v>14</v>
      </c>
      <c r="G41" s="403">
        <f>T_08!H18</f>
        <v>3</v>
      </c>
      <c r="H41" s="403">
        <f>T_08!I18</f>
        <v>8</v>
      </c>
      <c r="I41" s="403">
        <f>T_08!J18</f>
        <v>1</v>
      </c>
      <c r="J41" s="403">
        <f>T_08!K18</f>
        <v>8</v>
      </c>
      <c r="K41" s="403">
        <f>T_08!L18</f>
        <v>8</v>
      </c>
      <c r="L41" s="403">
        <f>T_08!M18</f>
        <v>8</v>
      </c>
      <c r="M41" s="403">
        <f>T_08!N18</f>
        <v>17</v>
      </c>
      <c r="N41" s="403">
        <f>T_08!O18</f>
        <v>8</v>
      </c>
      <c r="O41" s="403">
        <f>T_08!P18</f>
        <v>19</v>
      </c>
      <c r="P41" s="967">
        <f t="shared" si="2"/>
        <v>458</v>
      </c>
    </row>
    <row r="42" spans="1:16" ht="13.5" customHeight="1" x14ac:dyDescent="0.2">
      <c r="A42" s="355" t="s">
        <v>36</v>
      </c>
      <c r="B42" s="1054">
        <f>T_08!C19</f>
        <v>962</v>
      </c>
      <c r="C42" s="407">
        <f>T_08!D19</f>
        <v>79</v>
      </c>
      <c r="D42" s="408">
        <f>T_08!E19</f>
        <v>39</v>
      </c>
      <c r="E42" s="408">
        <f>T_08!F19</f>
        <v>0</v>
      </c>
      <c r="F42" s="408">
        <f>T_08!G19</f>
        <v>18</v>
      </c>
      <c r="G42" s="408">
        <f>T_08!H19</f>
        <v>8</v>
      </c>
      <c r="H42" s="408">
        <f>T_08!I19</f>
        <v>31</v>
      </c>
      <c r="I42" s="408">
        <f>T_08!J19</f>
        <v>18</v>
      </c>
      <c r="J42" s="408">
        <f>T_08!K19</f>
        <v>17</v>
      </c>
      <c r="K42" s="408">
        <f>T_08!L19</f>
        <v>20</v>
      </c>
      <c r="L42" s="408">
        <f>T_08!M19</f>
        <v>38</v>
      </c>
      <c r="M42" s="408">
        <f>T_08!N19</f>
        <v>28</v>
      </c>
      <c r="N42" s="408">
        <f>T_08!O19</f>
        <v>28</v>
      </c>
      <c r="O42" s="408">
        <f>T_08!P19</f>
        <v>43</v>
      </c>
      <c r="P42" s="802">
        <f t="shared" si="2"/>
        <v>1329</v>
      </c>
    </row>
    <row r="43" spans="1:16" ht="13.5" customHeight="1" x14ac:dyDescent="0.2">
      <c r="A43" s="5" t="s">
        <v>37</v>
      </c>
      <c r="B43" s="642">
        <f>T_08!C20</f>
        <v>153</v>
      </c>
      <c r="C43" s="402">
        <f>T_08!D20</f>
        <v>13</v>
      </c>
      <c r="D43" s="403">
        <f>T_08!E20</f>
        <v>17</v>
      </c>
      <c r="E43" s="403">
        <f>T_08!F20</f>
        <v>1</v>
      </c>
      <c r="F43" s="403">
        <f>T_08!G20</f>
        <v>9</v>
      </c>
      <c r="G43" s="403">
        <f>T_08!H20</f>
        <v>1</v>
      </c>
      <c r="H43" s="403">
        <f>T_08!I20</f>
        <v>1</v>
      </c>
      <c r="I43" s="403">
        <f>T_08!J20</f>
        <v>1</v>
      </c>
      <c r="J43" s="403">
        <f>T_08!K20</f>
        <v>5</v>
      </c>
      <c r="K43" s="403">
        <f>T_08!L20</f>
        <v>11</v>
      </c>
      <c r="L43" s="403">
        <f>T_08!M20</f>
        <v>5</v>
      </c>
      <c r="M43" s="403">
        <f>T_08!N20</f>
        <v>3</v>
      </c>
      <c r="N43" s="403">
        <f>T_08!O20</f>
        <v>8</v>
      </c>
      <c r="O43" s="403">
        <f>T_08!P20</f>
        <v>13</v>
      </c>
      <c r="P43" s="967">
        <f t="shared" si="2"/>
        <v>241</v>
      </c>
    </row>
    <row r="44" spans="1:16" ht="13.5" customHeight="1" x14ac:dyDescent="0.2">
      <c r="A44" s="355" t="s">
        <v>38</v>
      </c>
      <c r="B44" s="1054">
        <f>T_08!C21</f>
        <v>103</v>
      </c>
      <c r="C44" s="407">
        <f>T_08!D21</f>
        <v>3</v>
      </c>
      <c r="D44" s="408">
        <f>T_08!E21</f>
        <v>5</v>
      </c>
      <c r="E44" s="408">
        <f>T_08!F21</f>
        <v>2</v>
      </c>
      <c r="F44" s="408">
        <f>T_08!G21</f>
        <v>3</v>
      </c>
      <c r="G44" s="408">
        <f>T_08!H21</f>
        <v>0</v>
      </c>
      <c r="H44" s="408">
        <f>T_08!I21</f>
        <v>0</v>
      </c>
      <c r="I44" s="408">
        <f>T_08!J21</f>
        <v>1</v>
      </c>
      <c r="J44" s="408">
        <f>T_08!K21</f>
        <v>4</v>
      </c>
      <c r="K44" s="408">
        <f>T_08!L21</f>
        <v>3</v>
      </c>
      <c r="L44" s="408">
        <f>T_08!M21</f>
        <v>6</v>
      </c>
      <c r="M44" s="408">
        <f>T_08!N21</f>
        <v>1</v>
      </c>
      <c r="N44" s="408">
        <f>T_08!O21</f>
        <v>1</v>
      </c>
      <c r="O44" s="408">
        <f>T_08!P21</f>
        <v>4</v>
      </c>
      <c r="P44" s="802">
        <f t="shared" si="2"/>
        <v>136</v>
      </c>
    </row>
    <row r="45" spans="1:16" ht="13.5" customHeight="1" x14ac:dyDescent="0.2">
      <c r="A45" s="5" t="s">
        <v>39</v>
      </c>
      <c r="B45" s="642">
        <f>T_08!C22</f>
        <v>70</v>
      </c>
      <c r="C45" s="402">
        <f>T_08!D22</f>
        <v>12</v>
      </c>
      <c r="D45" s="403">
        <f>T_08!E22</f>
        <v>6</v>
      </c>
      <c r="E45" s="403">
        <f>T_08!F22</f>
        <v>2</v>
      </c>
      <c r="F45" s="403">
        <f>T_08!G22</f>
        <v>1</v>
      </c>
      <c r="G45" s="403">
        <f>T_08!H22</f>
        <v>0</v>
      </c>
      <c r="H45" s="403">
        <f>T_08!I22</f>
        <v>1</v>
      </c>
      <c r="I45" s="403">
        <f>T_08!J22</f>
        <v>0</v>
      </c>
      <c r="J45" s="403">
        <f>T_08!K22</f>
        <v>1</v>
      </c>
      <c r="K45" s="403">
        <f>T_08!L22</f>
        <v>3</v>
      </c>
      <c r="L45" s="403">
        <f>T_08!M22</f>
        <v>2</v>
      </c>
      <c r="M45" s="403">
        <f>T_08!N22</f>
        <v>3</v>
      </c>
      <c r="N45" s="403">
        <f>T_08!O22</f>
        <v>1</v>
      </c>
      <c r="O45" s="403">
        <f>T_08!P22</f>
        <v>5</v>
      </c>
      <c r="P45" s="967">
        <f t="shared" si="2"/>
        <v>107</v>
      </c>
    </row>
    <row r="46" spans="1:16" ht="13.5" customHeight="1" x14ac:dyDescent="0.2">
      <c r="A46" s="355" t="s">
        <v>40</v>
      </c>
      <c r="B46" s="1054">
        <f>T_08!C23</f>
        <v>39</v>
      </c>
      <c r="C46" s="407">
        <f>T_08!D23</f>
        <v>1</v>
      </c>
      <c r="D46" s="408">
        <f>T_08!E23</f>
        <v>10</v>
      </c>
      <c r="E46" s="408">
        <f>T_08!F23</f>
        <v>4</v>
      </c>
      <c r="F46" s="408">
        <f>T_08!G23</f>
        <v>4</v>
      </c>
      <c r="G46" s="408">
        <f>T_08!H23</f>
        <v>0</v>
      </c>
      <c r="H46" s="408">
        <f>T_08!I23</f>
        <v>1</v>
      </c>
      <c r="I46" s="408">
        <f>T_08!J23</f>
        <v>0</v>
      </c>
      <c r="J46" s="408">
        <f>T_08!K23</f>
        <v>1</v>
      </c>
      <c r="K46" s="408">
        <f>T_08!L23</f>
        <v>6</v>
      </c>
      <c r="L46" s="408">
        <f>T_08!M23</f>
        <v>3</v>
      </c>
      <c r="M46" s="408">
        <f>T_08!N23</f>
        <v>1</v>
      </c>
      <c r="N46" s="408">
        <f>T_08!O23</f>
        <v>1</v>
      </c>
      <c r="O46" s="408">
        <f>T_08!P23</f>
        <v>4</v>
      </c>
      <c r="P46" s="802">
        <f t="shared" si="2"/>
        <v>75</v>
      </c>
    </row>
    <row r="47" spans="1:16" ht="13.5" customHeight="1" x14ac:dyDescent="0.2">
      <c r="A47" s="5" t="s">
        <v>393</v>
      </c>
      <c r="B47" s="642">
        <f>T_08!C24</f>
        <v>17</v>
      </c>
      <c r="C47" s="402">
        <f>T_08!D24</f>
        <v>0</v>
      </c>
      <c r="D47" s="403">
        <f>T_08!E24</f>
        <v>0</v>
      </c>
      <c r="E47" s="401">
        <f>T_08!F24</f>
        <v>0</v>
      </c>
      <c r="F47" s="401">
        <f>T_08!G24</f>
        <v>3</v>
      </c>
      <c r="G47" s="401">
        <f>T_08!H24</f>
        <v>0</v>
      </c>
      <c r="H47" s="401">
        <f>T_08!I24</f>
        <v>0</v>
      </c>
      <c r="I47" s="403">
        <f>T_08!J24</f>
        <v>0</v>
      </c>
      <c r="J47" s="403">
        <f>T_08!K24</f>
        <v>0</v>
      </c>
      <c r="K47" s="403">
        <f>T_08!L24</f>
        <v>3</v>
      </c>
      <c r="L47" s="403">
        <f>T_08!M24</f>
        <v>0</v>
      </c>
      <c r="M47" s="403">
        <f>T_08!N24</f>
        <v>1</v>
      </c>
      <c r="N47" s="403">
        <f>T_08!O24</f>
        <v>0</v>
      </c>
      <c r="O47" s="403">
        <f>T_08!P24</f>
        <v>1</v>
      </c>
      <c r="P47" s="967">
        <f t="shared" si="2"/>
        <v>25</v>
      </c>
    </row>
    <row r="48" spans="1:16" ht="13.5" customHeight="1" x14ac:dyDescent="0.2">
      <c r="A48" s="355" t="s">
        <v>41</v>
      </c>
      <c r="B48" s="1054">
        <f>T_08!C25</f>
        <v>162</v>
      </c>
      <c r="C48" s="407">
        <f>T_08!D25</f>
        <v>19</v>
      </c>
      <c r="D48" s="408">
        <f>T_08!E25</f>
        <v>10</v>
      </c>
      <c r="E48" s="408">
        <f>T_08!F25</f>
        <v>0</v>
      </c>
      <c r="F48" s="408">
        <f>T_08!G25</f>
        <v>6</v>
      </c>
      <c r="G48" s="408">
        <f>T_08!H25</f>
        <v>0</v>
      </c>
      <c r="H48" s="408">
        <f>T_08!I25</f>
        <v>1</v>
      </c>
      <c r="I48" s="408">
        <f>T_08!J25</f>
        <v>0</v>
      </c>
      <c r="J48" s="408">
        <f>T_08!K25</f>
        <v>2</v>
      </c>
      <c r="K48" s="408">
        <f>T_08!L25</f>
        <v>1</v>
      </c>
      <c r="L48" s="408">
        <f>T_08!M25</f>
        <v>5</v>
      </c>
      <c r="M48" s="408">
        <f>T_08!N25</f>
        <v>4</v>
      </c>
      <c r="N48" s="408">
        <f>T_08!O25</f>
        <v>2</v>
      </c>
      <c r="O48" s="408">
        <f>T_08!P25</f>
        <v>2</v>
      </c>
      <c r="P48" s="802">
        <f t="shared" si="2"/>
        <v>214</v>
      </c>
    </row>
    <row r="49" spans="1:16" ht="13.5" customHeight="1" x14ac:dyDescent="0.2">
      <c r="A49" s="5" t="s">
        <v>42</v>
      </c>
      <c r="B49" s="642">
        <f>T_08!C26</f>
        <v>307</v>
      </c>
      <c r="C49" s="402">
        <f>T_08!D26</f>
        <v>13</v>
      </c>
      <c r="D49" s="403">
        <f>T_08!E26</f>
        <v>33</v>
      </c>
      <c r="E49" s="403">
        <f>T_08!F26</f>
        <v>2</v>
      </c>
      <c r="F49" s="403">
        <f>T_08!G26</f>
        <v>20</v>
      </c>
      <c r="G49" s="403">
        <f>T_08!H26</f>
        <v>4</v>
      </c>
      <c r="H49" s="403">
        <f>T_08!I26</f>
        <v>10</v>
      </c>
      <c r="I49" s="403">
        <f>T_08!J26</f>
        <v>7</v>
      </c>
      <c r="J49" s="403">
        <f>T_08!K26</f>
        <v>9</v>
      </c>
      <c r="K49" s="403">
        <f>T_08!L26</f>
        <v>7</v>
      </c>
      <c r="L49" s="403">
        <f>T_08!M26</f>
        <v>10</v>
      </c>
      <c r="M49" s="403">
        <f>T_08!N26</f>
        <v>3</v>
      </c>
      <c r="N49" s="403">
        <f>T_08!O26</f>
        <v>5</v>
      </c>
      <c r="O49" s="403">
        <f>T_08!P26</f>
        <v>4</v>
      </c>
      <c r="P49" s="967">
        <f t="shared" si="2"/>
        <v>434</v>
      </c>
    </row>
    <row r="50" spans="1:16" ht="13.5" customHeight="1" x14ac:dyDescent="0.2">
      <c r="A50" s="355" t="s">
        <v>43</v>
      </c>
      <c r="B50" s="1054">
        <f>T_08!C27</f>
        <v>7</v>
      </c>
      <c r="C50" s="407">
        <f>T_08!D27</f>
        <v>0</v>
      </c>
      <c r="D50" s="408">
        <f>T_08!E27</f>
        <v>0</v>
      </c>
      <c r="E50" s="408">
        <f>T_08!F27</f>
        <v>0</v>
      </c>
      <c r="F50" s="408">
        <f>T_08!G27</f>
        <v>2</v>
      </c>
      <c r="G50" s="409">
        <f>T_08!H27</f>
        <v>0</v>
      </c>
      <c r="H50" s="409">
        <f>T_08!I27</f>
        <v>0</v>
      </c>
      <c r="I50" s="408">
        <f>T_08!J27</f>
        <v>0</v>
      </c>
      <c r="J50" s="408">
        <f>T_08!K27</f>
        <v>0</v>
      </c>
      <c r="K50" s="408">
        <f>T_08!L27</f>
        <v>0</v>
      </c>
      <c r="L50" s="408">
        <f>T_08!M27</f>
        <v>0</v>
      </c>
      <c r="M50" s="408">
        <f>T_08!N27</f>
        <v>0</v>
      </c>
      <c r="N50" s="408">
        <f>T_08!O27</f>
        <v>0</v>
      </c>
      <c r="O50" s="408">
        <f>T_08!P27</f>
        <v>0</v>
      </c>
      <c r="P50" s="802">
        <f t="shared" si="2"/>
        <v>9</v>
      </c>
    </row>
    <row r="51" spans="1:16" ht="13.5" customHeight="1" x14ac:dyDescent="0.2">
      <c r="A51" s="5" t="s">
        <v>44</v>
      </c>
      <c r="B51" s="642">
        <f>T_08!C28</f>
        <v>116</v>
      </c>
      <c r="C51" s="402">
        <f>T_08!D28</f>
        <v>7</v>
      </c>
      <c r="D51" s="403">
        <f>T_08!E28</f>
        <v>5</v>
      </c>
      <c r="E51" s="403">
        <f>T_08!F28</f>
        <v>7</v>
      </c>
      <c r="F51" s="403">
        <f>T_08!G28</f>
        <v>5</v>
      </c>
      <c r="G51" s="403">
        <f>T_08!H28</f>
        <v>2</v>
      </c>
      <c r="H51" s="403">
        <f>T_08!I28</f>
        <v>1</v>
      </c>
      <c r="I51" s="403">
        <f>T_08!J28</f>
        <v>9</v>
      </c>
      <c r="J51" s="403">
        <f>T_08!K28</f>
        <v>3</v>
      </c>
      <c r="K51" s="403">
        <f>T_08!L28</f>
        <v>3</v>
      </c>
      <c r="L51" s="403">
        <f>T_08!M28</f>
        <v>8</v>
      </c>
      <c r="M51" s="403">
        <f>T_08!N28</f>
        <v>2</v>
      </c>
      <c r="N51" s="403">
        <f>T_08!O28</f>
        <v>1</v>
      </c>
      <c r="O51" s="403">
        <f>T_08!P28</f>
        <v>4</v>
      </c>
      <c r="P51" s="967">
        <f t="shared" si="2"/>
        <v>173</v>
      </c>
    </row>
    <row r="52" spans="1:16" ht="13.5" customHeight="1" x14ac:dyDescent="0.2">
      <c r="A52" s="355" t="s">
        <v>45</v>
      </c>
      <c r="B52" s="1054">
        <f>T_08!C29</f>
        <v>223</v>
      </c>
      <c r="C52" s="407">
        <f>T_08!D29</f>
        <v>11</v>
      </c>
      <c r="D52" s="408">
        <f>T_08!E29</f>
        <v>12</v>
      </c>
      <c r="E52" s="408">
        <f>T_08!F29</f>
        <v>0</v>
      </c>
      <c r="F52" s="408">
        <f>T_08!G29</f>
        <v>6</v>
      </c>
      <c r="G52" s="408">
        <f>T_08!H29</f>
        <v>1</v>
      </c>
      <c r="H52" s="408">
        <f>T_08!I29</f>
        <v>2</v>
      </c>
      <c r="I52" s="408">
        <f>T_08!J29</f>
        <v>1</v>
      </c>
      <c r="J52" s="408">
        <f>T_08!K29</f>
        <v>7</v>
      </c>
      <c r="K52" s="408">
        <f>T_08!L29</f>
        <v>3</v>
      </c>
      <c r="L52" s="408">
        <f>T_08!M29</f>
        <v>6</v>
      </c>
      <c r="M52" s="408">
        <f>T_08!N29</f>
        <v>9</v>
      </c>
      <c r="N52" s="408">
        <f>T_08!O29</f>
        <v>9</v>
      </c>
      <c r="O52" s="408">
        <f>T_08!P29</f>
        <v>3</v>
      </c>
      <c r="P52" s="802">
        <f t="shared" si="2"/>
        <v>293</v>
      </c>
    </row>
    <row r="53" spans="1:16" ht="13.5" customHeight="1" x14ac:dyDescent="0.2">
      <c r="A53" s="30" t="s">
        <v>46</v>
      </c>
      <c r="B53" s="642">
        <f>T_08!C30</f>
        <v>100</v>
      </c>
      <c r="C53" s="402">
        <f>T_08!D30</f>
        <v>8</v>
      </c>
      <c r="D53" s="403">
        <f>T_08!E30</f>
        <v>4</v>
      </c>
      <c r="E53" s="403">
        <f>T_08!F30</f>
        <v>4</v>
      </c>
      <c r="F53" s="403">
        <f>T_08!G30</f>
        <v>6</v>
      </c>
      <c r="G53" s="401">
        <f>T_08!H30</f>
        <v>0</v>
      </c>
      <c r="H53" s="403">
        <f>T_08!I30</f>
        <v>1</v>
      </c>
      <c r="I53" s="403">
        <f>T_08!J30</f>
        <v>0</v>
      </c>
      <c r="J53" s="403">
        <f>T_08!K30</f>
        <v>3</v>
      </c>
      <c r="K53" s="403">
        <f>T_08!L30</f>
        <v>0</v>
      </c>
      <c r="L53" s="403">
        <f>T_08!M30</f>
        <v>3</v>
      </c>
      <c r="M53" s="403">
        <f>T_08!N30</f>
        <v>5</v>
      </c>
      <c r="N53" s="403">
        <f>T_08!O30</f>
        <v>0</v>
      </c>
      <c r="O53" s="403">
        <f>T_08!P30</f>
        <v>1</v>
      </c>
      <c r="P53" s="967">
        <f t="shared" si="2"/>
        <v>135</v>
      </c>
    </row>
    <row r="54" spans="1:16" ht="13.5" customHeight="1" x14ac:dyDescent="0.2">
      <c r="A54" s="355" t="s">
        <v>47</v>
      </c>
      <c r="B54" s="1054">
        <f>T_08!C31</f>
        <v>13</v>
      </c>
      <c r="C54" s="407">
        <f>T_08!D31</f>
        <v>1</v>
      </c>
      <c r="D54" s="408">
        <f>T_08!E31</f>
        <v>1</v>
      </c>
      <c r="E54" s="408">
        <f>T_08!F31</f>
        <v>0</v>
      </c>
      <c r="F54" s="408">
        <f>T_08!G31</f>
        <v>0</v>
      </c>
      <c r="G54" s="409">
        <f>T_08!H31</f>
        <v>0</v>
      </c>
      <c r="H54" s="409">
        <f>T_08!I31</f>
        <v>0</v>
      </c>
      <c r="I54" s="408">
        <f>T_08!J31</f>
        <v>1</v>
      </c>
      <c r="J54" s="408">
        <f>T_08!K31</f>
        <v>1</v>
      </c>
      <c r="K54" s="408">
        <f>T_08!L31</f>
        <v>1</v>
      </c>
      <c r="L54" s="408">
        <f>T_08!M31</f>
        <v>0</v>
      </c>
      <c r="M54" s="408">
        <f>T_08!N31</f>
        <v>2</v>
      </c>
      <c r="N54" s="408">
        <f>T_08!O31</f>
        <v>0</v>
      </c>
      <c r="O54" s="408">
        <f>T_08!P31</f>
        <v>0</v>
      </c>
      <c r="P54" s="802">
        <f t="shared" si="2"/>
        <v>20</v>
      </c>
    </row>
    <row r="55" spans="1:16" ht="13.5" customHeight="1" x14ac:dyDescent="0.2">
      <c r="A55" s="5" t="s">
        <v>48</v>
      </c>
      <c r="B55" s="642">
        <f>T_08!C32</f>
        <v>105</v>
      </c>
      <c r="C55" s="402">
        <f>T_08!D32</f>
        <v>3</v>
      </c>
      <c r="D55" s="403">
        <f>T_08!E32</f>
        <v>11</v>
      </c>
      <c r="E55" s="403">
        <f>T_08!F32</f>
        <v>0</v>
      </c>
      <c r="F55" s="403">
        <f>T_08!G32</f>
        <v>7</v>
      </c>
      <c r="G55" s="403">
        <f>T_08!H32</f>
        <v>2</v>
      </c>
      <c r="H55" s="403">
        <f>T_08!I32</f>
        <v>2</v>
      </c>
      <c r="I55" s="403">
        <f>T_08!J32</f>
        <v>0</v>
      </c>
      <c r="J55" s="403">
        <f>T_08!K32</f>
        <v>3</v>
      </c>
      <c r="K55" s="403">
        <f>T_08!L32</f>
        <v>2</v>
      </c>
      <c r="L55" s="403">
        <f>T_08!M32</f>
        <v>8</v>
      </c>
      <c r="M55" s="403">
        <f>T_08!N32</f>
        <v>3</v>
      </c>
      <c r="N55" s="403">
        <f>T_08!O32</f>
        <v>1</v>
      </c>
      <c r="O55" s="403">
        <f>T_08!P32</f>
        <v>2</v>
      </c>
      <c r="P55" s="967">
        <f t="shared" si="2"/>
        <v>149</v>
      </c>
    </row>
    <row r="56" spans="1:16" ht="13.5" customHeight="1" x14ac:dyDescent="0.2">
      <c r="A56" s="355" t="s">
        <v>49</v>
      </c>
      <c r="B56" s="1054">
        <f>T_08!C33</f>
        <v>278</v>
      </c>
      <c r="C56" s="407">
        <f>T_08!D33</f>
        <v>12</v>
      </c>
      <c r="D56" s="408">
        <f>T_08!E33</f>
        <v>32</v>
      </c>
      <c r="E56" s="408">
        <f>T_08!F33</f>
        <v>2</v>
      </c>
      <c r="F56" s="408">
        <f>T_08!G33</f>
        <v>17</v>
      </c>
      <c r="G56" s="408">
        <f>T_08!H33</f>
        <v>2</v>
      </c>
      <c r="H56" s="408">
        <f>T_08!I33</f>
        <v>6</v>
      </c>
      <c r="I56" s="408">
        <f>T_08!J33</f>
        <v>0</v>
      </c>
      <c r="J56" s="408">
        <f>T_08!K33</f>
        <v>2</v>
      </c>
      <c r="K56" s="408">
        <f>T_08!L33</f>
        <v>1</v>
      </c>
      <c r="L56" s="408">
        <f>T_08!M33</f>
        <v>18</v>
      </c>
      <c r="M56" s="408">
        <f>T_08!N33</f>
        <v>6</v>
      </c>
      <c r="N56" s="408">
        <f>T_08!O33</f>
        <v>2</v>
      </c>
      <c r="O56" s="408">
        <f>T_08!P33</f>
        <v>14</v>
      </c>
      <c r="P56" s="802">
        <f t="shared" si="2"/>
        <v>392</v>
      </c>
    </row>
    <row r="57" spans="1:16" ht="13.5" customHeight="1" x14ac:dyDescent="0.2">
      <c r="A57" s="5" t="s">
        <v>50</v>
      </c>
      <c r="B57" s="642">
        <f>T_08!C34</f>
        <v>86</v>
      </c>
      <c r="C57" s="402">
        <f>T_08!D34</f>
        <v>9</v>
      </c>
      <c r="D57" s="403">
        <f>T_08!E34</f>
        <v>7</v>
      </c>
      <c r="E57" s="403">
        <f>T_08!F34</f>
        <v>2</v>
      </c>
      <c r="F57" s="403">
        <f>T_08!G34</f>
        <v>2</v>
      </c>
      <c r="G57" s="401">
        <f>T_08!H34</f>
        <v>0</v>
      </c>
      <c r="H57" s="403">
        <f>T_08!I34</f>
        <v>0</v>
      </c>
      <c r="I57" s="403">
        <f>T_08!J34</f>
        <v>9</v>
      </c>
      <c r="J57" s="403">
        <f>T_08!K34</f>
        <v>4</v>
      </c>
      <c r="K57" s="403">
        <f>T_08!L34</f>
        <v>5</v>
      </c>
      <c r="L57" s="403">
        <f>T_08!M34</f>
        <v>1</v>
      </c>
      <c r="M57" s="403">
        <f>T_08!N34</f>
        <v>2</v>
      </c>
      <c r="N57" s="403">
        <f>T_08!O34</f>
        <v>0</v>
      </c>
      <c r="O57" s="403">
        <f>T_08!P34</f>
        <v>4</v>
      </c>
      <c r="P57" s="967">
        <f t="shared" si="2"/>
        <v>131</v>
      </c>
    </row>
    <row r="58" spans="1:16" ht="13.5" customHeight="1" x14ac:dyDescent="0.2">
      <c r="A58" s="355" t="s">
        <v>51</v>
      </c>
      <c r="B58" s="1054">
        <f>T_08!C35</f>
        <v>158</v>
      </c>
      <c r="C58" s="407">
        <f>T_08!D35</f>
        <v>16</v>
      </c>
      <c r="D58" s="408">
        <f>T_08!E35</f>
        <v>4</v>
      </c>
      <c r="E58" s="408">
        <f>T_08!F35</f>
        <v>0</v>
      </c>
      <c r="F58" s="408">
        <f>T_08!G35</f>
        <v>6</v>
      </c>
      <c r="G58" s="408">
        <f>T_08!H35</f>
        <v>0</v>
      </c>
      <c r="H58" s="408">
        <f>T_08!I35</f>
        <v>2</v>
      </c>
      <c r="I58" s="408">
        <f>T_08!J35</f>
        <v>1</v>
      </c>
      <c r="J58" s="408">
        <f>T_08!K35</f>
        <v>3</v>
      </c>
      <c r="K58" s="408">
        <f>T_08!L35</f>
        <v>6</v>
      </c>
      <c r="L58" s="408">
        <f>T_08!M35</f>
        <v>5</v>
      </c>
      <c r="M58" s="408">
        <f>T_08!N35</f>
        <v>2</v>
      </c>
      <c r="N58" s="408">
        <f>T_08!O35</f>
        <v>0</v>
      </c>
      <c r="O58" s="408">
        <f>T_08!P35</f>
        <v>2</v>
      </c>
      <c r="P58" s="802">
        <f t="shared" si="2"/>
        <v>205</v>
      </c>
    </row>
    <row r="59" spans="1:16" ht="13.5" customHeight="1" x14ac:dyDescent="0.2">
      <c r="A59" s="5" t="s">
        <v>52</v>
      </c>
      <c r="B59" s="642">
        <f>T_08!C36</f>
        <v>169</v>
      </c>
      <c r="C59" s="402">
        <f>T_08!D36</f>
        <v>6</v>
      </c>
      <c r="D59" s="403">
        <f>T_08!E36</f>
        <v>10</v>
      </c>
      <c r="E59" s="403">
        <f>T_08!F36</f>
        <v>2</v>
      </c>
      <c r="F59" s="403">
        <f>T_08!G36</f>
        <v>15</v>
      </c>
      <c r="G59" s="403">
        <f>T_08!H36</f>
        <v>1</v>
      </c>
      <c r="H59" s="403">
        <f>T_08!I36</f>
        <v>1</v>
      </c>
      <c r="I59" s="403">
        <f>T_08!J36</f>
        <v>9</v>
      </c>
      <c r="J59" s="403">
        <f>T_08!K36</f>
        <v>5</v>
      </c>
      <c r="K59" s="403">
        <f>T_08!L36</f>
        <v>3</v>
      </c>
      <c r="L59" s="403">
        <f>T_08!M36</f>
        <v>6</v>
      </c>
      <c r="M59" s="403">
        <f>T_08!N36</f>
        <v>7</v>
      </c>
      <c r="N59" s="403">
        <f>T_08!O36</f>
        <v>6</v>
      </c>
      <c r="O59" s="403">
        <f>T_08!P36</f>
        <v>3</v>
      </c>
      <c r="P59" s="967">
        <f>SUM(B59:O59)</f>
        <v>243</v>
      </c>
    </row>
    <row r="60" spans="1:16" ht="14.25" customHeight="1" x14ac:dyDescent="0.2">
      <c r="A60" s="411"/>
      <c r="B60" s="410"/>
      <c r="C60" s="412"/>
      <c r="D60" s="410"/>
      <c r="E60" s="410"/>
      <c r="F60" s="410"/>
      <c r="G60" s="410"/>
      <c r="H60" s="410"/>
      <c r="I60" s="410"/>
      <c r="J60" s="410"/>
      <c r="K60" s="410"/>
      <c r="L60" s="410"/>
      <c r="M60" s="410"/>
      <c r="N60" s="410"/>
      <c r="O60" s="410"/>
      <c r="P60" s="966"/>
    </row>
    <row r="61" spans="1:16" ht="30" customHeight="1" x14ac:dyDescent="0.2">
      <c r="A61" s="171" t="s">
        <v>159</v>
      </c>
      <c r="B61" s="219">
        <f>SUM(B28:B59)</f>
        <v>5310</v>
      </c>
      <c r="C61" s="168">
        <f t="shared" ref="C61:N61" si="3">SUM(C28:C59)</f>
        <v>383</v>
      </c>
      <c r="D61" s="168">
        <f t="shared" si="3"/>
        <v>356</v>
      </c>
      <c r="E61" s="168">
        <f t="shared" si="3"/>
        <v>68</v>
      </c>
      <c r="F61" s="168">
        <f t="shared" si="3"/>
        <v>225</v>
      </c>
      <c r="G61" s="168">
        <f t="shared" si="3"/>
        <v>35</v>
      </c>
      <c r="H61" s="168">
        <f t="shared" si="3"/>
        <v>106</v>
      </c>
      <c r="I61" s="168">
        <f>SUM(I28:I59)</f>
        <v>153</v>
      </c>
      <c r="J61" s="168">
        <f t="shared" si="3"/>
        <v>115</v>
      </c>
      <c r="K61" s="168">
        <f t="shared" si="3"/>
        <v>156</v>
      </c>
      <c r="L61" s="168">
        <f t="shared" si="3"/>
        <v>201</v>
      </c>
      <c r="M61" s="168">
        <f t="shared" si="3"/>
        <v>177</v>
      </c>
      <c r="N61" s="168">
        <f t="shared" si="3"/>
        <v>127</v>
      </c>
      <c r="O61" s="168">
        <f>SUM(O28:O59)</f>
        <v>179</v>
      </c>
      <c r="P61" s="219">
        <f>SUM(P28:P59)</f>
        <v>7591</v>
      </c>
    </row>
    <row r="63" spans="1:16" x14ac:dyDescent="0.2">
      <c r="A63" s="2" t="s">
        <v>162</v>
      </c>
    </row>
    <row r="64" spans="1:16" x14ac:dyDescent="0.2">
      <c r="A64" s="1" t="s">
        <v>963</v>
      </c>
    </row>
    <row r="65" spans="1:16" x14ac:dyDescent="0.2">
      <c r="A65" s="1673"/>
      <c r="B65" s="1673"/>
      <c r="C65" s="1673"/>
      <c r="D65" s="1673"/>
      <c r="E65" s="1673"/>
      <c r="F65" s="1673"/>
      <c r="G65" s="1673"/>
      <c r="H65" s="1673"/>
      <c r="I65" s="1673"/>
      <c r="J65" s="1673"/>
    </row>
    <row r="66" spans="1:16" x14ac:dyDescent="0.2">
      <c r="A66" s="51" t="s">
        <v>136</v>
      </c>
    </row>
    <row r="67" spans="1:16" x14ac:dyDescent="0.2">
      <c r="A67"/>
      <c r="B67"/>
      <c r="C67"/>
      <c r="D67"/>
      <c r="E67"/>
      <c r="F67"/>
      <c r="G67"/>
      <c r="H67"/>
      <c r="I67"/>
      <c r="J67"/>
      <c r="K67"/>
      <c r="L67"/>
      <c r="M67"/>
      <c r="N67"/>
      <c r="O67"/>
      <c r="P67"/>
    </row>
    <row r="68" spans="1:16" x14ac:dyDescent="0.2">
      <c r="A68"/>
      <c r="B68"/>
      <c r="C68"/>
      <c r="D68"/>
      <c r="E68"/>
      <c r="F68"/>
      <c r="G68"/>
      <c r="H68"/>
      <c r="I68"/>
      <c r="J68"/>
      <c r="K68"/>
      <c r="L68"/>
      <c r="M68"/>
      <c r="N68"/>
      <c r="O68"/>
      <c r="P68"/>
    </row>
    <row r="69" spans="1:16" x14ac:dyDescent="0.2">
      <c r="A69"/>
      <c r="B69"/>
      <c r="C69"/>
      <c r="D69"/>
      <c r="E69"/>
      <c r="F69"/>
      <c r="G69"/>
      <c r="H69"/>
      <c r="I69"/>
      <c r="J69"/>
      <c r="K69"/>
      <c r="L69"/>
      <c r="M69"/>
      <c r="N69"/>
      <c r="O69"/>
      <c r="P69"/>
    </row>
    <row r="70" spans="1:16" x14ac:dyDescent="0.2">
      <c r="A70"/>
      <c r="B70"/>
      <c r="C70"/>
      <c r="D70"/>
      <c r="E70"/>
      <c r="F70"/>
      <c r="G70"/>
      <c r="H70"/>
      <c r="I70"/>
      <c r="J70"/>
      <c r="K70"/>
      <c r="L70"/>
      <c r="M70"/>
      <c r="N70"/>
      <c r="O70"/>
      <c r="P70"/>
    </row>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row r="98" spans="1:16" x14ac:dyDescent="0.2">
      <c r="A98"/>
      <c r="B98"/>
      <c r="C98"/>
      <c r="D98"/>
      <c r="E98"/>
      <c r="F98"/>
      <c r="G98"/>
      <c r="H98"/>
      <c r="I98"/>
      <c r="J98"/>
      <c r="K98"/>
      <c r="L98"/>
      <c r="M98"/>
      <c r="N98"/>
      <c r="O98"/>
      <c r="P98"/>
    </row>
  </sheetData>
  <sheetProtection algorithmName="SHA-512" hashValue="B9W33Ba+bBnebcuf+ZZ6KFX8jNm/2/tyMRKP21b25xzwo8M7n1nIAHyEu1ETJlJYuhXjFQ//ZgxUeAxbKbV+AA==" saltValue="nntPXzLU6SEVmkrOe8svAA==" spinCount="100000" sheet="1" objects="1" scenarios="1"/>
  <mergeCells count="13">
    <mergeCell ref="A65:J65"/>
    <mergeCell ref="C3:O3"/>
    <mergeCell ref="C26:O26"/>
    <mergeCell ref="A1:J1"/>
    <mergeCell ref="A21:H21"/>
    <mergeCell ref="A20:P20"/>
    <mergeCell ref="P3:P4"/>
    <mergeCell ref="A3:A4"/>
    <mergeCell ref="B3:B4"/>
    <mergeCell ref="A26:A27"/>
    <mergeCell ref="B26:B27"/>
    <mergeCell ref="P26:P27"/>
    <mergeCell ref="A23:F24"/>
  </mergeCells>
  <hyperlinks>
    <hyperlink ref="A66" location="Contents!A1" display="Return to contents " xr:uid="{00000000-0004-0000-2800-000000000000}"/>
  </hyperlinks>
  <pageMargins left="0.70866141732283472" right="0.70866141732283472" top="0.74803149606299213" bottom="0.74803149606299213" header="0.31496062992125984" footer="0.31496062992125984"/>
  <pageSetup paperSize="9" scale="68" fitToHeight="0" orientation="landscape" r:id="rId1"/>
  <headerFooter>
    <oddFooter>&amp;L&amp;P&amp;C&amp;A</oddFooter>
  </headerFooter>
  <rowBreaks count="1" manualBreakCount="1">
    <brk id="21" max="16" man="1"/>
  </rowBreaks>
  <drawing r:id="rId2"/>
  <extLst>
    <ext xmlns:x14="http://schemas.microsoft.com/office/spreadsheetml/2009/9/main" uri="{A8765BA9-456A-4dab-B4F3-ACF838C121DE}">
      <x14:slicerList>
        <x14:slicer r:id="rId3"/>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6"/>
  <dimension ref="A2:P37"/>
  <sheetViews>
    <sheetView workbookViewId="0">
      <selection activeCell="C16" sqref="C16"/>
    </sheetView>
  </sheetViews>
  <sheetFormatPr defaultRowHeight="12.75" x14ac:dyDescent="0.2"/>
  <cols>
    <col min="1" max="1" width="20.28515625" bestFit="1" customWidth="1"/>
    <col min="2" max="2" width="22.42578125" bestFit="1" customWidth="1"/>
    <col min="3" max="3" width="16.140625" bestFit="1" customWidth="1"/>
    <col min="4" max="4" width="26.85546875" bestFit="1" customWidth="1"/>
    <col min="5" max="5" width="35.85546875" bestFit="1" customWidth="1"/>
    <col min="6" max="6" width="32.42578125" bestFit="1" customWidth="1"/>
    <col min="7" max="7" width="19.28515625" bestFit="1" customWidth="1"/>
    <col min="8" max="8" width="38.42578125" bestFit="1" customWidth="1"/>
    <col min="9" max="9" width="32.42578125" bestFit="1" customWidth="1"/>
    <col min="10" max="10" width="41.5703125" bestFit="1" customWidth="1"/>
    <col min="11" max="11" width="41.42578125" bestFit="1" customWidth="1"/>
    <col min="12" max="12" width="24.85546875" bestFit="1" customWidth="1"/>
    <col min="13" max="13" width="16" bestFit="1" customWidth="1"/>
    <col min="14" max="14" width="19.85546875" bestFit="1" customWidth="1"/>
    <col min="15" max="15" width="36" bestFit="1" customWidth="1"/>
    <col min="16" max="16" width="16.5703125" bestFit="1" customWidth="1"/>
  </cols>
  <sheetData>
    <row r="2" spans="1:16" x14ac:dyDescent="0.2">
      <c r="A2" s="1300" t="s">
        <v>4</v>
      </c>
      <c r="B2" t="s">
        <v>603</v>
      </c>
    </row>
    <row r="4" spans="1:16" x14ac:dyDescent="0.2">
      <c r="A4" s="1300" t="s">
        <v>658</v>
      </c>
      <c r="B4" t="s">
        <v>732</v>
      </c>
      <c r="C4" t="s">
        <v>731</v>
      </c>
      <c r="D4" t="s">
        <v>718</v>
      </c>
      <c r="E4" t="s">
        <v>719</v>
      </c>
      <c r="F4" t="s">
        <v>720</v>
      </c>
      <c r="G4" t="s">
        <v>721</v>
      </c>
      <c r="H4" t="s">
        <v>722</v>
      </c>
      <c r="I4" t="s">
        <v>723</v>
      </c>
      <c r="J4" t="s">
        <v>724</v>
      </c>
      <c r="K4" t="s">
        <v>725</v>
      </c>
      <c r="L4" t="s">
        <v>726</v>
      </c>
      <c r="M4" t="s">
        <v>727</v>
      </c>
      <c r="N4" t="s">
        <v>728</v>
      </c>
      <c r="O4" t="s">
        <v>729</v>
      </c>
      <c r="P4" t="s">
        <v>730</v>
      </c>
    </row>
    <row r="5" spans="1:16" x14ac:dyDescent="0.2">
      <c r="A5" s="1301" t="s">
        <v>23</v>
      </c>
      <c r="B5">
        <v>375</v>
      </c>
      <c r="C5">
        <v>277</v>
      </c>
      <c r="D5">
        <v>17</v>
      </c>
      <c r="E5">
        <v>10</v>
      </c>
      <c r="G5">
        <v>6</v>
      </c>
      <c r="H5">
        <v>3</v>
      </c>
      <c r="I5">
        <v>9</v>
      </c>
      <c r="J5">
        <v>2</v>
      </c>
      <c r="K5">
        <v>1</v>
      </c>
      <c r="L5">
        <v>9</v>
      </c>
      <c r="M5">
        <v>10</v>
      </c>
      <c r="N5">
        <v>12</v>
      </c>
      <c r="O5">
        <v>14</v>
      </c>
      <c r="P5">
        <v>5</v>
      </c>
    </row>
    <row r="6" spans="1:16" x14ac:dyDescent="0.2">
      <c r="A6" s="1301" t="s">
        <v>24</v>
      </c>
      <c r="B6">
        <v>275</v>
      </c>
      <c r="C6">
        <v>168</v>
      </c>
      <c r="D6">
        <v>11</v>
      </c>
      <c r="E6">
        <v>11</v>
      </c>
      <c r="F6">
        <v>12</v>
      </c>
      <c r="G6">
        <v>16</v>
      </c>
      <c r="I6">
        <v>5</v>
      </c>
      <c r="J6">
        <v>18</v>
      </c>
      <c r="K6">
        <v>4</v>
      </c>
      <c r="L6">
        <v>4</v>
      </c>
      <c r="M6">
        <v>6</v>
      </c>
      <c r="N6">
        <v>9</v>
      </c>
      <c r="O6">
        <v>3</v>
      </c>
      <c r="P6">
        <v>8</v>
      </c>
    </row>
    <row r="7" spans="1:16" x14ac:dyDescent="0.2">
      <c r="A7" s="1301" t="s">
        <v>25</v>
      </c>
      <c r="B7">
        <v>115</v>
      </c>
      <c r="C7">
        <v>81</v>
      </c>
      <c r="D7">
        <v>3</v>
      </c>
      <c r="E7">
        <v>8</v>
      </c>
      <c r="F7">
        <v>4</v>
      </c>
      <c r="G7">
        <v>4</v>
      </c>
      <c r="J7">
        <v>4</v>
      </c>
      <c r="L7">
        <v>5</v>
      </c>
      <c r="M7">
        <v>2</v>
      </c>
      <c r="N7">
        <v>1</v>
      </c>
      <c r="P7">
        <v>3</v>
      </c>
    </row>
    <row r="8" spans="1:16" x14ac:dyDescent="0.2">
      <c r="A8" s="1301" t="s">
        <v>26</v>
      </c>
      <c r="B8">
        <v>136</v>
      </c>
      <c r="C8">
        <v>86</v>
      </c>
      <c r="D8">
        <v>15</v>
      </c>
      <c r="E8">
        <v>3</v>
      </c>
      <c r="F8">
        <v>6</v>
      </c>
      <c r="G8">
        <v>5</v>
      </c>
      <c r="H8">
        <v>2</v>
      </c>
      <c r="I8">
        <v>2</v>
      </c>
      <c r="K8">
        <v>1</v>
      </c>
      <c r="L8">
        <v>2</v>
      </c>
      <c r="M8">
        <v>3</v>
      </c>
      <c r="N8">
        <v>4</v>
      </c>
      <c r="O8">
        <v>1</v>
      </c>
      <c r="P8">
        <v>6</v>
      </c>
    </row>
    <row r="9" spans="1:16" x14ac:dyDescent="0.2">
      <c r="A9" s="1301" t="s">
        <v>27</v>
      </c>
      <c r="B9">
        <v>72</v>
      </c>
      <c r="C9">
        <v>51</v>
      </c>
      <c r="D9">
        <v>3</v>
      </c>
      <c r="E9">
        <v>4</v>
      </c>
      <c r="F9">
        <v>1</v>
      </c>
      <c r="G9">
        <v>7</v>
      </c>
      <c r="I9">
        <v>1</v>
      </c>
      <c r="J9">
        <v>1</v>
      </c>
      <c r="N9">
        <v>2</v>
      </c>
      <c r="P9">
        <v>2</v>
      </c>
    </row>
    <row r="10" spans="1:16" x14ac:dyDescent="0.2">
      <c r="A10" s="1301" t="s">
        <v>28</v>
      </c>
      <c r="B10">
        <v>153</v>
      </c>
      <c r="C10">
        <v>104</v>
      </c>
      <c r="D10">
        <v>6</v>
      </c>
      <c r="E10">
        <v>9</v>
      </c>
      <c r="F10">
        <v>5</v>
      </c>
      <c r="G10">
        <v>6</v>
      </c>
      <c r="H10">
        <v>1</v>
      </c>
      <c r="J10">
        <v>1</v>
      </c>
      <c r="K10">
        <v>3</v>
      </c>
      <c r="L10">
        <v>8</v>
      </c>
      <c r="M10">
        <v>1</v>
      </c>
      <c r="N10">
        <v>4</v>
      </c>
      <c r="O10">
        <v>2</v>
      </c>
      <c r="P10">
        <v>3</v>
      </c>
    </row>
    <row r="11" spans="1:16" x14ac:dyDescent="0.2">
      <c r="A11" s="1301" t="s">
        <v>29</v>
      </c>
      <c r="B11">
        <v>274</v>
      </c>
      <c r="C11">
        <v>214</v>
      </c>
      <c r="D11">
        <v>17</v>
      </c>
      <c r="E11">
        <v>10</v>
      </c>
      <c r="G11">
        <v>6</v>
      </c>
      <c r="H11">
        <v>2</v>
      </c>
      <c r="I11">
        <v>1</v>
      </c>
      <c r="J11">
        <v>4</v>
      </c>
      <c r="K11">
        <v>3</v>
      </c>
      <c r="L11">
        <v>3</v>
      </c>
      <c r="M11">
        <v>5</v>
      </c>
      <c r="N11">
        <v>6</v>
      </c>
      <c r="P11">
        <v>3</v>
      </c>
    </row>
    <row r="12" spans="1:16" x14ac:dyDescent="0.2">
      <c r="A12" s="1301" t="s">
        <v>30</v>
      </c>
      <c r="B12">
        <v>120</v>
      </c>
      <c r="C12">
        <v>87</v>
      </c>
      <c r="D12">
        <v>1</v>
      </c>
      <c r="E12">
        <v>9</v>
      </c>
      <c r="F12">
        <v>1</v>
      </c>
      <c r="G12">
        <v>3</v>
      </c>
      <c r="H12">
        <v>1</v>
      </c>
      <c r="J12">
        <v>10</v>
      </c>
      <c r="K12">
        <v>4</v>
      </c>
      <c r="L12">
        <v>1</v>
      </c>
      <c r="M12">
        <v>1</v>
      </c>
      <c r="N12">
        <v>1</v>
      </c>
      <c r="P12">
        <v>1</v>
      </c>
    </row>
    <row r="13" spans="1:16" x14ac:dyDescent="0.2">
      <c r="A13" s="1301" t="s">
        <v>31</v>
      </c>
      <c r="B13">
        <v>101</v>
      </c>
      <c r="C13">
        <v>67</v>
      </c>
      <c r="D13">
        <v>6</v>
      </c>
      <c r="E13">
        <v>6</v>
      </c>
      <c r="G13">
        <v>1</v>
      </c>
      <c r="J13">
        <v>5</v>
      </c>
      <c r="K13">
        <v>3</v>
      </c>
      <c r="L13">
        <v>1</v>
      </c>
      <c r="M13">
        <v>5</v>
      </c>
      <c r="N13">
        <v>3</v>
      </c>
      <c r="O13">
        <v>1</v>
      </c>
      <c r="P13">
        <v>3</v>
      </c>
    </row>
    <row r="14" spans="1:16" x14ac:dyDescent="0.2">
      <c r="A14" s="1301" t="s">
        <v>32</v>
      </c>
      <c r="B14">
        <v>114</v>
      </c>
      <c r="C14">
        <v>76</v>
      </c>
      <c r="D14">
        <v>5</v>
      </c>
      <c r="E14">
        <v>7</v>
      </c>
      <c r="F14">
        <v>3</v>
      </c>
      <c r="G14">
        <v>5</v>
      </c>
      <c r="I14">
        <v>2</v>
      </c>
      <c r="K14">
        <v>1</v>
      </c>
      <c r="L14">
        <v>2</v>
      </c>
      <c r="M14">
        <v>3</v>
      </c>
      <c r="N14">
        <v>8</v>
      </c>
      <c r="O14">
        <v>2</v>
      </c>
    </row>
    <row r="15" spans="1:16" x14ac:dyDescent="0.2">
      <c r="A15" s="1301" t="s">
        <v>33</v>
      </c>
      <c r="B15">
        <v>107</v>
      </c>
      <c r="C15">
        <v>84</v>
      </c>
      <c r="D15">
        <v>2</v>
      </c>
      <c r="E15">
        <v>5</v>
      </c>
      <c r="G15">
        <v>3</v>
      </c>
      <c r="H15">
        <v>2</v>
      </c>
      <c r="K15">
        <v>2</v>
      </c>
      <c r="L15">
        <v>2</v>
      </c>
      <c r="M15">
        <v>3</v>
      </c>
      <c r="N15">
        <v>3</v>
      </c>
      <c r="O15">
        <v>1</v>
      </c>
    </row>
    <row r="16" spans="1:16" x14ac:dyDescent="0.2">
      <c r="A16" s="1301" t="s">
        <v>665</v>
      </c>
      <c r="B16">
        <v>762</v>
      </c>
      <c r="C16">
        <v>523</v>
      </c>
      <c r="D16">
        <v>56</v>
      </c>
      <c r="E16">
        <v>18</v>
      </c>
      <c r="G16">
        <v>6</v>
      </c>
      <c r="I16">
        <v>17</v>
      </c>
      <c r="J16">
        <v>17</v>
      </c>
      <c r="K16">
        <v>11</v>
      </c>
      <c r="L16">
        <v>30</v>
      </c>
      <c r="M16">
        <v>23</v>
      </c>
      <c r="N16">
        <v>23</v>
      </c>
      <c r="O16">
        <v>24</v>
      </c>
      <c r="P16">
        <v>14</v>
      </c>
    </row>
    <row r="17" spans="1:16" x14ac:dyDescent="0.2">
      <c r="A17" s="1301" t="s">
        <v>34</v>
      </c>
      <c r="B17">
        <v>218</v>
      </c>
      <c r="C17">
        <v>122</v>
      </c>
      <c r="D17">
        <v>6</v>
      </c>
      <c r="E17">
        <v>15</v>
      </c>
      <c r="F17">
        <v>3</v>
      </c>
      <c r="G17">
        <v>13</v>
      </c>
      <c r="I17">
        <v>1</v>
      </c>
      <c r="J17">
        <v>33</v>
      </c>
      <c r="K17">
        <v>4</v>
      </c>
      <c r="L17">
        <v>3</v>
      </c>
      <c r="M17">
        <v>7</v>
      </c>
      <c r="N17">
        <v>2</v>
      </c>
      <c r="O17">
        <v>6</v>
      </c>
      <c r="P17">
        <v>3</v>
      </c>
    </row>
    <row r="18" spans="1:16" x14ac:dyDescent="0.2">
      <c r="A18" s="1301" t="s">
        <v>35</v>
      </c>
      <c r="B18">
        <v>458</v>
      </c>
      <c r="C18">
        <v>302</v>
      </c>
      <c r="D18">
        <v>22</v>
      </c>
      <c r="E18">
        <v>35</v>
      </c>
      <c r="F18">
        <v>5</v>
      </c>
      <c r="G18">
        <v>14</v>
      </c>
      <c r="H18">
        <v>3</v>
      </c>
      <c r="I18">
        <v>8</v>
      </c>
      <c r="J18">
        <v>1</v>
      </c>
      <c r="K18">
        <v>8</v>
      </c>
      <c r="L18">
        <v>8</v>
      </c>
      <c r="M18">
        <v>8</v>
      </c>
      <c r="N18">
        <v>17</v>
      </c>
      <c r="O18">
        <v>8</v>
      </c>
      <c r="P18">
        <v>19</v>
      </c>
    </row>
    <row r="19" spans="1:16" x14ac:dyDescent="0.2">
      <c r="A19" s="1301" t="s">
        <v>36</v>
      </c>
      <c r="B19">
        <v>1329</v>
      </c>
      <c r="C19">
        <v>962</v>
      </c>
      <c r="D19">
        <v>79</v>
      </c>
      <c r="E19">
        <v>39</v>
      </c>
      <c r="G19">
        <v>18</v>
      </c>
      <c r="H19">
        <v>8</v>
      </c>
      <c r="I19">
        <v>31</v>
      </c>
      <c r="J19">
        <v>18</v>
      </c>
      <c r="K19">
        <v>17</v>
      </c>
      <c r="L19">
        <v>20</v>
      </c>
      <c r="M19">
        <v>38</v>
      </c>
      <c r="N19">
        <v>28</v>
      </c>
      <c r="O19">
        <v>28</v>
      </c>
      <c r="P19">
        <v>43</v>
      </c>
    </row>
    <row r="20" spans="1:16" x14ac:dyDescent="0.2">
      <c r="A20" s="1301" t="s">
        <v>37</v>
      </c>
      <c r="B20">
        <v>241</v>
      </c>
      <c r="C20">
        <v>153</v>
      </c>
      <c r="D20">
        <v>13</v>
      </c>
      <c r="E20">
        <v>17</v>
      </c>
      <c r="F20">
        <v>1</v>
      </c>
      <c r="G20">
        <v>9</v>
      </c>
      <c r="H20">
        <v>1</v>
      </c>
      <c r="I20">
        <v>1</v>
      </c>
      <c r="J20">
        <v>1</v>
      </c>
      <c r="K20">
        <v>5</v>
      </c>
      <c r="L20">
        <v>11</v>
      </c>
      <c r="M20">
        <v>5</v>
      </c>
      <c r="N20">
        <v>3</v>
      </c>
      <c r="O20">
        <v>8</v>
      </c>
      <c r="P20">
        <v>13</v>
      </c>
    </row>
    <row r="21" spans="1:16" x14ac:dyDescent="0.2">
      <c r="A21" s="1301" t="s">
        <v>38</v>
      </c>
      <c r="B21">
        <v>136</v>
      </c>
      <c r="C21">
        <v>103</v>
      </c>
      <c r="D21">
        <v>3</v>
      </c>
      <c r="E21">
        <v>5</v>
      </c>
      <c r="F21">
        <v>2</v>
      </c>
      <c r="G21">
        <v>3</v>
      </c>
      <c r="J21">
        <v>1</v>
      </c>
      <c r="K21">
        <v>4</v>
      </c>
      <c r="L21">
        <v>3</v>
      </c>
      <c r="M21">
        <v>6</v>
      </c>
      <c r="N21">
        <v>1</v>
      </c>
      <c r="O21">
        <v>1</v>
      </c>
      <c r="P21">
        <v>4</v>
      </c>
    </row>
    <row r="22" spans="1:16" x14ac:dyDescent="0.2">
      <c r="A22" s="1301" t="s">
        <v>39</v>
      </c>
      <c r="B22">
        <v>107</v>
      </c>
      <c r="C22">
        <v>70</v>
      </c>
      <c r="D22">
        <v>12</v>
      </c>
      <c r="E22">
        <v>6</v>
      </c>
      <c r="F22">
        <v>2</v>
      </c>
      <c r="G22">
        <v>1</v>
      </c>
      <c r="I22">
        <v>1</v>
      </c>
      <c r="K22">
        <v>1</v>
      </c>
      <c r="L22">
        <v>3</v>
      </c>
      <c r="M22">
        <v>2</v>
      </c>
      <c r="N22">
        <v>3</v>
      </c>
      <c r="O22">
        <v>1</v>
      </c>
      <c r="P22">
        <v>5</v>
      </c>
    </row>
    <row r="23" spans="1:16" x14ac:dyDescent="0.2">
      <c r="A23" s="1301" t="s">
        <v>40</v>
      </c>
      <c r="B23">
        <v>75</v>
      </c>
      <c r="C23">
        <v>39</v>
      </c>
      <c r="D23">
        <v>1</v>
      </c>
      <c r="E23">
        <v>10</v>
      </c>
      <c r="F23">
        <v>4</v>
      </c>
      <c r="G23">
        <v>4</v>
      </c>
      <c r="I23">
        <v>1</v>
      </c>
      <c r="K23">
        <v>1</v>
      </c>
      <c r="L23">
        <v>6</v>
      </c>
      <c r="M23">
        <v>3</v>
      </c>
      <c r="N23">
        <v>1</v>
      </c>
      <c r="O23">
        <v>1</v>
      </c>
      <c r="P23">
        <v>4</v>
      </c>
    </row>
    <row r="24" spans="1:16" x14ac:dyDescent="0.2">
      <c r="A24" s="1301" t="s">
        <v>393</v>
      </c>
      <c r="B24">
        <v>25</v>
      </c>
      <c r="C24">
        <v>17</v>
      </c>
      <c r="G24">
        <v>3</v>
      </c>
      <c r="L24">
        <v>3</v>
      </c>
      <c r="N24">
        <v>1</v>
      </c>
      <c r="P24">
        <v>1</v>
      </c>
    </row>
    <row r="25" spans="1:16" x14ac:dyDescent="0.2">
      <c r="A25" s="1301" t="s">
        <v>41</v>
      </c>
      <c r="B25">
        <v>214</v>
      </c>
      <c r="C25">
        <v>162</v>
      </c>
      <c r="D25">
        <v>19</v>
      </c>
      <c r="E25">
        <v>10</v>
      </c>
      <c r="G25">
        <v>6</v>
      </c>
      <c r="I25">
        <v>1</v>
      </c>
      <c r="K25">
        <v>2</v>
      </c>
      <c r="L25">
        <v>1</v>
      </c>
      <c r="M25">
        <v>5</v>
      </c>
      <c r="N25">
        <v>4</v>
      </c>
      <c r="O25">
        <v>2</v>
      </c>
      <c r="P25">
        <v>2</v>
      </c>
    </row>
    <row r="26" spans="1:16" x14ac:dyDescent="0.2">
      <c r="A26" s="1301" t="s">
        <v>42</v>
      </c>
      <c r="B26">
        <v>434</v>
      </c>
      <c r="C26">
        <v>307</v>
      </c>
      <c r="D26">
        <v>13</v>
      </c>
      <c r="E26">
        <v>33</v>
      </c>
      <c r="F26">
        <v>2</v>
      </c>
      <c r="G26">
        <v>20</v>
      </c>
      <c r="H26">
        <v>4</v>
      </c>
      <c r="I26">
        <v>10</v>
      </c>
      <c r="J26">
        <v>7</v>
      </c>
      <c r="K26">
        <v>9</v>
      </c>
      <c r="L26">
        <v>7</v>
      </c>
      <c r="M26">
        <v>10</v>
      </c>
      <c r="N26">
        <v>3</v>
      </c>
      <c r="O26">
        <v>5</v>
      </c>
      <c r="P26">
        <v>4</v>
      </c>
    </row>
    <row r="27" spans="1:16" x14ac:dyDescent="0.2">
      <c r="A27" s="1301" t="s">
        <v>43</v>
      </c>
      <c r="B27">
        <v>9</v>
      </c>
      <c r="C27">
        <v>7</v>
      </c>
      <c r="G27">
        <v>2</v>
      </c>
    </row>
    <row r="28" spans="1:16" x14ac:dyDescent="0.2">
      <c r="A28" s="1301" t="s">
        <v>44</v>
      </c>
      <c r="B28">
        <v>173</v>
      </c>
      <c r="C28">
        <v>116</v>
      </c>
      <c r="D28">
        <v>7</v>
      </c>
      <c r="E28">
        <v>5</v>
      </c>
      <c r="F28">
        <v>7</v>
      </c>
      <c r="G28">
        <v>5</v>
      </c>
      <c r="H28">
        <v>2</v>
      </c>
      <c r="I28">
        <v>1</v>
      </c>
      <c r="J28">
        <v>9</v>
      </c>
      <c r="K28">
        <v>3</v>
      </c>
      <c r="L28">
        <v>3</v>
      </c>
      <c r="M28">
        <v>8</v>
      </c>
      <c r="N28">
        <v>2</v>
      </c>
      <c r="O28">
        <v>1</v>
      </c>
      <c r="P28">
        <v>4</v>
      </c>
    </row>
    <row r="29" spans="1:16" x14ac:dyDescent="0.2">
      <c r="A29" s="1301" t="s">
        <v>45</v>
      </c>
      <c r="B29">
        <v>293</v>
      </c>
      <c r="C29">
        <v>223</v>
      </c>
      <c r="D29">
        <v>11</v>
      </c>
      <c r="E29">
        <v>12</v>
      </c>
      <c r="G29">
        <v>6</v>
      </c>
      <c r="H29">
        <v>1</v>
      </c>
      <c r="I29">
        <v>2</v>
      </c>
      <c r="J29">
        <v>1</v>
      </c>
      <c r="K29">
        <v>7</v>
      </c>
      <c r="L29">
        <v>3</v>
      </c>
      <c r="M29">
        <v>6</v>
      </c>
      <c r="N29">
        <v>9</v>
      </c>
      <c r="O29">
        <v>9</v>
      </c>
      <c r="P29">
        <v>3</v>
      </c>
    </row>
    <row r="30" spans="1:16" x14ac:dyDescent="0.2">
      <c r="A30" s="1301" t="s">
        <v>46</v>
      </c>
      <c r="B30">
        <v>135</v>
      </c>
      <c r="C30">
        <v>100</v>
      </c>
      <c r="D30">
        <v>8</v>
      </c>
      <c r="E30">
        <v>4</v>
      </c>
      <c r="F30">
        <v>4</v>
      </c>
      <c r="G30">
        <v>6</v>
      </c>
      <c r="I30">
        <v>1</v>
      </c>
      <c r="K30">
        <v>3</v>
      </c>
      <c r="M30">
        <v>3</v>
      </c>
      <c r="N30">
        <v>5</v>
      </c>
      <c r="P30">
        <v>1</v>
      </c>
    </row>
    <row r="31" spans="1:16" x14ac:dyDescent="0.2">
      <c r="A31" s="1301" t="s">
        <v>47</v>
      </c>
      <c r="B31">
        <v>20</v>
      </c>
      <c r="C31">
        <v>13</v>
      </c>
      <c r="D31">
        <v>1</v>
      </c>
      <c r="E31">
        <v>1</v>
      </c>
      <c r="J31">
        <v>1</v>
      </c>
      <c r="K31">
        <v>1</v>
      </c>
      <c r="L31">
        <v>1</v>
      </c>
      <c r="N31">
        <v>2</v>
      </c>
    </row>
    <row r="32" spans="1:16" x14ac:dyDescent="0.2">
      <c r="A32" s="1301" t="s">
        <v>48</v>
      </c>
      <c r="B32">
        <v>149</v>
      </c>
      <c r="C32">
        <v>105</v>
      </c>
      <c r="D32">
        <v>3</v>
      </c>
      <c r="E32">
        <v>11</v>
      </c>
      <c r="G32">
        <v>7</v>
      </c>
      <c r="H32">
        <v>2</v>
      </c>
      <c r="I32">
        <v>2</v>
      </c>
      <c r="K32">
        <v>3</v>
      </c>
      <c r="L32">
        <v>2</v>
      </c>
      <c r="M32">
        <v>8</v>
      </c>
      <c r="N32">
        <v>3</v>
      </c>
      <c r="O32">
        <v>1</v>
      </c>
      <c r="P32">
        <v>2</v>
      </c>
    </row>
    <row r="33" spans="1:16" x14ac:dyDescent="0.2">
      <c r="A33" s="1301" t="s">
        <v>49</v>
      </c>
      <c r="B33">
        <v>392</v>
      </c>
      <c r="C33">
        <v>278</v>
      </c>
      <c r="D33">
        <v>12</v>
      </c>
      <c r="E33">
        <v>32</v>
      </c>
      <c r="F33">
        <v>2</v>
      </c>
      <c r="G33">
        <v>17</v>
      </c>
      <c r="H33">
        <v>2</v>
      </c>
      <c r="I33">
        <v>6</v>
      </c>
      <c r="K33">
        <v>2</v>
      </c>
      <c r="L33">
        <v>1</v>
      </c>
      <c r="M33">
        <v>18</v>
      </c>
      <c r="N33">
        <v>6</v>
      </c>
      <c r="O33">
        <v>2</v>
      </c>
      <c r="P33">
        <v>14</v>
      </c>
    </row>
    <row r="34" spans="1:16" x14ac:dyDescent="0.2">
      <c r="A34" s="1301" t="s">
        <v>50</v>
      </c>
      <c r="B34">
        <v>131</v>
      </c>
      <c r="C34">
        <v>86</v>
      </c>
      <c r="D34">
        <v>9</v>
      </c>
      <c r="E34">
        <v>7</v>
      </c>
      <c r="F34">
        <v>2</v>
      </c>
      <c r="G34">
        <v>2</v>
      </c>
      <c r="J34">
        <v>9</v>
      </c>
      <c r="K34">
        <v>4</v>
      </c>
      <c r="L34">
        <v>5</v>
      </c>
      <c r="M34">
        <v>1</v>
      </c>
      <c r="N34">
        <v>2</v>
      </c>
      <c r="P34">
        <v>4</v>
      </c>
    </row>
    <row r="35" spans="1:16" x14ac:dyDescent="0.2">
      <c r="A35" s="1301" t="s">
        <v>51</v>
      </c>
      <c r="B35">
        <v>205</v>
      </c>
      <c r="C35">
        <v>158</v>
      </c>
      <c r="D35">
        <v>16</v>
      </c>
      <c r="E35">
        <v>4</v>
      </c>
      <c r="G35">
        <v>6</v>
      </c>
      <c r="I35">
        <v>2</v>
      </c>
      <c r="J35">
        <v>1</v>
      </c>
      <c r="K35">
        <v>3</v>
      </c>
      <c r="L35">
        <v>6</v>
      </c>
      <c r="M35">
        <v>5</v>
      </c>
      <c r="N35">
        <v>2</v>
      </c>
      <c r="P35">
        <v>2</v>
      </c>
    </row>
    <row r="36" spans="1:16" x14ac:dyDescent="0.2">
      <c r="A36" s="1301" t="s">
        <v>52</v>
      </c>
      <c r="B36">
        <v>243</v>
      </c>
      <c r="C36">
        <v>169</v>
      </c>
      <c r="D36">
        <v>6</v>
      </c>
      <c r="E36">
        <v>10</v>
      </c>
      <c r="F36">
        <v>2</v>
      </c>
      <c r="G36">
        <v>15</v>
      </c>
      <c r="H36">
        <v>1</v>
      </c>
      <c r="I36">
        <v>1</v>
      </c>
      <c r="J36">
        <v>9</v>
      </c>
      <c r="K36">
        <v>5</v>
      </c>
      <c r="L36">
        <v>3</v>
      </c>
      <c r="M36">
        <v>6</v>
      </c>
      <c r="N36">
        <v>7</v>
      </c>
      <c r="O36">
        <v>6</v>
      </c>
      <c r="P36">
        <v>3</v>
      </c>
    </row>
    <row r="37" spans="1:16" x14ac:dyDescent="0.2">
      <c r="A37" s="1301" t="s">
        <v>666</v>
      </c>
      <c r="B37">
        <v>7591</v>
      </c>
      <c r="C37">
        <v>5310</v>
      </c>
      <c r="D37">
        <v>383</v>
      </c>
      <c r="E37">
        <v>356</v>
      </c>
      <c r="F37">
        <v>68</v>
      </c>
      <c r="G37">
        <v>225</v>
      </c>
      <c r="H37">
        <v>35</v>
      </c>
      <c r="I37">
        <v>106</v>
      </c>
      <c r="J37">
        <v>153</v>
      </c>
      <c r="K37">
        <v>115</v>
      </c>
      <c r="L37">
        <v>156</v>
      </c>
      <c r="M37">
        <v>201</v>
      </c>
      <c r="N37">
        <v>177</v>
      </c>
      <c r="O37">
        <v>127</v>
      </c>
      <c r="P37">
        <v>179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7">
    <tabColor theme="4"/>
    <pageSetUpPr fitToPage="1"/>
  </sheetPr>
  <dimension ref="A1:AA40"/>
  <sheetViews>
    <sheetView showGridLines="0" zoomScaleNormal="100" workbookViewId="0">
      <selection sqref="A1:L1"/>
    </sheetView>
  </sheetViews>
  <sheetFormatPr defaultRowHeight="12.75" x14ac:dyDescent="0.2"/>
  <cols>
    <col min="1" max="1" width="12.5703125" style="1" customWidth="1"/>
    <col min="2" max="2" width="10.42578125" style="1" customWidth="1"/>
    <col min="3" max="3" width="10.85546875" style="1" customWidth="1"/>
    <col min="4" max="4" width="11.7109375" style="1" customWidth="1"/>
    <col min="5" max="5" width="10.42578125" style="1" customWidth="1"/>
    <col min="6" max="6" width="9.7109375" style="1" customWidth="1"/>
    <col min="7" max="7" width="11.42578125" style="1" bestFit="1" customWidth="1"/>
    <col min="8" max="10" width="13.5703125" style="1" customWidth="1"/>
    <col min="11" max="11" width="12" style="1" customWidth="1"/>
    <col min="12" max="13" width="12.140625" style="1" customWidth="1"/>
    <col min="14" max="14" width="4.7109375" style="1" customWidth="1"/>
    <col min="15" max="26" width="9.140625" style="1"/>
    <col min="27" max="27" width="19.140625" style="1" customWidth="1"/>
    <col min="28" max="227" width="9.140625" style="1"/>
    <col min="228" max="228" width="10.42578125" style="1" customWidth="1"/>
    <col min="229" max="229" width="10.85546875" style="1" customWidth="1"/>
    <col min="230" max="230" width="11.7109375" style="1" customWidth="1"/>
    <col min="231" max="231" width="10.42578125" style="1" customWidth="1"/>
    <col min="232" max="232" width="9.7109375" style="1" customWidth="1"/>
    <col min="233" max="233" width="11.42578125" style="1" bestFit="1" customWidth="1"/>
    <col min="234" max="236" width="13.5703125" style="1" customWidth="1"/>
    <col min="237" max="237" width="12" style="1" customWidth="1"/>
    <col min="238" max="238" width="11.140625" style="1" customWidth="1"/>
    <col min="239" max="239" width="9.140625" style="1"/>
    <col min="240" max="240" width="4.7109375" style="1" customWidth="1"/>
    <col min="241" max="483" width="9.140625" style="1"/>
    <col min="484" max="484" width="10.42578125" style="1" customWidth="1"/>
    <col min="485" max="485" width="10.85546875" style="1" customWidth="1"/>
    <col min="486" max="486" width="11.7109375" style="1" customWidth="1"/>
    <col min="487" max="487" width="10.42578125" style="1" customWidth="1"/>
    <col min="488" max="488" width="9.7109375" style="1" customWidth="1"/>
    <col min="489" max="489" width="11.42578125" style="1" bestFit="1" customWidth="1"/>
    <col min="490" max="492" width="13.5703125" style="1" customWidth="1"/>
    <col min="493" max="493" width="12" style="1" customWidth="1"/>
    <col min="494" max="494" width="11.140625" style="1" customWidth="1"/>
    <col min="495" max="495" width="9.140625" style="1"/>
    <col min="496" max="496" width="4.7109375" style="1" customWidth="1"/>
    <col min="497" max="739" width="9.140625" style="1"/>
    <col min="740" max="740" width="10.42578125" style="1" customWidth="1"/>
    <col min="741" max="741" width="10.85546875" style="1" customWidth="1"/>
    <col min="742" max="742" width="11.7109375" style="1" customWidth="1"/>
    <col min="743" max="743" width="10.42578125" style="1" customWidth="1"/>
    <col min="744" max="744" width="9.7109375" style="1" customWidth="1"/>
    <col min="745" max="745" width="11.42578125" style="1" bestFit="1" customWidth="1"/>
    <col min="746" max="748" width="13.5703125" style="1" customWidth="1"/>
    <col min="749" max="749" width="12" style="1" customWidth="1"/>
    <col min="750" max="750" width="11.140625" style="1" customWidth="1"/>
    <col min="751" max="751" width="9.140625" style="1"/>
    <col min="752" max="752" width="4.7109375" style="1" customWidth="1"/>
    <col min="753" max="995" width="9.140625" style="1"/>
    <col min="996" max="996" width="10.42578125" style="1" customWidth="1"/>
    <col min="997" max="997" width="10.85546875" style="1" customWidth="1"/>
    <col min="998" max="998" width="11.7109375" style="1" customWidth="1"/>
    <col min="999" max="999" width="10.42578125" style="1" customWidth="1"/>
    <col min="1000" max="1000" width="9.7109375" style="1" customWidth="1"/>
    <col min="1001" max="1001" width="11.42578125" style="1" bestFit="1" customWidth="1"/>
    <col min="1002" max="1004" width="13.5703125" style="1" customWidth="1"/>
    <col min="1005" max="1005" width="12" style="1" customWidth="1"/>
    <col min="1006" max="1006" width="11.140625" style="1" customWidth="1"/>
    <col min="1007" max="1007" width="9.140625" style="1"/>
    <col min="1008" max="1008" width="4.7109375" style="1" customWidth="1"/>
    <col min="1009" max="1251" width="9.140625" style="1"/>
    <col min="1252" max="1252" width="10.42578125" style="1" customWidth="1"/>
    <col min="1253" max="1253" width="10.85546875" style="1" customWidth="1"/>
    <col min="1254" max="1254" width="11.7109375" style="1" customWidth="1"/>
    <col min="1255" max="1255" width="10.42578125" style="1" customWidth="1"/>
    <col min="1256" max="1256" width="9.7109375" style="1" customWidth="1"/>
    <col min="1257" max="1257" width="11.42578125" style="1" bestFit="1" customWidth="1"/>
    <col min="1258" max="1260" width="13.5703125" style="1" customWidth="1"/>
    <col min="1261" max="1261" width="12" style="1" customWidth="1"/>
    <col min="1262" max="1262" width="11.140625" style="1" customWidth="1"/>
    <col min="1263" max="1263" width="9.140625" style="1"/>
    <col min="1264" max="1264" width="4.7109375" style="1" customWidth="1"/>
    <col min="1265" max="1507" width="9.140625" style="1"/>
    <col min="1508" max="1508" width="10.42578125" style="1" customWidth="1"/>
    <col min="1509" max="1509" width="10.85546875" style="1" customWidth="1"/>
    <col min="1510" max="1510" width="11.7109375" style="1" customWidth="1"/>
    <col min="1511" max="1511" width="10.42578125" style="1" customWidth="1"/>
    <col min="1512" max="1512" width="9.7109375" style="1" customWidth="1"/>
    <col min="1513" max="1513" width="11.42578125" style="1" bestFit="1" customWidth="1"/>
    <col min="1514" max="1516" width="13.5703125" style="1" customWidth="1"/>
    <col min="1517" max="1517" width="12" style="1" customWidth="1"/>
    <col min="1518" max="1518" width="11.140625" style="1" customWidth="1"/>
    <col min="1519" max="1519" width="9.140625" style="1"/>
    <col min="1520" max="1520" width="4.7109375" style="1" customWidth="1"/>
    <col min="1521" max="1763" width="9.140625" style="1"/>
    <col min="1764" max="1764" width="10.42578125" style="1" customWidth="1"/>
    <col min="1765" max="1765" width="10.85546875" style="1" customWidth="1"/>
    <col min="1766" max="1766" width="11.7109375" style="1" customWidth="1"/>
    <col min="1767" max="1767" width="10.42578125" style="1" customWidth="1"/>
    <col min="1768" max="1768" width="9.7109375" style="1" customWidth="1"/>
    <col min="1769" max="1769" width="11.42578125" style="1" bestFit="1" customWidth="1"/>
    <col min="1770" max="1772" width="13.5703125" style="1" customWidth="1"/>
    <col min="1773" max="1773" width="12" style="1" customWidth="1"/>
    <col min="1774" max="1774" width="11.140625" style="1" customWidth="1"/>
    <col min="1775" max="1775" width="9.140625" style="1"/>
    <col min="1776" max="1776" width="4.7109375" style="1" customWidth="1"/>
    <col min="1777" max="2019" width="9.140625" style="1"/>
    <col min="2020" max="2020" width="10.42578125" style="1" customWidth="1"/>
    <col min="2021" max="2021" width="10.85546875" style="1" customWidth="1"/>
    <col min="2022" max="2022" width="11.7109375" style="1" customWidth="1"/>
    <col min="2023" max="2023" width="10.42578125" style="1" customWidth="1"/>
    <col min="2024" max="2024" width="9.7109375" style="1" customWidth="1"/>
    <col min="2025" max="2025" width="11.42578125" style="1" bestFit="1" customWidth="1"/>
    <col min="2026" max="2028" width="13.5703125" style="1" customWidth="1"/>
    <col min="2029" max="2029" width="12" style="1" customWidth="1"/>
    <col min="2030" max="2030" width="11.140625" style="1" customWidth="1"/>
    <col min="2031" max="2031" width="9.140625" style="1"/>
    <col min="2032" max="2032" width="4.7109375" style="1" customWidth="1"/>
    <col min="2033" max="2275" width="9.140625" style="1"/>
    <col min="2276" max="2276" width="10.42578125" style="1" customWidth="1"/>
    <col min="2277" max="2277" width="10.85546875" style="1" customWidth="1"/>
    <col min="2278" max="2278" width="11.7109375" style="1" customWidth="1"/>
    <col min="2279" max="2279" width="10.42578125" style="1" customWidth="1"/>
    <col min="2280" max="2280" width="9.7109375" style="1" customWidth="1"/>
    <col min="2281" max="2281" width="11.42578125" style="1" bestFit="1" customWidth="1"/>
    <col min="2282" max="2284" width="13.5703125" style="1" customWidth="1"/>
    <col min="2285" max="2285" width="12" style="1" customWidth="1"/>
    <col min="2286" max="2286" width="11.140625" style="1" customWidth="1"/>
    <col min="2287" max="2287" width="9.140625" style="1"/>
    <col min="2288" max="2288" width="4.7109375" style="1" customWidth="1"/>
    <col min="2289" max="2531" width="9.140625" style="1"/>
    <col min="2532" max="2532" width="10.42578125" style="1" customWidth="1"/>
    <col min="2533" max="2533" width="10.85546875" style="1" customWidth="1"/>
    <col min="2534" max="2534" width="11.7109375" style="1" customWidth="1"/>
    <col min="2535" max="2535" width="10.42578125" style="1" customWidth="1"/>
    <col min="2536" max="2536" width="9.7109375" style="1" customWidth="1"/>
    <col min="2537" max="2537" width="11.42578125" style="1" bestFit="1" customWidth="1"/>
    <col min="2538" max="2540" width="13.5703125" style="1" customWidth="1"/>
    <col min="2541" max="2541" width="12" style="1" customWidth="1"/>
    <col min="2542" max="2542" width="11.140625" style="1" customWidth="1"/>
    <col min="2543" max="2543" width="9.140625" style="1"/>
    <col min="2544" max="2544" width="4.7109375" style="1" customWidth="1"/>
    <col min="2545" max="2787" width="9.140625" style="1"/>
    <col min="2788" max="2788" width="10.42578125" style="1" customWidth="1"/>
    <col min="2789" max="2789" width="10.85546875" style="1" customWidth="1"/>
    <col min="2790" max="2790" width="11.7109375" style="1" customWidth="1"/>
    <col min="2791" max="2791" width="10.42578125" style="1" customWidth="1"/>
    <col min="2792" max="2792" width="9.7109375" style="1" customWidth="1"/>
    <col min="2793" max="2793" width="11.42578125" style="1" bestFit="1" customWidth="1"/>
    <col min="2794" max="2796" width="13.5703125" style="1" customWidth="1"/>
    <col min="2797" max="2797" width="12" style="1" customWidth="1"/>
    <col min="2798" max="2798" width="11.140625" style="1" customWidth="1"/>
    <col min="2799" max="2799" width="9.140625" style="1"/>
    <col min="2800" max="2800" width="4.7109375" style="1" customWidth="1"/>
    <col min="2801" max="3043" width="9.140625" style="1"/>
    <col min="3044" max="3044" width="10.42578125" style="1" customWidth="1"/>
    <col min="3045" max="3045" width="10.85546875" style="1" customWidth="1"/>
    <col min="3046" max="3046" width="11.7109375" style="1" customWidth="1"/>
    <col min="3047" max="3047" width="10.42578125" style="1" customWidth="1"/>
    <col min="3048" max="3048" width="9.7109375" style="1" customWidth="1"/>
    <col min="3049" max="3049" width="11.42578125" style="1" bestFit="1" customWidth="1"/>
    <col min="3050" max="3052" width="13.5703125" style="1" customWidth="1"/>
    <col min="3053" max="3053" width="12" style="1" customWidth="1"/>
    <col min="3054" max="3054" width="11.140625" style="1" customWidth="1"/>
    <col min="3055" max="3055" width="9.140625" style="1"/>
    <col min="3056" max="3056" width="4.7109375" style="1" customWidth="1"/>
    <col min="3057" max="3299" width="9.140625" style="1"/>
    <col min="3300" max="3300" width="10.42578125" style="1" customWidth="1"/>
    <col min="3301" max="3301" width="10.85546875" style="1" customWidth="1"/>
    <col min="3302" max="3302" width="11.7109375" style="1" customWidth="1"/>
    <col min="3303" max="3303" width="10.42578125" style="1" customWidth="1"/>
    <col min="3304" max="3304" width="9.7109375" style="1" customWidth="1"/>
    <col min="3305" max="3305" width="11.42578125" style="1" bestFit="1" customWidth="1"/>
    <col min="3306" max="3308" width="13.5703125" style="1" customWidth="1"/>
    <col min="3309" max="3309" width="12" style="1" customWidth="1"/>
    <col min="3310" max="3310" width="11.140625" style="1" customWidth="1"/>
    <col min="3311" max="3311" width="9.140625" style="1"/>
    <col min="3312" max="3312" width="4.7109375" style="1" customWidth="1"/>
    <col min="3313" max="3555" width="9.140625" style="1"/>
    <col min="3556" max="3556" width="10.42578125" style="1" customWidth="1"/>
    <col min="3557" max="3557" width="10.85546875" style="1" customWidth="1"/>
    <col min="3558" max="3558" width="11.7109375" style="1" customWidth="1"/>
    <col min="3559" max="3559" width="10.42578125" style="1" customWidth="1"/>
    <col min="3560" max="3560" width="9.7109375" style="1" customWidth="1"/>
    <col min="3561" max="3561" width="11.42578125" style="1" bestFit="1" customWidth="1"/>
    <col min="3562" max="3564" width="13.5703125" style="1" customWidth="1"/>
    <col min="3565" max="3565" width="12" style="1" customWidth="1"/>
    <col min="3566" max="3566" width="11.140625" style="1" customWidth="1"/>
    <col min="3567" max="3567" width="9.140625" style="1"/>
    <col min="3568" max="3568" width="4.7109375" style="1" customWidth="1"/>
    <col min="3569" max="3811" width="9.140625" style="1"/>
    <col min="3812" max="3812" width="10.42578125" style="1" customWidth="1"/>
    <col min="3813" max="3813" width="10.85546875" style="1" customWidth="1"/>
    <col min="3814" max="3814" width="11.7109375" style="1" customWidth="1"/>
    <col min="3815" max="3815" width="10.42578125" style="1" customWidth="1"/>
    <col min="3816" max="3816" width="9.7109375" style="1" customWidth="1"/>
    <col min="3817" max="3817" width="11.42578125" style="1" bestFit="1" customWidth="1"/>
    <col min="3818" max="3820" width="13.5703125" style="1" customWidth="1"/>
    <col min="3821" max="3821" width="12" style="1" customWidth="1"/>
    <col min="3822" max="3822" width="11.140625" style="1" customWidth="1"/>
    <col min="3823" max="3823" width="9.140625" style="1"/>
    <col min="3824" max="3824" width="4.7109375" style="1" customWidth="1"/>
    <col min="3825" max="4067" width="9.140625" style="1"/>
    <col min="4068" max="4068" width="10.42578125" style="1" customWidth="1"/>
    <col min="4069" max="4069" width="10.85546875" style="1" customWidth="1"/>
    <col min="4070" max="4070" width="11.7109375" style="1" customWidth="1"/>
    <col min="4071" max="4071" width="10.42578125" style="1" customWidth="1"/>
    <col min="4072" max="4072" width="9.7109375" style="1" customWidth="1"/>
    <col min="4073" max="4073" width="11.42578125" style="1" bestFit="1" customWidth="1"/>
    <col min="4074" max="4076" width="13.5703125" style="1" customWidth="1"/>
    <col min="4077" max="4077" width="12" style="1" customWidth="1"/>
    <col min="4078" max="4078" width="11.140625" style="1" customWidth="1"/>
    <col min="4079" max="4079" width="9.140625" style="1"/>
    <col min="4080" max="4080" width="4.7109375" style="1" customWidth="1"/>
    <col min="4081" max="4323" width="9.140625" style="1"/>
    <col min="4324" max="4324" width="10.42578125" style="1" customWidth="1"/>
    <col min="4325" max="4325" width="10.85546875" style="1" customWidth="1"/>
    <col min="4326" max="4326" width="11.7109375" style="1" customWidth="1"/>
    <col min="4327" max="4327" width="10.42578125" style="1" customWidth="1"/>
    <col min="4328" max="4328" width="9.7109375" style="1" customWidth="1"/>
    <col min="4329" max="4329" width="11.42578125" style="1" bestFit="1" customWidth="1"/>
    <col min="4330" max="4332" width="13.5703125" style="1" customWidth="1"/>
    <col min="4333" max="4333" width="12" style="1" customWidth="1"/>
    <col min="4334" max="4334" width="11.140625" style="1" customWidth="1"/>
    <col min="4335" max="4335" width="9.140625" style="1"/>
    <col min="4336" max="4336" width="4.7109375" style="1" customWidth="1"/>
    <col min="4337" max="4579" width="9.140625" style="1"/>
    <col min="4580" max="4580" width="10.42578125" style="1" customWidth="1"/>
    <col min="4581" max="4581" width="10.85546875" style="1" customWidth="1"/>
    <col min="4582" max="4582" width="11.7109375" style="1" customWidth="1"/>
    <col min="4583" max="4583" width="10.42578125" style="1" customWidth="1"/>
    <col min="4584" max="4584" width="9.7109375" style="1" customWidth="1"/>
    <col min="4585" max="4585" width="11.42578125" style="1" bestFit="1" customWidth="1"/>
    <col min="4586" max="4588" width="13.5703125" style="1" customWidth="1"/>
    <col min="4589" max="4589" width="12" style="1" customWidth="1"/>
    <col min="4590" max="4590" width="11.140625" style="1" customWidth="1"/>
    <col min="4591" max="4591" width="9.140625" style="1"/>
    <col min="4592" max="4592" width="4.7109375" style="1" customWidth="1"/>
    <col min="4593" max="4835" width="9.140625" style="1"/>
    <col min="4836" max="4836" width="10.42578125" style="1" customWidth="1"/>
    <col min="4837" max="4837" width="10.85546875" style="1" customWidth="1"/>
    <col min="4838" max="4838" width="11.7109375" style="1" customWidth="1"/>
    <col min="4839" max="4839" width="10.42578125" style="1" customWidth="1"/>
    <col min="4840" max="4840" width="9.7109375" style="1" customWidth="1"/>
    <col min="4841" max="4841" width="11.42578125" style="1" bestFit="1" customWidth="1"/>
    <col min="4842" max="4844" width="13.5703125" style="1" customWidth="1"/>
    <col min="4845" max="4845" width="12" style="1" customWidth="1"/>
    <col min="4846" max="4846" width="11.140625" style="1" customWidth="1"/>
    <col min="4847" max="4847" width="9.140625" style="1"/>
    <col min="4848" max="4848" width="4.7109375" style="1" customWidth="1"/>
    <col min="4849" max="5091" width="9.140625" style="1"/>
    <col min="5092" max="5092" width="10.42578125" style="1" customWidth="1"/>
    <col min="5093" max="5093" width="10.85546875" style="1" customWidth="1"/>
    <col min="5094" max="5094" width="11.7109375" style="1" customWidth="1"/>
    <col min="5095" max="5095" width="10.42578125" style="1" customWidth="1"/>
    <col min="5096" max="5096" width="9.7109375" style="1" customWidth="1"/>
    <col min="5097" max="5097" width="11.42578125" style="1" bestFit="1" customWidth="1"/>
    <col min="5098" max="5100" width="13.5703125" style="1" customWidth="1"/>
    <col min="5101" max="5101" width="12" style="1" customWidth="1"/>
    <col min="5102" max="5102" width="11.140625" style="1" customWidth="1"/>
    <col min="5103" max="5103" width="9.140625" style="1"/>
    <col min="5104" max="5104" width="4.7109375" style="1" customWidth="1"/>
    <col min="5105" max="5347" width="9.140625" style="1"/>
    <col min="5348" max="5348" width="10.42578125" style="1" customWidth="1"/>
    <col min="5349" max="5349" width="10.85546875" style="1" customWidth="1"/>
    <col min="5350" max="5350" width="11.7109375" style="1" customWidth="1"/>
    <col min="5351" max="5351" width="10.42578125" style="1" customWidth="1"/>
    <col min="5352" max="5352" width="9.7109375" style="1" customWidth="1"/>
    <col min="5353" max="5353" width="11.42578125" style="1" bestFit="1" customWidth="1"/>
    <col min="5354" max="5356" width="13.5703125" style="1" customWidth="1"/>
    <col min="5357" max="5357" width="12" style="1" customWidth="1"/>
    <col min="5358" max="5358" width="11.140625" style="1" customWidth="1"/>
    <col min="5359" max="5359" width="9.140625" style="1"/>
    <col min="5360" max="5360" width="4.7109375" style="1" customWidth="1"/>
    <col min="5361" max="5603" width="9.140625" style="1"/>
    <col min="5604" max="5604" width="10.42578125" style="1" customWidth="1"/>
    <col min="5605" max="5605" width="10.85546875" style="1" customWidth="1"/>
    <col min="5606" max="5606" width="11.7109375" style="1" customWidth="1"/>
    <col min="5607" max="5607" width="10.42578125" style="1" customWidth="1"/>
    <col min="5608" max="5608" width="9.7109375" style="1" customWidth="1"/>
    <col min="5609" max="5609" width="11.42578125" style="1" bestFit="1" customWidth="1"/>
    <col min="5610" max="5612" width="13.5703125" style="1" customWidth="1"/>
    <col min="5613" max="5613" width="12" style="1" customWidth="1"/>
    <col min="5614" max="5614" width="11.140625" style="1" customWidth="1"/>
    <col min="5615" max="5615" width="9.140625" style="1"/>
    <col min="5616" max="5616" width="4.7109375" style="1" customWidth="1"/>
    <col min="5617" max="5859" width="9.140625" style="1"/>
    <col min="5860" max="5860" width="10.42578125" style="1" customWidth="1"/>
    <col min="5861" max="5861" width="10.85546875" style="1" customWidth="1"/>
    <col min="5862" max="5862" width="11.7109375" style="1" customWidth="1"/>
    <col min="5863" max="5863" width="10.42578125" style="1" customWidth="1"/>
    <col min="5864" max="5864" width="9.7109375" style="1" customWidth="1"/>
    <col min="5865" max="5865" width="11.42578125" style="1" bestFit="1" customWidth="1"/>
    <col min="5866" max="5868" width="13.5703125" style="1" customWidth="1"/>
    <col min="5869" max="5869" width="12" style="1" customWidth="1"/>
    <col min="5870" max="5870" width="11.140625" style="1" customWidth="1"/>
    <col min="5871" max="5871" width="9.140625" style="1"/>
    <col min="5872" max="5872" width="4.7109375" style="1" customWidth="1"/>
    <col min="5873" max="6115" width="9.140625" style="1"/>
    <col min="6116" max="6116" width="10.42578125" style="1" customWidth="1"/>
    <col min="6117" max="6117" width="10.85546875" style="1" customWidth="1"/>
    <col min="6118" max="6118" width="11.7109375" style="1" customWidth="1"/>
    <col min="6119" max="6119" width="10.42578125" style="1" customWidth="1"/>
    <col min="6120" max="6120" width="9.7109375" style="1" customWidth="1"/>
    <col min="6121" max="6121" width="11.42578125" style="1" bestFit="1" customWidth="1"/>
    <col min="6122" max="6124" width="13.5703125" style="1" customWidth="1"/>
    <col min="6125" max="6125" width="12" style="1" customWidth="1"/>
    <col min="6126" max="6126" width="11.140625" style="1" customWidth="1"/>
    <col min="6127" max="6127" width="9.140625" style="1"/>
    <col min="6128" max="6128" width="4.7109375" style="1" customWidth="1"/>
    <col min="6129" max="6371" width="9.140625" style="1"/>
    <col min="6372" max="6372" width="10.42578125" style="1" customWidth="1"/>
    <col min="6373" max="6373" width="10.85546875" style="1" customWidth="1"/>
    <col min="6374" max="6374" width="11.7109375" style="1" customWidth="1"/>
    <col min="6375" max="6375" width="10.42578125" style="1" customWidth="1"/>
    <col min="6376" max="6376" width="9.7109375" style="1" customWidth="1"/>
    <col min="6377" max="6377" width="11.42578125" style="1" bestFit="1" customWidth="1"/>
    <col min="6378" max="6380" width="13.5703125" style="1" customWidth="1"/>
    <col min="6381" max="6381" width="12" style="1" customWidth="1"/>
    <col min="6382" max="6382" width="11.140625" style="1" customWidth="1"/>
    <col min="6383" max="6383" width="9.140625" style="1"/>
    <col min="6384" max="6384" width="4.7109375" style="1" customWidth="1"/>
    <col min="6385" max="6627" width="9.140625" style="1"/>
    <col min="6628" max="6628" width="10.42578125" style="1" customWidth="1"/>
    <col min="6629" max="6629" width="10.85546875" style="1" customWidth="1"/>
    <col min="6630" max="6630" width="11.7109375" style="1" customWidth="1"/>
    <col min="6631" max="6631" width="10.42578125" style="1" customWidth="1"/>
    <col min="6632" max="6632" width="9.7109375" style="1" customWidth="1"/>
    <col min="6633" max="6633" width="11.42578125" style="1" bestFit="1" customWidth="1"/>
    <col min="6634" max="6636" width="13.5703125" style="1" customWidth="1"/>
    <col min="6637" max="6637" width="12" style="1" customWidth="1"/>
    <col min="6638" max="6638" width="11.140625" style="1" customWidth="1"/>
    <col min="6639" max="6639" width="9.140625" style="1"/>
    <col min="6640" max="6640" width="4.7109375" style="1" customWidth="1"/>
    <col min="6641" max="6883" width="9.140625" style="1"/>
    <col min="6884" max="6884" width="10.42578125" style="1" customWidth="1"/>
    <col min="6885" max="6885" width="10.85546875" style="1" customWidth="1"/>
    <col min="6886" max="6886" width="11.7109375" style="1" customWidth="1"/>
    <col min="6887" max="6887" width="10.42578125" style="1" customWidth="1"/>
    <col min="6888" max="6888" width="9.7109375" style="1" customWidth="1"/>
    <col min="6889" max="6889" width="11.42578125" style="1" bestFit="1" customWidth="1"/>
    <col min="6890" max="6892" width="13.5703125" style="1" customWidth="1"/>
    <col min="6893" max="6893" width="12" style="1" customWidth="1"/>
    <col min="6894" max="6894" width="11.140625" style="1" customWidth="1"/>
    <col min="6895" max="6895" width="9.140625" style="1"/>
    <col min="6896" max="6896" width="4.7109375" style="1" customWidth="1"/>
    <col min="6897" max="7139" width="9.140625" style="1"/>
    <col min="7140" max="7140" width="10.42578125" style="1" customWidth="1"/>
    <col min="7141" max="7141" width="10.85546875" style="1" customWidth="1"/>
    <col min="7142" max="7142" width="11.7109375" style="1" customWidth="1"/>
    <col min="7143" max="7143" width="10.42578125" style="1" customWidth="1"/>
    <col min="7144" max="7144" width="9.7109375" style="1" customWidth="1"/>
    <col min="7145" max="7145" width="11.42578125" style="1" bestFit="1" customWidth="1"/>
    <col min="7146" max="7148" width="13.5703125" style="1" customWidth="1"/>
    <col min="7149" max="7149" width="12" style="1" customWidth="1"/>
    <col min="7150" max="7150" width="11.140625" style="1" customWidth="1"/>
    <col min="7151" max="7151" width="9.140625" style="1"/>
    <col min="7152" max="7152" width="4.7109375" style="1" customWidth="1"/>
    <col min="7153" max="7395" width="9.140625" style="1"/>
    <col min="7396" max="7396" width="10.42578125" style="1" customWidth="1"/>
    <col min="7397" max="7397" width="10.85546875" style="1" customWidth="1"/>
    <col min="7398" max="7398" width="11.7109375" style="1" customWidth="1"/>
    <col min="7399" max="7399" width="10.42578125" style="1" customWidth="1"/>
    <col min="7400" max="7400" width="9.7109375" style="1" customWidth="1"/>
    <col min="7401" max="7401" width="11.42578125" style="1" bestFit="1" customWidth="1"/>
    <col min="7402" max="7404" width="13.5703125" style="1" customWidth="1"/>
    <col min="7405" max="7405" width="12" style="1" customWidth="1"/>
    <col min="7406" max="7406" width="11.140625" style="1" customWidth="1"/>
    <col min="7407" max="7407" width="9.140625" style="1"/>
    <col min="7408" max="7408" width="4.7109375" style="1" customWidth="1"/>
    <col min="7409" max="7651" width="9.140625" style="1"/>
    <col min="7652" max="7652" width="10.42578125" style="1" customWidth="1"/>
    <col min="7653" max="7653" width="10.85546875" style="1" customWidth="1"/>
    <col min="7654" max="7654" width="11.7109375" style="1" customWidth="1"/>
    <col min="7655" max="7655" width="10.42578125" style="1" customWidth="1"/>
    <col min="7656" max="7656" width="9.7109375" style="1" customWidth="1"/>
    <col min="7657" max="7657" width="11.42578125" style="1" bestFit="1" customWidth="1"/>
    <col min="7658" max="7660" width="13.5703125" style="1" customWidth="1"/>
    <col min="7661" max="7661" width="12" style="1" customWidth="1"/>
    <col min="7662" max="7662" width="11.140625" style="1" customWidth="1"/>
    <col min="7663" max="7663" width="9.140625" style="1"/>
    <col min="7664" max="7664" width="4.7109375" style="1" customWidth="1"/>
    <col min="7665" max="7907" width="9.140625" style="1"/>
    <col min="7908" max="7908" width="10.42578125" style="1" customWidth="1"/>
    <col min="7909" max="7909" width="10.85546875" style="1" customWidth="1"/>
    <col min="7910" max="7910" width="11.7109375" style="1" customWidth="1"/>
    <col min="7911" max="7911" width="10.42578125" style="1" customWidth="1"/>
    <col min="7912" max="7912" width="9.7109375" style="1" customWidth="1"/>
    <col min="7913" max="7913" width="11.42578125" style="1" bestFit="1" customWidth="1"/>
    <col min="7914" max="7916" width="13.5703125" style="1" customWidth="1"/>
    <col min="7917" max="7917" width="12" style="1" customWidth="1"/>
    <col min="7918" max="7918" width="11.140625" style="1" customWidth="1"/>
    <col min="7919" max="7919" width="9.140625" style="1"/>
    <col min="7920" max="7920" width="4.7109375" style="1" customWidth="1"/>
    <col min="7921" max="8163" width="9.140625" style="1"/>
    <col min="8164" max="8164" width="10.42578125" style="1" customWidth="1"/>
    <col min="8165" max="8165" width="10.85546875" style="1" customWidth="1"/>
    <col min="8166" max="8166" width="11.7109375" style="1" customWidth="1"/>
    <col min="8167" max="8167" width="10.42578125" style="1" customWidth="1"/>
    <col min="8168" max="8168" width="9.7109375" style="1" customWidth="1"/>
    <col min="8169" max="8169" width="11.42578125" style="1" bestFit="1" customWidth="1"/>
    <col min="8170" max="8172" width="13.5703125" style="1" customWidth="1"/>
    <col min="8173" max="8173" width="12" style="1" customWidth="1"/>
    <col min="8174" max="8174" width="11.140625" style="1" customWidth="1"/>
    <col min="8175" max="8175" width="9.140625" style="1"/>
    <col min="8176" max="8176" width="4.7109375" style="1" customWidth="1"/>
    <col min="8177" max="8419" width="9.140625" style="1"/>
    <col min="8420" max="8420" width="10.42578125" style="1" customWidth="1"/>
    <col min="8421" max="8421" width="10.85546875" style="1" customWidth="1"/>
    <col min="8422" max="8422" width="11.7109375" style="1" customWidth="1"/>
    <col min="8423" max="8423" width="10.42578125" style="1" customWidth="1"/>
    <col min="8424" max="8424" width="9.7109375" style="1" customWidth="1"/>
    <col min="8425" max="8425" width="11.42578125" style="1" bestFit="1" customWidth="1"/>
    <col min="8426" max="8428" width="13.5703125" style="1" customWidth="1"/>
    <col min="8429" max="8429" width="12" style="1" customWidth="1"/>
    <col min="8430" max="8430" width="11.140625" style="1" customWidth="1"/>
    <col min="8431" max="8431" width="9.140625" style="1"/>
    <col min="8432" max="8432" width="4.7109375" style="1" customWidth="1"/>
    <col min="8433" max="8675" width="9.140625" style="1"/>
    <col min="8676" max="8676" width="10.42578125" style="1" customWidth="1"/>
    <col min="8677" max="8677" width="10.85546875" style="1" customWidth="1"/>
    <col min="8678" max="8678" width="11.7109375" style="1" customWidth="1"/>
    <col min="8679" max="8679" width="10.42578125" style="1" customWidth="1"/>
    <col min="8680" max="8680" width="9.7109375" style="1" customWidth="1"/>
    <col min="8681" max="8681" width="11.42578125" style="1" bestFit="1" customWidth="1"/>
    <col min="8682" max="8684" width="13.5703125" style="1" customWidth="1"/>
    <col min="8685" max="8685" width="12" style="1" customWidth="1"/>
    <col min="8686" max="8686" width="11.140625" style="1" customWidth="1"/>
    <col min="8687" max="8687" width="9.140625" style="1"/>
    <col min="8688" max="8688" width="4.7109375" style="1" customWidth="1"/>
    <col min="8689" max="8931" width="9.140625" style="1"/>
    <col min="8932" max="8932" width="10.42578125" style="1" customWidth="1"/>
    <col min="8933" max="8933" width="10.85546875" style="1" customWidth="1"/>
    <col min="8934" max="8934" width="11.7109375" style="1" customWidth="1"/>
    <col min="8935" max="8935" width="10.42578125" style="1" customWidth="1"/>
    <col min="8936" max="8936" width="9.7109375" style="1" customWidth="1"/>
    <col min="8937" max="8937" width="11.42578125" style="1" bestFit="1" customWidth="1"/>
    <col min="8938" max="8940" width="13.5703125" style="1" customWidth="1"/>
    <col min="8941" max="8941" width="12" style="1" customWidth="1"/>
    <col min="8942" max="8942" width="11.140625" style="1" customWidth="1"/>
    <col min="8943" max="8943" width="9.140625" style="1"/>
    <col min="8944" max="8944" width="4.7109375" style="1" customWidth="1"/>
    <col min="8945" max="9187" width="9.140625" style="1"/>
    <col min="9188" max="9188" width="10.42578125" style="1" customWidth="1"/>
    <col min="9189" max="9189" width="10.85546875" style="1" customWidth="1"/>
    <col min="9190" max="9190" width="11.7109375" style="1" customWidth="1"/>
    <col min="9191" max="9191" width="10.42578125" style="1" customWidth="1"/>
    <col min="9192" max="9192" width="9.7109375" style="1" customWidth="1"/>
    <col min="9193" max="9193" width="11.42578125" style="1" bestFit="1" customWidth="1"/>
    <col min="9194" max="9196" width="13.5703125" style="1" customWidth="1"/>
    <col min="9197" max="9197" width="12" style="1" customWidth="1"/>
    <col min="9198" max="9198" width="11.140625" style="1" customWidth="1"/>
    <col min="9199" max="9199" width="9.140625" style="1"/>
    <col min="9200" max="9200" width="4.7109375" style="1" customWidth="1"/>
    <col min="9201" max="9443" width="9.140625" style="1"/>
    <col min="9444" max="9444" width="10.42578125" style="1" customWidth="1"/>
    <col min="9445" max="9445" width="10.85546875" style="1" customWidth="1"/>
    <col min="9446" max="9446" width="11.7109375" style="1" customWidth="1"/>
    <col min="9447" max="9447" width="10.42578125" style="1" customWidth="1"/>
    <col min="9448" max="9448" width="9.7109375" style="1" customWidth="1"/>
    <col min="9449" max="9449" width="11.42578125" style="1" bestFit="1" customWidth="1"/>
    <col min="9450" max="9452" width="13.5703125" style="1" customWidth="1"/>
    <col min="9453" max="9453" width="12" style="1" customWidth="1"/>
    <col min="9454" max="9454" width="11.140625" style="1" customWidth="1"/>
    <col min="9455" max="9455" width="9.140625" style="1"/>
    <col min="9456" max="9456" width="4.7109375" style="1" customWidth="1"/>
    <col min="9457" max="9699" width="9.140625" style="1"/>
    <col min="9700" max="9700" width="10.42578125" style="1" customWidth="1"/>
    <col min="9701" max="9701" width="10.85546875" style="1" customWidth="1"/>
    <col min="9702" max="9702" width="11.7109375" style="1" customWidth="1"/>
    <col min="9703" max="9703" width="10.42578125" style="1" customWidth="1"/>
    <col min="9704" max="9704" width="9.7109375" style="1" customWidth="1"/>
    <col min="9705" max="9705" width="11.42578125" style="1" bestFit="1" customWidth="1"/>
    <col min="9706" max="9708" width="13.5703125" style="1" customWidth="1"/>
    <col min="9709" max="9709" width="12" style="1" customWidth="1"/>
    <col min="9710" max="9710" width="11.140625" style="1" customWidth="1"/>
    <col min="9711" max="9711" width="9.140625" style="1"/>
    <col min="9712" max="9712" width="4.7109375" style="1" customWidth="1"/>
    <col min="9713" max="9955" width="9.140625" style="1"/>
    <col min="9956" max="9956" width="10.42578125" style="1" customWidth="1"/>
    <col min="9957" max="9957" width="10.85546875" style="1" customWidth="1"/>
    <col min="9958" max="9958" width="11.7109375" style="1" customWidth="1"/>
    <col min="9959" max="9959" width="10.42578125" style="1" customWidth="1"/>
    <col min="9960" max="9960" width="9.7109375" style="1" customWidth="1"/>
    <col min="9961" max="9961" width="11.42578125" style="1" bestFit="1" customWidth="1"/>
    <col min="9962" max="9964" width="13.5703125" style="1" customWidth="1"/>
    <col min="9965" max="9965" width="12" style="1" customWidth="1"/>
    <col min="9966" max="9966" width="11.140625" style="1" customWidth="1"/>
    <col min="9967" max="9967" width="9.140625" style="1"/>
    <col min="9968" max="9968" width="4.7109375" style="1" customWidth="1"/>
    <col min="9969" max="10211" width="9.140625" style="1"/>
    <col min="10212" max="10212" width="10.42578125" style="1" customWidth="1"/>
    <col min="10213" max="10213" width="10.85546875" style="1" customWidth="1"/>
    <col min="10214" max="10214" width="11.7109375" style="1" customWidth="1"/>
    <col min="10215" max="10215" width="10.42578125" style="1" customWidth="1"/>
    <col min="10216" max="10216" width="9.7109375" style="1" customWidth="1"/>
    <col min="10217" max="10217" width="11.42578125" style="1" bestFit="1" customWidth="1"/>
    <col min="10218" max="10220" width="13.5703125" style="1" customWidth="1"/>
    <col min="10221" max="10221" width="12" style="1" customWidth="1"/>
    <col min="10222" max="10222" width="11.140625" style="1" customWidth="1"/>
    <col min="10223" max="10223" width="9.140625" style="1"/>
    <col min="10224" max="10224" width="4.7109375" style="1" customWidth="1"/>
    <col min="10225" max="10467" width="9.140625" style="1"/>
    <col min="10468" max="10468" width="10.42578125" style="1" customWidth="1"/>
    <col min="10469" max="10469" width="10.85546875" style="1" customWidth="1"/>
    <col min="10470" max="10470" width="11.7109375" style="1" customWidth="1"/>
    <col min="10471" max="10471" width="10.42578125" style="1" customWidth="1"/>
    <col min="10472" max="10472" width="9.7109375" style="1" customWidth="1"/>
    <col min="10473" max="10473" width="11.42578125" style="1" bestFit="1" customWidth="1"/>
    <col min="10474" max="10476" width="13.5703125" style="1" customWidth="1"/>
    <col min="10477" max="10477" width="12" style="1" customWidth="1"/>
    <col min="10478" max="10478" width="11.140625" style="1" customWidth="1"/>
    <col min="10479" max="10479" width="9.140625" style="1"/>
    <col min="10480" max="10480" width="4.7109375" style="1" customWidth="1"/>
    <col min="10481" max="10723" width="9.140625" style="1"/>
    <col min="10724" max="10724" width="10.42578125" style="1" customWidth="1"/>
    <col min="10725" max="10725" width="10.85546875" style="1" customWidth="1"/>
    <col min="10726" max="10726" width="11.7109375" style="1" customWidth="1"/>
    <col min="10727" max="10727" width="10.42578125" style="1" customWidth="1"/>
    <col min="10728" max="10728" width="9.7109375" style="1" customWidth="1"/>
    <col min="10729" max="10729" width="11.42578125" style="1" bestFit="1" customWidth="1"/>
    <col min="10730" max="10732" width="13.5703125" style="1" customWidth="1"/>
    <col min="10733" max="10733" width="12" style="1" customWidth="1"/>
    <col min="10734" max="10734" width="11.140625" style="1" customWidth="1"/>
    <col min="10735" max="10735" width="9.140625" style="1"/>
    <col min="10736" max="10736" width="4.7109375" style="1" customWidth="1"/>
    <col min="10737" max="10979" width="9.140625" style="1"/>
    <col min="10980" max="10980" width="10.42578125" style="1" customWidth="1"/>
    <col min="10981" max="10981" width="10.85546875" style="1" customWidth="1"/>
    <col min="10982" max="10982" width="11.7109375" style="1" customWidth="1"/>
    <col min="10983" max="10983" width="10.42578125" style="1" customWidth="1"/>
    <col min="10984" max="10984" width="9.7109375" style="1" customWidth="1"/>
    <col min="10985" max="10985" width="11.42578125" style="1" bestFit="1" customWidth="1"/>
    <col min="10986" max="10988" width="13.5703125" style="1" customWidth="1"/>
    <col min="10989" max="10989" width="12" style="1" customWidth="1"/>
    <col min="10990" max="10990" width="11.140625" style="1" customWidth="1"/>
    <col min="10991" max="10991" width="9.140625" style="1"/>
    <col min="10992" max="10992" width="4.7109375" style="1" customWidth="1"/>
    <col min="10993" max="11235" width="9.140625" style="1"/>
    <col min="11236" max="11236" width="10.42578125" style="1" customWidth="1"/>
    <col min="11237" max="11237" width="10.85546875" style="1" customWidth="1"/>
    <col min="11238" max="11238" width="11.7109375" style="1" customWidth="1"/>
    <col min="11239" max="11239" width="10.42578125" style="1" customWidth="1"/>
    <col min="11240" max="11240" width="9.7109375" style="1" customWidth="1"/>
    <col min="11241" max="11241" width="11.42578125" style="1" bestFit="1" customWidth="1"/>
    <col min="11242" max="11244" width="13.5703125" style="1" customWidth="1"/>
    <col min="11245" max="11245" width="12" style="1" customWidth="1"/>
    <col min="11246" max="11246" width="11.140625" style="1" customWidth="1"/>
    <col min="11247" max="11247" width="9.140625" style="1"/>
    <col min="11248" max="11248" width="4.7109375" style="1" customWidth="1"/>
    <col min="11249" max="11491" width="9.140625" style="1"/>
    <col min="11492" max="11492" width="10.42578125" style="1" customWidth="1"/>
    <col min="11493" max="11493" width="10.85546875" style="1" customWidth="1"/>
    <col min="11494" max="11494" width="11.7109375" style="1" customWidth="1"/>
    <col min="11495" max="11495" width="10.42578125" style="1" customWidth="1"/>
    <col min="11496" max="11496" width="9.7109375" style="1" customWidth="1"/>
    <col min="11497" max="11497" width="11.42578125" style="1" bestFit="1" customWidth="1"/>
    <col min="11498" max="11500" width="13.5703125" style="1" customWidth="1"/>
    <col min="11501" max="11501" width="12" style="1" customWidth="1"/>
    <col min="11502" max="11502" width="11.140625" style="1" customWidth="1"/>
    <col min="11503" max="11503" width="9.140625" style="1"/>
    <col min="11504" max="11504" width="4.7109375" style="1" customWidth="1"/>
    <col min="11505" max="11747" width="9.140625" style="1"/>
    <col min="11748" max="11748" width="10.42578125" style="1" customWidth="1"/>
    <col min="11749" max="11749" width="10.85546875" style="1" customWidth="1"/>
    <col min="11750" max="11750" width="11.7109375" style="1" customWidth="1"/>
    <col min="11751" max="11751" width="10.42578125" style="1" customWidth="1"/>
    <col min="11752" max="11752" width="9.7109375" style="1" customWidth="1"/>
    <col min="11753" max="11753" width="11.42578125" style="1" bestFit="1" customWidth="1"/>
    <col min="11754" max="11756" width="13.5703125" style="1" customWidth="1"/>
    <col min="11757" max="11757" width="12" style="1" customWidth="1"/>
    <col min="11758" max="11758" width="11.140625" style="1" customWidth="1"/>
    <col min="11759" max="11759" width="9.140625" style="1"/>
    <col min="11760" max="11760" width="4.7109375" style="1" customWidth="1"/>
    <col min="11761" max="12003" width="9.140625" style="1"/>
    <col min="12004" max="12004" width="10.42578125" style="1" customWidth="1"/>
    <col min="12005" max="12005" width="10.85546875" style="1" customWidth="1"/>
    <col min="12006" max="12006" width="11.7109375" style="1" customWidth="1"/>
    <col min="12007" max="12007" width="10.42578125" style="1" customWidth="1"/>
    <col min="12008" max="12008" width="9.7109375" style="1" customWidth="1"/>
    <col min="12009" max="12009" width="11.42578125" style="1" bestFit="1" customWidth="1"/>
    <col min="12010" max="12012" width="13.5703125" style="1" customWidth="1"/>
    <col min="12013" max="12013" width="12" style="1" customWidth="1"/>
    <col min="12014" max="12014" width="11.140625" style="1" customWidth="1"/>
    <col min="12015" max="12015" width="9.140625" style="1"/>
    <col min="12016" max="12016" width="4.7109375" style="1" customWidth="1"/>
    <col min="12017" max="12259" width="9.140625" style="1"/>
    <col min="12260" max="12260" width="10.42578125" style="1" customWidth="1"/>
    <col min="12261" max="12261" width="10.85546875" style="1" customWidth="1"/>
    <col min="12262" max="12262" width="11.7109375" style="1" customWidth="1"/>
    <col min="12263" max="12263" width="10.42578125" style="1" customWidth="1"/>
    <col min="12264" max="12264" width="9.7109375" style="1" customWidth="1"/>
    <col min="12265" max="12265" width="11.42578125" style="1" bestFit="1" customWidth="1"/>
    <col min="12266" max="12268" width="13.5703125" style="1" customWidth="1"/>
    <col min="12269" max="12269" width="12" style="1" customWidth="1"/>
    <col min="12270" max="12270" width="11.140625" style="1" customWidth="1"/>
    <col min="12271" max="12271" width="9.140625" style="1"/>
    <col min="12272" max="12272" width="4.7109375" style="1" customWidth="1"/>
    <col min="12273" max="12515" width="9.140625" style="1"/>
    <col min="12516" max="12516" width="10.42578125" style="1" customWidth="1"/>
    <col min="12517" max="12517" width="10.85546875" style="1" customWidth="1"/>
    <col min="12518" max="12518" width="11.7109375" style="1" customWidth="1"/>
    <col min="12519" max="12519" width="10.42578125" style="1" customWidth="1"/>
    <col min="12520" max="12520" width="9.7109375" style="1" customWidth="1"/>
    <col min="12521" max="12521" width="11.42578125" style="1" bestFit="1" customWidth="1"/>
    <col min="12522" max="12524" width="13.5703125" style="1" customWidth="1"/>
    <col min="12525" max="12525" width="12" style="1" customWidth="1"/>
    <col min="12526" max="12526" width="11.140625" style="1" customWidth="1"/>
    <col min="12527" max="12527" width="9.140625" style="1"/>
    <col min="12528" max="12528" width="4.7109375" style="1" customWidth="1"/>
    <col min="12529" max="12771" width="9.140625" style="1"/>
    <col min="12772" max="12772" width="10.42578125" style="1" customWidth="1"/>
    <col min="12773" max="12773" width="10.85546875" style="1" customWidth="1"/>
    <col min="12774" max="12774" width="11.7109375" style="1" customWidth="1"/>
    <col min="12775" max="12775" width="10.42578125" style="1" customWidth="1"/>
    <col min="12776" max="12776" width="9.7109375" style="1" customWidth="1"/>
    <col min="12777" max="12777" width="11.42578125" style="1" bestFit="1" customWidth="1"/>
    <col min="12778" max="12780" width="13.5703125" style="1" customWidth="1"/>
    <col min="12781" max="12781" width="12" style="1" customWidth="1"/>
    <col min="12782" max="12782" width="11.140625" style="1" customWidth="1"/>
    <col min="12783" max="12783" width="9.140625" style="1"/>
    <col min="12784" max="12784" width="4.7109375" style="1" customWidth="1"/>
    <col min="12785" max="13027" width="9.140625" style="1"/>
    <col min="13028" max="13028" width="10.42578125" style="1" customWidth="1"/>
    <col min="13029" max="13029" width="10.85546875" style="1" customWidth="1"/>
    <col min="13030" max="13030" width="11.7109375" style="1" customWidth="1"/>
    <col min="13031" max="13031" width="10.42578125" style="1" customWidth="1"/>
    <col min="13032" max="13032" width="9.7109375" style="1" customWidth="1"/>
    <col min="13033" max="13033" width="11.42578125" style="1" bestFit="1" customWidth="1"/>
    <col min="13034" max="13036" width="13.5703125" style="1" customWidth="1"/>
    <col min="13037" max="13037" width="12" style="1" customWidth="1"/>
    <col min="13038" max="13038" width="11.140625" style="1" customWidth="1"/>
    <col min="13039" max="13039" width="9.140625" style="1"/>
    <col min="13040" max="13040" width="4.7109375" style="1" customWidth="1"/>
    <col min="13041" max="13283" width="9.140625" style="1"/>
    <col min="13284" max="13284" width="10.42578125" style="1" customWidth="1"/>
    <col min="13285" max="13285" width="10.85546875" style="1" customWidth="1"/>
    <col min="13286" max="13286" width="11.7109375" style="1" customWidth="1"/>
    <col min="13287" max="13287" width="10.42578125" style="1" customWidth="1"/>
    <col min="13288" max="13288" width="9.7109375" style="1" customWidth="1"/>
    <col min="13289" max="13289" width="11.42578125" style="1" bestFit="1" customWidth="1"/>
    <col min="13290" max="13292" width="13.5703125" style="1" customWidth="1"/>
    <col min="13293" max="13293" width="12" style="1" customWidth="1"/>
    <col min="13294" max="13294" width="11.140625" style="1" customWidth="1"/>
    <col min="13295" max="13295" width="9.140625" style="1"/>
    <col min="13296" max="13296" width="4.7109375" style="1" customWidth="1"/>
    <col min="13297" max="13539" width="9.140625" style="1"/>
    <col min="13540" max="13540" width="10.42578125" style="1" customWidth="1"/>
    <col min="13541" max="13541" width="10.85546875" style="1" customWidth="1"/>
    <col min="13542" max="13542" width="11.7109375" style="1" customWidth="1"/>
    <col min="13543" max="13543" width="10.42578125" style="1" customWidth="1"/>
    <col min="13544" max="13544" width="9.7109375" style="1" customWidth="1"/>
    <col min="13545" max="13545" width="11.42578125" style="1" bestFit="1" customWidth="1"/>
    <col min="13546" max="13548" width="13.5703125" style="1" customWidth="1"/>
    <col min="13549" max="13549" width="12" style="1" customWidth="1"/>
    <col min="13550" max="13550" width="11.140625" style="1" customWidth="1"/>
    <col min="13551" max="13551" width="9.140625" style="1"/>
    <col min="13552" max="13552" width="4.7109375" style="1" customWidth="1"/>
    <col min="13553" max="13795" width="9.140625" style="1"/>
    <col min="13796" max="13796" width="10.42578125" style="1" customWidth="1"/>
    <col min="13797" max="13797" width="10.85546875" style="1" customWidth="1"/>
    <col min="13798" max="13798" width="11.7109375" style="1" customWidth="1"/>
    <col min="13799" max="13799" width="10.42578125" style="1" customWidth="1"/>
    <col min="13800" max="13800" width="9.7109375" style="1" customWidth="1"/>
    <col min="13801" max="13801" width="11.42578125" style="1" bestFit="1" customWidth="1"/>
    <col min="13802" max="13804" width="13.5703125" style="1" customWidth="1"/>
    <col min="13805" max="13805" width="12" style="1" customWidth="1"/>
    <col min="13806" max="13806" width="11.140625" style="1" customWidth="1"/>
    <col min="13807" max="13807" width="9.140625" style="1"/>
    <col min="13808" max="13808" width="4.7109375" style="1" customWidth="1"/>
    <col min="13809" max="14051" width="9.140625" style="1"/>
    <col min="14052" max="14052" width="10.42578125" style="1" customWidth="1"/>
    <col min="14053" max="14053" width="10.85546875" style="1" customWidth="1"/>
    <col min="14054" max="14054" width="11.7109375" style="1" customWidth="1"/>
    <col min="14055" max="14055" width="10.42578125" style="1" customWidth="1"/>
    <col min="14056" max="14056" width="9.7109375" style="1" customWidth="1"/>
    <col min="14057" max="14057" width="11.42578125" style="1" bestFit="1" customWidth="1"/>
    <col min="14058" max="14060" width="13.5703125" style="1" customWidth="1"/>
    <col min="14061" max="14061" width="12" style="1" customWidth="1"/>
    <col min="14062" max="14062" width="11.140625" style="1" customWidth="1"/>
    <col min="14063" max="14063" width="9.140625" style="1"/>
    <col min="14064" max="14064" width="4.7109375" style="1" customWidth="1"/>
    <col min="14065" max="14307" width="9.140625" style="1"/>
    <col min="14308" max="14308" width="10.42578125" style="1" customWidth="1"/>
    <col min="14309" max="14309" width="10.85546875" style="1" customWidth="1"/>
    <col min="14310" max="14310" width="11.7109375" style="1" customWidth="1"/>
    <col min="14311" max="14311" width="10.42578125" style="1" customWidth="1"/>
    <col min="14312" max="14312" width="9.7109375" style="1" customWidth="1"/>
    <col min="14313" max="14313" width="11.42578125" style="1" bestFit="1" customWidth="1"/>
    <col min="14314" max="14316" width="13.5703125" style="1" customWidth="1"/>
    <col min="14317" max="14317" width="12" style="1" customWidth="1"/>
    <col min="14318" max="14318" width="11.140625" style="1" customWidth="1"/>
    <col min="14319" max="14319" width="9.140625" style="1"/>
    <col min="14320" max="14320" width="4.7109375" style="1" customWidth="1"/>
    <col min="14321" max="14563" width="9.140625" style="1"/>
    <col min="14564" max="14564" width="10.42578125" style="1" customWidth="1"/>
    <col min="14565" max="14565" width="10.85546875" style="1" customWidth="1"/>
    <col min="14566" max="14566" width="11.7109375" style="1" customWidth="1"/>
    <col min="14567" max="14567" width="10.42578125" style="1" customWidth="1"/>
    <col min="14568" max="14568" width="9.7109375" style="1" customWidth="1"/>
    <col min="14569" max="14569" width="11.42578125" style="1" bestFit="1" customWidth="1"/>
    <col min="14570" max="14572" width="13.5703125" style="1" customWidth="1"/>
    <col min="14573" max="14573" width="12" style="1" customWidth="1"/>
    <col min="14574" max="14574" width="11.140625" style="1" customWidth="1"/>
    <col min="14575" max="14575" width="9.140625" style="1"/>
    <col min="14576" max="14576" width="4.7109375" style="1" customWidth="1"/>
    <col min="14577" max="14819" width="9.140625" style="1"/>
    <col min="14820" max="14820" width="10.42578125" style="1" customWidth="1"/>
    <col min="14821" max="14821" width="10.85546875" style="1" customWidth="1"/>
    <col min="14822" max="14822" width="11.7109375" style="1" customWidth="1"/>
    <col min="14823" max="14823" width="10.42578125" style="1" customWidth="1"/>
    <col min="14824" max="14824" width="9.7109375" style="1" customWidth="1"/>
    <col min="14825" max="14825" width="11.42578125" style="1" bestFit="1" customWidth="1"/>
    <col min="14826" max="14828" width="13.5703125" style="1" customWidth="1"/>
    <col min="14829" max="14829" width="12" style="1" customWidth="1"/>
    <col min="14830" max="14830" width="11.140625" style="1" customWidth="1"/>
    <col min="14831" max="14831" width="9.140625" style="1"/>
    <col min="14832" max="14832" width="4.7109375" style="1" customWidth="1"/>
    <col min="14833" max="15075" width="9.140625" style="1"/>
    <col min="15076" max="15076" width="10.42578125" style="1" customWidth="1"/>
    <col min="15077" max="15077" width="10.85546875" style="1" customWidth="1"/>
    <col min="15078" max="15078" width="11.7109375" style="1" customWidth="1"/>
    <col min="15079" max="15079" width="10.42578125" style="1" customWidth="1"/>
    <col min="15080" max="15080" width="9.7109375" style="1" customWidth="1"/>
    <col min="15081" max="15081" width="11.42578125" style="1" bestFit="1" customWidth="1"/>
    <col min="15082" max="15084" width="13.5703125" style="1" customWidth="1"/>
    <col min="15085" max="15085" width="12" style="1" customWidth="1"/>
    <col min="15086" max="15086" width="11.140625" style="1" customWidth="1"/>
    <col min="15087" max="15087" width="9.140625" style="1"/>
    <col min="15088" max="15088" width="4.7109375" style="1" customWidth="1"/>
    <col min="15089" max="15331" width="9.140625" style="1"/>
    <col min="15332" max="15332" width="10.42578125" style="1" customWidth="1"/>
    <col min="15333" max="15333" width="10.85546875" style="1" customWidth="1"/>
    <col min="15334" max="15334" width="11.7109375" style="1" customWidth="1"/>
    <col min="15335" max="15335" width="10.42578125" style="1" customWidth="1"/>
    <col min="15336" max="15336" width="9.7109375" style="1" customWidth="1"/>
    <col min="15337" max="15337" width="11.42578125" style="1" bestFit="1" customWidth="1"/>
    <col min="15338" max="15340" width="13.5703125" style="1" customWidth="1"/>
    <col min="15341" max="15341" width="12" style="1" customWidth="1"/>
    <col min="15342" max="15342" width="11.140625" style="1" customWidth="1"/>
    <col min="15343" max="15343" width="9.140625" style="1"/>
    <col min="15344" max="15344" width="4.7109375" style="1" customWidth="1"/>
    <col min="15345" max="15587" width="9.140625" style="1"/>
    <col min="15588" max="15588" width="10.42578125" style="1" customWidth="1"/>
    <col min="15589" max="15589" width="10.85546875" style="1" customWidth="1"/>
    <col min="15590" max="15590" width="11.7109375" style="1" customWidth="1"/>
    <col min="15591" max="15591" width="10.42578125" style="1" customWidth="1"/>
    <col min="15592" max="15592" width="9.7109375" style="1" customWidth="1"/>
    <col min="15593" max="15593" width="11.42578125" style="1" bestFit="1" customWidth="1"/>
    <col min="15594" max="15596" width="13.5703125" style="1" customWidth="1"/>
    <col min="15597" max="15597" width="12" style="1" customWidth="1"/>
    <col min="15598" max="15598" width="11.140625" style="1" customWidth="1"/>
    <col min="15599" max="15599" width="9.140625" style="1"/>
    <col min="15600" max="15600" width="4.7109375" style="1" customWidth="1"/>
    <col min="15601" max="15843" width="9.140625" style="1"/>
    <col min="15844" max="15844" width="10.42578125" style="1" customWidth="1"/>
    <col min="15845" max="15845" width="10.85546875" style="1" customWidth="1"/>
    <col min="15846" max="15846" width="11.7109375" style="1" customWidth="1"/>
    <col min="15847" max="15847" width="10.42578125" style="1" customWidth="1"/>
    <col min="15848" max="15848" width="9.7109375" style="1" customWidth="1"/>
    <col min="15849" max="15849" width="11.42578125" style="1" bestFit="1" customWidth="1"/>
    <col min="15850" max="15852" width="13.5703125" style="1" customWidth="1"/>
    <col min="15853" max="15853" width="12" style="1" customWidth="1"/>
    <col min="15854" max="15854" width="11.140625" style="1" customWidth="1"/>
    <col min="15855" max="15855" width="9.140625" style="1"/>
    <col min="15856" max="15856" width="4.7109375" style="1" customWidth="1"/>
    <col min="15857" max="16099" width="9.140625" style="1"/>
    <col min="16100" max="16100" width="10.42578125" style="1" customWidth="1"/>
    <col min="16101" max="16101" width="10.85546875" style="1" customWidth="1"/>
    <col min="16102" max="16102" width="11.7109375" style="1" customWidth="1"/>
    <col min="16103" max="16103" width="10.42578125" style="1" customWidth="1"/>
    <col min="16104" max="16104" width="9.7109375" style="1" customWidth="1"/>
    <col min="16105" max="16105" width="11.42578125" style="1" bestFit="1" customWidth="1"/>
    <col min="16106" max="16108" width="13.5703125" style="1" customWidth="1"/>
    <col min="16109" max="16109" width="12" style="1" customWidth="1"/>
    <col min="16110" max="16110" width="11.140625" style="1" customWidth="1"/>
    <col min="16111" max="16111" width="9.140625" style="1"/>
    <col min="16112" max="16112" width="4.7109375" style="1" customWidth="1"/>
    <col min="16113" max="16384" width="9.140625" style="1"/>
  </cols>
  <sheetData>
    <row r="1" spans="1:27" ht="38.25" customHeight="1" x14ac:dyDescent="0.2">
      <c r="A1" s="1655" t="s">
        <v>621</v>
      </c>
      <c r="B1" s="1655"/>
      <c r="C1" s="1655"/>
      <c r="D1" s="1655"/>
      <c r="E1" s="1655"/>
      <c r="F1" s="1655"/>
      <c r="G1" s="1655"/>
      <c r="H1" s="1655"/>
      <c r="I1" s="1655"/>
      <c r="J1" s="1655"/>
      <c r="K1" s="1655"/>
      <c r="L1" s="1655"/>
    </row>
    <row r="2" spans="1:27" ht="15" x14ac:dyDescent="0.25">
      <c r="M2" s="253" t="s">
        <v>0</v>
      </c>
    </row>
    <row r="3" spans="1:27" x14ac:dyDescent="0.2">
      <c r="A3" s="1679" t="s">
        <v>4</v>
      </c>
      <c r="B3" s="1661" t="s">
        <v>352</v>
      </c>
      <c r="C3" s="1677"/>
      <c r="D3" s="1677"/>
      <c r="E3" s="1677"/>
      <c r="F3" s="1677"/>
      <c r="G3" s="1677"/>
      <c r="H3" s="1636"/>
      <c r="I3" s="1636"/>
      <c r="J3" s="1636"/>
      <c r="K3" s="1636"/>
      <c r="L3" s="1681"/>
      <c r="M3" s="1682" t="s">
        <v>90</v>
      </c>
    </row>
    <row r="4" spans="1:27" ht="13.5" customHeight="1" x14ac:dyDescent="0.2">
      <c r="A4" s="1686"/>
      <c r="B4" s="1661" t="s">
        <v>8</v>
      </c>
      <c r="C4" s="1677"/>
      <c r="D4" s="1677"/>
      <c r="E4" s="1677"/>
      <c r="F4" s="1677"/>
      <c r="G4" s="1662"/>
      <c r="H4" s="1661" t="s">
        <v>7</v>
      </c>
      <c r="I4" s="1677"/>
      <c r="J4" s="1677"/>
      <c r="K4" s="1677"/>
      <c r="L4" s="1662"/>
      <c r="M4" s="1683"/>
      <c r="N4" s="3"/>
    </row>
    <row r="5" spans="1:27" ht="51" x14ac:dyDescent="0.2">
      <c r="A5" s="1686"/>
      <c r="B5" s="1171" t="s">
        <v>999</v>
      </c>
      <c r="C5" s="1172" t="s">
        <v>1000</v>
      </c>
      <c r="D5" s="1172" t="s">
        <v>1001</v>
      </c>
      <c r="E5" s="1172" t="s">
        <v>84</v>
      </c>
      <c r="F5" s="1172" t="s">
        <v>1002</v>
      </c>
      <c r="G5" s="1172" t="s">
        <v>93</v>
      </c>
      <c r="H5" s="1172" t="s">
        <v>85</v>
      </c>
      <c r="I5" s="1172" t="s">
        <v>86</v>
      </c>
      <c r="J5" s="1172" t="s">
        <v>87</v>
      </c>
      <c r="K5" s="1172" t="s">
        <v>88</v>
      </c>
      <c r="L5" s="1207" t="s">
        <v>89</v>
      </c>
      <c r="M5" s="1684"/>
      <c r="N5" s="65"/>
      <c r="O5"/>
      <c r="P5"/>
      <c r="Q5"/>
      <c r="R5"/>
      <c r="S5"/>
      <c r="T5"/>
      <c r="U5"/>
      <c r="V5"/>
      <c r="W5"/>
      <c r="X5"/>
      <c r="Y5"/>
      <c r="Z5"/>
      <c r="AA5"/>
    </row>
    <row r="6" spans="1:27" ht="18.75" customHeight="1" x14ac:dyDescent="0.2">
      <c r="A6" s="1017" t="s">
        <v>16</v>
      </c>
      <c r="B6" s="221"/>
      <c r="C6" s="221"/>
      <c r="D6" s="221"/>
      <c r="E6" s="221"/>
      <c r="F6" s="33">
        <v>37</v>
      </c>
      <c r="G6" s="222"/>
      <c r="H6" s="220"/>
      <c r="I6" s="221"/>
      <c r="J6" s="221"/>
      <c r="K6" s="222"/>
      <c r="L6" s="44">
        <v>3064</v>
      </c>
      <c r="M6" s="800">
        <v>4030</v>
      </c>
      <c r="N6" s="34"/>
      <c r="O6" s="776"/>
      <c r="P6"/>
      <c r="Q6"/>
      <c r="R6"/>
      <c r="S6"/>
      <c r="T6"/>
      <c r="U6"/>
      <c r="V6"/>
      <c r="W6"/>
      <c r="X6"/>
      <c r="Y6"/>
      <c r="Z6"/>
      <c r="AA6"/>
    </row>
    <row r="7" spans="1:27" ht="13.5" customHeight="1" x14ac:dyDescent="0.2">
      <c r="A7" s="30" t="s">
        <v>18</v>
      </c>
      <c r="B7" s="221"/>
      <c r="C7" s="221"/>
      <c r="D7" s="221"/>
      <c r="E7" s="221"/>
      <c r="F7" s="33">
        <v>33</v>
      </c>
      <c r="G7" s="222"/>
      <c r="H7" s="220"/>
      <c r="I7" s="221"/>
      <c r="J7" s="221"/>
      <c r="K7" s="222"/>
      <c r="L7" s="44">
        <v>2931</v>
      </c>
      <c r="M7" s="800">
        <v>3839</v>
      </c>
      <c r="N7" s="34"/>
      <c r="O7" s="776"/>
      <c r="P7"/>
      <c r="Q7"/>
      <c r="R7"/>
      <c r="S7"/>
      <c r="T7"/>
      <c r="U7"/>
      <c r="V7"/>
      <c r="W7"/>
      <c r="X7"/>
      <c r="Y7"/>
      <c r="Z7"/>
      <c r="AA7"/>
    </row>
    <row r="8" spans="1:27" ht="13.5" customHeight="1" x14ac:dyDescent="0.2">
      <c r="A8" s="30" t="s">
        <v>19</v>
      </c>
      <c r="B8" s="41">
        <v>716</v>
      </c>
      <c r="C8" s="41">
        <v>208</v>
      </c>
      <c r="D8" s="41">
        <v>143</v>
      </c>
      <c r="E8" s="41">
        <v>336</v>
      </c>
      <c r="F8" s="33">
        <v>28</v>
      </c>
      <c r="G8" s="37">
        <v>14</v>
      </c>
      <c r="H8" s="36">
        <v>1588</v>
      </c>
      <c r="I8" s="41">
        <v>402</v>
      </c>
      <c r="J8" s="41">
        <v>843</v>
      </c>
      <c r="K8" s="37">
        <v>159</v>
      </c>
      <c r="L8" s="44">
        <f>SUM(H8:K8)</f>
        <v>2992</v>
      </c>
      <c r="M8" s="9">
        <f t="shared" ref="M8:M15" si="0">SUM(B8:K8)</f>
        <v>4437</v>
      </c>
      <c r="N8" s="34"/>
      <c r="O8" s="776"/>
    </row>
    <row r="9" spans="1:27" ht="13.5" customHeight="1" x14ac:dyDescent="0.2">
      <c r="A9" s="30" t="s">
        <v>20</v>
      </c>
      <c r="B9" s="41">
        <v>676</v>
      </c>
      <c r="C9" s="41">
        <v>179</v>
      </c>
      <c r="D9" s="41">
        <v>140</v>
      </c>
      <c r="E9" s="41">
        <v>320</v>
      </c>
      <c r="F9" s="33">
        <v>39</v>
      </c>
      <c r="G9" s="37">
        <v>18</v>
      </c>
      <c r="H9" s="36">
        <v>1433</v>
      </c>
      <c r="I9" s="41">
        <v>338</v>
      </c>
      <c r="J9" s="41">
        <v>778</v>
      </c>
      <c r="K9" s="37">
        <v>139</v>
      </c>
      <c r="L9" s="44">
        <f t="shared" ref="L9:L15" si="1">SUM(H9:K9)</f>
        <v>2688</v>
      </c>
      <c r="M9" s="9">
        <f t="shared" si="0"/>
        <v>4060</v>
      </c>
      <c r="N9" s="34"/>
      <c r="O9" s="776"/>
    </row>
    <row r="10" spans="1:27" ht="13.5" customHeight="1" x14ac:dyDescent="0.2">
      <c r="A10" s="30" t="s">
        <v>13</v>
      </c>
      <c r="B10" s="41">
        <v>577</v>
      </c>
      <c r="C10" s="41">
        <v>173</v>
      </c>
      <c r="D10" s="41">
        <v>157</v>
      </c>
      <c r="E10" s="41">
        <v>220</v>
      </c>
      <c r="F10" s="33">
        <v>26</v>
      </c>
      <c r="G10" s="37">
        <v>22</v>
      </c>
      <c r="H10" s="36">
        <v>1243</v>
      </c>
      <c r="I10" s="41">
        <v>281</v>
      </c>
      <c r="J10" s="41">
        <v>724</v>
      </c>
      <c r="K10" s="37">
        <v>114</v>
      </c>
      <c r="L10" s="44">
        <f t="shared" si="1"/>
        <v>2362</v>
      </c>
      <c r="M10" s="9">
        <f t="shared" si="0"/>
        <v>3537</v>
      </c>
      <c r="N10" s="34"/>
      <c r="O10" s="776"/>
    </row>
    <row r="11" spans="1:27" ht="13.5" customHeight="1" x14ac:dyDescent="0.2">
      <c r="A11" s="30" t="s">
        <v>15</v>
      </c>
      <c r="B11" s="41">
        <v>402</v>
      </c>
      <c r="C11" s="41">
        <v>157</v>
      </c>
      <c r="D11" s="41">
        <v>78</v>
      </c>
      <c r="E11" s="41">
        <v>129</v>
      </c>
      <c r="F11" s="33">
        <v>34</v>
      </c>
      <c r="G11" s="37">
        <v>14</v>
      </c>
      <c r="H11" s="36">
        <v>1150</v>
      </c>
      <c r="I11" s="41">
        <v>177</v>
      </c>
      <c r="J11" s="41">
        <v>613</v>
      </c>
      <c r="K11" s="37">
        <v>94</v>
      </c>
      <c r="L11" s="44">
        <f t="shared" si="1"/>
        <v>2034</v>
      </c>
      <c r="M11" s="9">
        <f t="shared" si="0"/>
        <v>2848</v>
      </c>
      <c r="N11" s="34"/>
      <c r="O11" s="776"/>
    </row>
    <row r="12" spans="1:27" ht="13.5" customHeight="1" x14ac:dyDescent="0.2">
      <c r="A12" s="30" t="s">
        <v>17</v>
      </c>
      <c r="B12" s="41">
        <v>370</v>
      </c>
      <c r="C12" s="41">
        <v>164</v>
      </c>
      <c r="D12" s="41">
        <v>104</v>
      </c>
      <c r="E12" s="41">
        <v>236</v>
      </c>
      <c r="F12" s="33">
        <v>31</v>
      </c>
      <c r="G12" s="37">
        <v>9</v>
      </c>
      <c r="H12" s="36">
        <v>980</v>
      </c>
      <c r="I12" s="41">
        <v>173</v>
      </c>
      <c r="J12" s="41">
        <v>646</v>
      </c>
      <c r="K12" s="37">
        <v>139</v>
      </c>
      <c r="L12" s="44">
        <f t="shared" si="1"/>
        <v>1938</v>
      </c>
      <c r="M12" s="9">
        <f t="shared" si="0"/>
        <v>2852</v>
      </c>
      <c r="N12" s="34"/>
      <c r="O12" s="776"/>
    </row>
    <row r="13" spans="1:27" ht="13.5" customHeight="1" x14ac:dyDescent="0.2">
      <c r="A13" s="30" t="s">
        <v>147</v>
      </c>
      <c r="B13" s="41">
        <v>342</v>
      </c>
      <c r="C13" s="41">
        <v>182</v>
      </c>
      <c r="D13" s="41">
        <v>108</v>
      </c>
      <c r="E13" s="41">
        <v>175</v>
      </c>
      <c r="F13" s="33">
        <v>19</v>
      </c>
      <c r="G13" s="37">
        <v>12</v>
      </c>
      <c r="H13" s="36">
        <v>954</v>
      </c>
      <c r="I13" s="41">
        <v>207</v>
      </c>
      <c r="J13" s="41">
        <v>587</v>
      </c>
      <c r="K13" s="43">
        <v>149</v>
      </c>
      <c r="L13" s="44">
        <f t="shared" si="1"/>
        <v>1897</v>
      </c>
      <c r="M13" s="9">
        <f t="shared" si="0"/>
        <v>2735</v>
      </c>
      <c r="N13" s="34"/>
      <c r="O13" s="776"/>
    </row>
    <row r="14" spans="1:27" ht="13.5" customHeight="1" x14ac:dyDescent="0.2">
      <c r="A14" s="30" t="s">
        <v>160</v>
      </c>
      <c r="B14" s="1">
        <f>'T09'!D5</f>
        <v>329</v>
      </c>
      <c r="C14" s="1">
        <f>'T09'!E5</f>
        <v>155</v>
      </c>
      <c r="D14" s="1">
        <f>'T09'!F5</f>
        <v>118</v>
      </c>
      <c r="E14" s="1">
        <f>'T09'!G5</f>
        <v>227</v>
      </c>
      <c r="F14" s="1">
        <f>'T09'!H5</f>
        <v>31</v>
      </c>
      <c r="G14" s="151">
        <f>'T09'!I5</f>
        <v>14</v>
      </c>
      <c r="H14" s="14">
        <f>'T09'!J5</f>
        <v>1009</v>
      </c>
      <c r="I14" s="1">
        <f>'T09'!K5</f>
        <v>217</v>
      </c>
      <c r="J14" s="1">
        <f>'T09'!L5</f>
        <v>619</v>
      </c>
      <c r="K14" s="151">
        <f>'T09'!M5</f>
        <v>120</v>
      </c>
      <c r="L14" s="44">
        <f t="shared" si="1"/>
        <v>1965</v>
      </c>
      <c r="M14" s="9">
        <f t="shared" si="0"/>
        <v>2839</v>
      </c>
      <c r="O14" s="776"/>
    </row>
    <row r="15" spans="1:27" ht="13.5" customHeight="1" x14ac:dyDescent="0.2">
      <c r="A15" s="30" t="s">
        <v>379</v>
      </c>
      <c r="B15" s="1">
        <f>'T09'!D6</f>
        <v>365</v>
      </c>
      <c r="C15" s="1">
        <f>'T09'!E6</f>
        <v>159</v>
      </c>
      <c r="D15" s="1">
        <f>'T09'!F6</f>
        <v>115</v>
      </c>
      <c r="E15" s="1">
        <f>'T09'!G6</f>
        <v>279</v>
      </c>
      <c r="F15" s="1">
        <f>'T09'!H6</f>
        <v>28</v>
      </c>
      <c r="G15" s="151">
        <f>'T09'!I6</f>
        <v>12</v>
      </c>
      <c r="H15" s="14">
        <f>'T09'!J6</f>
        <v>1064</v>
      </c>
      <c r="I15" s="1">
        <f>'T09'!K6</f>
        <v>318</v>
      </c>
      <c r="J15" s="1">
        <f>'T09'!L6</f>
        <v>600</v>
      </c>
      <c r="K15" s="151">
        <f>'T09'!M6</f>
        <v>137</v>
      </c>
      <c r="L15" s="44">
        <f t="shared" si="1"/>
        <v>2119</v>
      </c>
      <c r="M15" s="9">
        <f t="shared" si="0"/>
        <v>3077</v>
      </c>
      <c r="N15" s="1" t="s">
        <v>145</v>
      </c>
      <c r="O15" s="776"/>
    </row>
    <row r="16" spans="1:27" ht="13.5" customHeight="1" x14ac:dyDescent="0.2">
      <c r="A16" s="1261" t="s">
        <v>603</v>
      </c>
      <c r="B16" s="90">
        <f>'T09'!D7</f>
        <v>333</v>
      </c>
      <c r="C16" s="90">
        <f>'T09'!E7</f>
        <v>165</v>
      </c>
      <c r="D16" s="90">
        <f>'T09'!F7</f>
        <v>100</v>
      </c>
      <c r="E16" s="90">
        <f>'T09'!G7</f>
        <v>421</v>
      </c>
      <c r="F16" s="90">
        <f>'T09'!H7</f>
        <v>28</v>
      </c>
      <c r="G16" s="91">
        <f>'T09'!I7</f>
        <v>8</v>
      </c>
      <c r="H16" s="50">
        <f>'T09'!J7</f>
        <v>1067</v>
      </c>
      <c r="I16" s="90">
        <f>'T09'!K7</f>
        <v>252</v>
      </c>
      <c r="J16" s="90">
        <f>'T09'!L7</f>
        <v>571</v>
      </c>
      <c r="K16" s="91">
        <f>'T09'!M7</f>
        <v>118</v>
      </c>
      <c r="L16" s="45">
        <f t="shared" ref="L16" si="2">SUM(H16:K16)</f>
        <v>2008</v>
      </c>
      <c r="M16" s="12">
        <f>SUM(B16:K16)</f>
        <v>3063</v>
      </c>
      <c r="N16" s="1" t="s">
        <v>143</v>
      </c>
      <c r="O16" s="776"/>
    </row>
    <row r="17" spans="1:14" x14ac:dyDescent="0.2">
      <c r="A17" s="68"/>
    </row>
    <row r="18" spans="1:14" ht="15" x14ac:dyDescent="0.25">
      <c r="H18" s="7"/>
      <c r="L18" s="253" t="s">
        <v>0</v>
      </c>
    </row>
    <row r="19" spans="1:14" x14ac:dyDescent="0.2">
      <c r="A19" s="1679" t="s">
        <v>4</v>
      </c>
      <c r="B19" s="1661" t="s">
        <v>353</v>
      </c>
      <c r="C19" s="1677"/>
      <c r="D19" s="1677"/>
      <c r="E19" s="1677"/>
      <c r="F19" s="1677"/>
      <c r="G19" s="1677"/>
      <c r="H19" s="1677"/>
      <c r="I19" s="1677"/>
      <c r="J19" s="1677"/>
      <c r="K19" s="1662"/>
      <c r="L19" s="1682" t="s">
        <v>94</v>
      </c>
    </row>
    <row r="20" spans="1:14" ht="16.5" customHeight="1" x14ac:dyDescent="0.2">
      <c r="A20" s="1686"/>
      <c r="B20" s="1661" t="s">
        <v>8</v>
      </c>
      <c r="C20" s="1677"/>
      <c r="D20" s="1677"/>
      <c r="E20" s="1677"/>
      <c r="F20" s="1677"/>
      <c r="G20" s="1662"/>
      <c r="H20" s="1661" t="s">
        <v>117</v>
      </c>
      <c r="I20" s="1677"/>
      <c r="J20" s="1677"/>
      <c r="K20" s="1662"/>
      <c r="L20" s="1683"/>
    </row>
    <row r="21" spans="1:14" ht="63" customHeight="1" x14ac:dyDescent="0.2">
      <c r="A21" s="1680"/>
      <c r="B21" s="1171" t="s">
        <v>1003</v>
      </c>
      <c r="C21" s="1172" t="s">
        <v>91</v>
      </c>
      <c r="D21" s="1172" t="s">
        <v>1004</v>
      </c>
      <c r="E21" s="1172" t="s">
        <v>92</v>
      </c>
      <c r="F21" s="1172" t="s">
        <v>97</v>
      </c>
      <c r="G21" s="1172" t="s">
        <v>93</v>
      </c>
      <c r="H21" s="1172" t="s">
        <v>1005</v>
      </c>
      <c r="I21" s="1172" t="s">
        <v>1006</v>
      </c>
      <c r="J21" s="1172" t="s">
        <v>1007</v>
      </c>
      <c r="K21" s="1207" t="s">
        <v>170</v>
      </c>
      <c r="L21" s="1684"/>
    </row>
    <row r="22" spans="1:14" ht="18.75" customHeight="1" x14ac:dyDescent="0.2">
      <c r="A22" s="1017" t="s">
        <v>16</v>
      </c>
      <c r="B22" s="27">
        <v>942</v>
      </c>
      <c r="C22" s="223"/>
      <c r="D22" s="28">
        <v>1499</v>
      </c>
      <c r="E22" s="223"/>
      <c r="F22" s="28">
        <v>291</v>
      </c>
      <c r="G22" s="224"/>
      <c r="H22" s="225"/>
      <c r="I22" s="223"/>
      <c r="J22" s="224"/>
      <c r="K22" s="226"/>
      <c r="L22" s="799">
        <v>30385</v>
      </c>
      <c r="M22" s="59"/>
    </row>
    <row r="23" spans="1:14" ht="13.5" customHeight="1" x14ac:dyDescent="0.2">
      <c r="A23" s="30" t="s">
        <v>18</v>
      </c>
      <c r="B23" s="27">
        <v>932</v>
      </c>
      <c r="C23" s="223"/>
      <c r="D23" s="28">
        <v>67</v>
      </c>
      <c r="E23" s="223"/>
      <c r="F23" s="28">
        <v>218</v>
      </c>
      <c r="G23" s="224"/>
      <c r="H23" s="225"/>
      <c r="I23" s="223"/>
      <c r="J23" s="224"/>
      <c r="K23" s="226"/>
      <c r="L23" s="799">
        <v>25651</v>
      </c>
      <c r="M23" s="59"/>
    </row>
    <row r="24" spans="1:14" ht="13.5" customHeight="1" x14ac:dyDescent="0.2">
      <c r="A24" s="30" t="s">
        <v>19</v>
      </c>
      <c r="B24" s="1">
        <v>706</v>
      </c>
      <c r="C24" s="28">
        <v>6971</v>
      </c>
      <c r="D24" s="1">
        <v>198</v>
      </c>
      <c r="E24" s="28">
        <v>368</v>
      </c>
      <c r="F24" s="1">
        <v>179</v>
      </c>
      <c r="G24" s="35">
        <v>2735</v>
      </c>
      <c r="H24" s="27">
        <v>4401</v>
      </c>
      <c r="I24" s="28">
        <v>875</v>
      </c>
      <c r="J24" s="35">
        <v>6548</v>
      </c>
      <c r="K24" s="44">
        <f t="shared" ref="K24:K31" si="3">SUM(H24:J24)</f>
        <v>11824</v>
      </c>
      <c r="L24" s="29">
        <f t="shared" ref="L24:L31" si="4">SUM(B24:J24)</f>
        <v>22981</v>
      </c>
      <c r="M24" s="59"/>
    </row>
    <row r="25" spans="1:14" ht="13.5" customHeight="1" x14ac:dyDescent="0.2">
      <c r="A25" s="30" t="s">
        <v>20</v>
      </c>
      <c r="B25" s="27">
        <v>738</v>
      </c>
      <c r="C25" s="28">
        <v>8619</v>
      </c>
      <c r="D25" s="28">
        <v>127</v>
      </c>
      <c r="E25" s="28">
        <v>438</v>
      </c>
      <c r="F25" s="28">
        <v>159</v>
      </c>
      <c r="G25" s="35">
        <v>3056</v>
      </c>
      <c r="H25" s="27">
        <v>4660</v>
      </c>
      <c r="I25" s="28">
        <v>879</v>
      </c>
      <c r="J25" s="109">
        <v>5531</v>
      </c>
      <c r="K25" s="44">
        <f t="shared" si="3"/>
        <v>11070</v>
      </c>
      <c r="L25" s="29">
        <f t="shared" si="4"/>
        <v>24207</v>
      </c>
      <c r="M25" s="7"/>
    </row>
    <row r="26" spans="1:14" ht="13.5" customHeight="1" x14ac:dyDescent="0.2">
      <c r="A26" s="30" t="s">
        <v>13</v>
      </c>
      <c r="B26" s="27">
        <v>642</v>
      </c>
      <c r="C26" s="28">
        <v>5217</v>
      </c>
      <c r="D26" s="28">
        <v>120</v>
      </c>
      <c r="E26" s="28">
        <v>392</v>
      </c>
      <c r="F26" s="28">
        <v>101</v>
      </c>
      <c r="G26" s="35">
        <v>2282</v>
      </c>
      <c r="H26" s="27">
        <v>4473</v>
      </c>
      <c r="I26" s="28">
        <v>705</v>
      </c>
      <c r="J26" s="109">
        <v>4749</v>
      </c>
      <c r="K26" s="44">
        <f t="shared" si="3"/>
        <v>9927</v>
      </c>
      <c r="L26" s="29">
        <f t="shared" si="4"/>
        <v>18681</v>
      </c>
      <c r="M26" s="7"/>
    </row>
    <row r="27" spans="1:14" ht="13.5" customHeight="1" x14ac:dyDescent="0.2">
      <c r="A27" s="30" t="s">
        <v>15</v>
      </c>
      <c r="B27" s="27">
        <v>483</v>
      </c>
      <c r="C27" s="28">
        <v>3478</v>
      </c>
      <c r="D27" s="28">
        <v>61</v>
      </c>
      <c r="E27" s="28">
        <v>336</v>
      </c>
      <c r="F27" s="28">
        <v>69</v>
      </c>
      <c r="G27" s="35">
        <v>1905</v>
      </c>
      <c r="H27" s="27">
        <v>3722</v>
      </c>
      <c r="I27" s="28">
        <v>625</v>
      </c>
      <c r="J27" s="109">
        <v>3599</v>
      </c>
      <c r="K27" s="44">
        <f t="shared" si="3"/>
        <v>7946</v>
      </c>
      <c r="L27" s="29">
        <f t="shared" si="4"/>
        <v>14278</v>
      </c>
      <c r="M27" s="7"/>
    </row>
    <row r="28" spans="1:14" ht="13.5" customHeight="1" x14ac:dyDescent="0.2">
      <c r="A28" s="30" t="s">
        <v>17</v>
      </c>
      <c r="B28" s="27">
        <v>378</v>
      </c>
      <c r="C28" s="28">
        <v>6087</v>
      </c>
      <c r="D28" s="28">
        <v>68</v>
      </c>
      <c r="E28" s="28">
        <v>375</v>
      </c>
      <c r="F28" s="28">
        <v>81</v>
      </c>
      <c r="G28" s="35">
        <v>1816</v>
      </c>
      <c r="H28" s="27">
        <v>3462</v>
      </c>
      <c r="I28" s="28">
        <v>648</v>
      </c>
      <c r="J28" s="109">
        <v>3445</v>
      </c>
      <c r="K28" s="44">
        <f t="shared" si="3"/>
        <v>7555</v>
      </c>
      <c r="L28" s="29">
        <f t="shared" si="4"/>
        <v>16360</v>
      </c>
      <c r="M28" s="7"/>
      <c r="N28" s="24"/>
    </row>
    <row r="29" spans="1:14" ht="13.5" customHeight="1" x14ac:dyDescent="0.2">
      <c r="A29" s="30" t="s">
        <v>147</v>
      </c>
      <c r="B29" s="27">
        <v>343</v>
      </c>
      <c r="C29" s="28">
        <v>3763</v>
      </c>
      <c r="D29" s="28">
        <v>78</v>
      </c>
      <c r="E29" s="28">
        <v>321</v>
      </c>
      <c r="F29" s="28">
        <v>56</v>
      </c>
      <c r="G29" s="35">
        <v>1703</v>
      </c>
      <c r="H29" s="27">
        <v>3425</v>
      </c>
      <c r="I29" s="28">
        <v>516</v>
      </c>
      <c r="J29" s="109">
        <v>3201</v>
      </c>
      <c r="K29" s="44">
        <f t="shared" si="3"/>
        <v>7142</v>
      </c>
      <c r="L29" s="29">
        <f t="shared" si="4"/>
        <v>13406</v>
      </c>
      <c r="M29" s="7"/>
    </row>
    <row r="30" spans="1:14" ht="13.5" customHeight="1" x14ac:dyDescent="0.2">
      <c r="A30" s="30" t="s">
        <v>160</v>
      </c>
      <c r="B30" s="27">
        <f>'T09'!C11</f>
        <v>368</v>
      </c>
      <c r="C30" s="28">
        <f>'T09'!D11</f>
        <v>4566</v>
      </c>
      <c r="D30" s="28">
        <f>'T09'!E11</f>
        <v>71</v>
      </c>
      <c r="E30" s="28">
        <f>'T09'!F11</f>
        <v>334</v>
      </c>
      <c r="F30" s="28">
        <f>'T09'!G11</f>
        <v>65</v>
      </c>
      <c r="G30" s="35">
        <f>'T09'!H11</f>
        <v>1894</v>
      </c>
      <c r="H30" s="27">
        <f>'T09'!I11</f>
        <v>3671</v>
      </c>
      <c r="I30" s="28">
        <f>'T09'!J11</f>
        <v>588</v>
      </c>
      <c r="J30" s="109">
        <f>'T09'!K11</f>
        <v>3175</v>
      </c>
      <c r="K30" s="44">
        <f t="shared" si="3"/>
        <v>7434</v>
      </c>
      <c r="L30" s="29">
        <f t="shared" si="4"/>
        <v>14732</v>
      </c>
      <c r="M30" s="7"/>
    </row>
    <row r="31" spans="1:14" ht="13.5" customHeight="1" x14ac:dyDescent="0.2">
      <c r="A31" s="30" t="s">
        <v>379</v>
      </c>
      <c r="B31" s="27">
        <f>'T09'!C12</f>
        <v>304</v>
      </c>
      <c r="C31" s="28">
        <f>'T09'!D12</f>
        <v>4923</v>
      </c>
      <c r="D31" s="28">
        <f>'T09'!E12</f>
        <v>60</v>
      </c>
      <c r="E31" s="28">
        <f>'T09'!F12</f>
        <v>353</v>
      </c>
      <c r="F31" s="28">
        <f>'T09'!G12</f>
        <v>62</v>
      </c>
      <c r="G31" s="35">
        <f>'T09'!H12</f>
        <v>2021</v>
      </c>
      <c r="H31" s="27">
        <f>'T09'!I12</f>
        <v>3903</v>
      </c>
      <c r="I31" s="28">
        <f>'T09'!J12</f>
        <v>556</v>
      </c>
      <c r="J31" s="109">
        <f>'T09'!K12</f>
        <v>3475</v>
      </c>
      <c r="K31" s="44">
        <f t="shared" si="3"/>
        <v>7934</v>
      </c>
      <c r="L31" s="29">
        <f t="shared" si="4"/>
        <v>15657</v>
      </c>
      <c r="M31" s="7" t="s">
        <v>145</v>
      </c>
    </row>
    <row r="32" spans="1:14" ht="13.5" customHeight="1" x14ac:dyDescent="0.2">
      <c r="A32" s="1035" t="s">
        <v>603</v>
      </c>
      <c r="B32" s="47">
        <f>'T09'!C13</f>
        <v>304</v>
      </c>
      <c r="C32" s="48">
        <f>'T09'!D13</f>
        <v>5063</v>
      </c>
      <c r="D32" s="48">
        <f>'T09'!E13</f>
        <v>69</v>
      </c>
      <c r="E32" s="48">
        <f>'T09'!F13</f>
        <v>393</v>
      </c>
      <c r="F32" s="48">
        <f>'T09'!G13</f>
        <v>60</v>
      </c>
      <c r="G32" s="49">
        <f>'T09'!H13</f>
        <v>1921</v>
      </c>
      <c r="H32" s="47">
        <f>'T09'!I13</f>
        <v>3440</v>
      </c>
      <c r="I32" s="48">
        <f>'T09'!J13</f>
        <v>504</v>
      </c>
      <c r="J32" s="110">
        <f>'T09'!K13</f>
        <v>2944</v>
      </c>
      <c r="K32" s="45">
        <f>SUM(H32:J32)</f>
        <v>6888</v>
      </c>
      <c r="L32" s="31">
        <f>SUM(B32:J32)</f>
        <v>14698</v>
      </c>
      <c r="M32" s="7" t="s">
        <v>143</v>
      </c>
    </row>
    <row r="33" spans="1:16" x14ac:dyDescent="0.2">
      <c r="A33" s="68"/>
      <c r="B33" s="28"/>
      <c r="C33" s="28"/>
      <c r="D33" s="28"/>
      <c r="E33" s="28"/>
      <c r="F33" s="28"/>
      <c r="G33" s="28"/>
      <c r="H33" s="28"/>
      <c r="I33" s="28"/>
      <c r="J33" s="112"/>
      <c r="K33" s="63"/>
      <c r="L33" s="55"/>
    </row>
    <row r="34" spans="1:16" x14ac:dyDescent="0.2">
      <c r="A34" s="13" t="s">
        <v>162</v>
      </c>
      <c r="H34" s="7"/>
    </row>
    <row r="35" spans="1:16" x14ac:dyDescent="0.2">
      <c r="A35" s="122" t="s">
        <v>1008</v>
      </c>
      <c r="B35" s="71"/>
      <c r="C35" s="71"/>
      <c r="D35" s="71"/>
      <c r="E35" s="71"/>
      <c r="F35" s="71"/>
      <c r="L35" s="111"/>
    </row>
    <row r="36" spans="1:16" x14ac:dyDescent="0.2">
      <c r="A36" s="71" t="s">
        <v>971</v>
      </c>
      <c r="B36" s="71"/>
      <c r="C36" s="71"/>
      <c r="D36" s="71"/>
      <c r="E36" s="71"/>
      <c r="F36" s="71"/>
      <c r="K36" s="7"/>
      <c r="L36" s="384"/>
    </row>
    <row r="37" spans="1:16" ht="25.5" customHeight="1" x14ac:dyDescent="0.2">
      <c r="A37" s="1678" t="s">
        <v>1009</v>
      </c>
      <c r="B37" s="1678"/>
      <c r="C37" s="1678"/>
      <c r="D37" s="1678"/>
      <c r="E37" s="1678"/>
      <c r="F37" s="1678"/>
      <c r="G37" s="1678"/>
      <c r="H37" s="1678"/>
      <c r="I37" s="1678"/>
      <c r="J37" s="1678"/>
      <c r="K37" s="1678"/>
      <c r="L37" s="1678"/>
      <c r="M37" s="1678"/>
      <c r="N37" s="1678"/>
      <c r="O37" s="1678"/>
      <c r="P37" s="1678"/>
    </row>
    <row r="38" spans="1:16" x14ac:dyDescent="0.2">
      <c r="A38" s="1685" t="s">
        <v>998</v>
      </c>
      <c r="B38" s="1685"/>
      <c r="C38" s="1685"/>
      <c r="D38" s="1685"/>
      <c r="E38" s="1685"/>
      <c r="F38" s="1685"/>
      <c r="G38" s="1685"/>
      <c r="H38" s="1685"/>
      <c r="I38" s="1685"/>
      <c r="J38" s="1685"/>
    </row>
    <row r="39" spans="1:16" x14ac:dyDescent="0.2">
      <c r="A39"/>
      <c r="B39"/>
    </row>
    <row r="40" spans="1:16" x14ac:dyDescent="0.2">
      <c r="A40" s="51" t="s">
        <v>136</v>
      </c>
    </row>
  </sheetData>
  <sheetProtection algorithmName="SHA-512" hashValue="bv+4SLKbbPGMG1Lpje/BxoknRFLXNA06Cy33emwBF5Qph1P5NjMkf49U/Mr9PP8vvcMeOsjyXVHkfyD44IxrGw==" saltValue="opvymnk8axdsqNvP26HPjA==" spinCount="100000" sheet="1" objects="1" scenarios="1"/>
  <mergeCells count="13">
    <mergeCell ref="M3:M5"/>
    <mergeCell ref="L19:L21"/>
    <mergeCell ref="A38:J38"/>
    <mergeCell ref="H20:K20"/>
    <mergeCell ref="B20:G20"/>
    <mergeCell ref="A3:A5"/>
    <mergeCell ref="A19:A21"/>
    <mergeCell ref="A37:P37"/>
    <mergeCell ref="A1:L1"/>
    <mergeCell ref="B3:L3"/>
    <mergeCell ref="B4:G4"/>
    <mergeCell ref="H4:L4"/>
    <mergeCell ref="B19:K19"/>
  </mergeCells>
  <hyperlinks>
    <hyperlink ref="A40" location="Contents!A1" display="Return to contents " xr:uid="{00000000-0004-0000-2A00-000000000000}"/>
  </hyperlinks>
  <pageMargins left="0.70866141732283472" right="0.70866141732283472" top="0.74803149606299213" bottom="0.74803149606299213" header="0.31496062992125984" footer="0.31496062992125984"/>
  <pageSetup paperSize="9" scale="75" orientation="landscape" r:id="rId1"/>
  <headerFooter>
    <oddFooter>&amp;L&amp;P&amp;C&amp;A</oddFooter>
  </headerFooter>
  <ignoredErrors>
    <ignoredError sqref="L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8">
    <tabColor theme="4"/>
    <pageSetUpPr fitToPage="1"/>
  </sheetPr>
  <dimension ref="A1:O44"/>
  <sheetViews>
    <sheetView showGridLines="0" zoomScaleNormal="100" workbookViewId="0">
      <pane ySplit="1" topLeftCell="A2" activePane="bottomLeft" state="frozen"/>
      <selection activeCell="M9" sqref="M9"/>
      <selection pane="bottomLeft" sqref="A1:O1"/>
    </sheetView>
  </sheetViews>
  <sheetFormatPr defaultRowHeight="12.75" x14ac:dyDescent="0.2"/>
  <cols>
    <col min="1" max="1" width="23.42578125" style="1" customWidth="1"/>
    <col min="2" max="2" width="10.140625" style="1" customWidth="1"/>
    <col min="3" max="3" width="11" style="1" customWidth="1"/>
    <col min="4" max="4" width="10.7109375" style="1" customWidth="1"/>
    <col min="5" max="5" width="11.140625" style="1" customWidth="1"/>
    <col min="6" max="6" width="10.42578125" style="1" customWidth="1"/>
    <col min="7" max="7" width="11" style="1" customWidth="1"/>
    <col min="8" max="8" width="9.85546875" style="1" customWidth="1"/>
    <col min="9" max="9" width="11.28515625" style="1" customWidth="1"/>
    <col min="10" max="10" width="10.42578125" style="1" customWidth="1"/>
    <col min="11" max="11" width="11.42578125" style="1" customWidth="1"/>
    <col min="12" max="12" width="13" style="1" customWidth="1"/>
    <col min="13" max="13" width="12.140625" style="1" customWidth="1"/>
    <col min="14" max="14" width="6.7109375" style="1" customWidth="1"/>
    <col min="15" max="15" width="13.5703125" style="1" customWidth="1"/>
    <col min="16" max="16" width="7" style="1" customWidth="1"/>
    <col min="17" max="17" width="11.28515625" style="1" customWidth="1"/>
    <col min="18" max="234" width="9.140625" style="1"/>
    <col min="235" max="235" width="19.7109375" style="1" customWidth="1"/>
    <col min="236" max="236" width="10.140625" style="1" customWidth="1"/>
    <col min="237" max="237" width="11" style="1" customWidth="1"/>
    <col min="238" max="238" width="10.7109375" style="1" customWidth="1"/>
    <col min="239" max="239" width="10.140625" style="1" customWidth="1"/>
    <col min="240" max="240" width="9.28515625" style="1" customWidth="1"/>
    <col min="241" max="241" width="11.7109375" style="1" customWidth="1"/>
    <col min="242" max="242" width="12.42578125" style="1" customWidth="1"/>
    <col min="243" max="243" width="12.85546875" style="1" customWidth="1"/>
    <col min="244" max="244" width="10.42578125" style="1" customWidth="1"/>
    <col min="245" max="245" width="11.42578125" style="1" customWidth="1"/>
    <col min="246" max="246" width="10.85546875" style="1" customWidth="1"/>
    <col min="247" max="247" width="12.140625" style="1" customWidth="1"/>
    <col min="248" max="490" width="9.140625" style="1"/>
    <col min="491" max="491" width="19.7109375" style="1" customWidth="1"/>
    <col min="492" max="492" width="10.140625" style="1" customWidth="1"/>
    <col min="493" max="493" width="11" style="1" customWidth="1"/>
    <col min="494" max="494" width="10.7109375" style="1" customWidth="1"/>
    <col min="495" max="495" width="10.140625" style="1" customWidth="1"/>
    <col min="496" max="496" width="9.28515625" style="1" customWidth="1"/>
    <col min="497" max="497" width="11.7109375" style="1" customWidth="1"/>
    <col min="498" max="498" width="12.42578125" style="1" customWidth="1"/>
    <col min="499" max="499" width="12.85546875" style="1" customWidth="1"/>
    <col min="500" max="500" width="10.42578125" style="1" customWidth="1"/>
    <col min="501" max="501" width="11.42578125" style="1" customWidth="1"/>
    <col min="502" max="502" width="10.85546875" style="1" customWidth="1"/>
    <col min="503" max="503" width="12.140625" style="1" customWidth="1"/>
    <col min="504" max="746" width="9.140625" style="1"/>
    <col min="747" max="747" width="19.7109375" style="1" customWidth="1"/>
    <col min="748" max="748" width="10.140625" style="1" customWidth="1"/>
    <col min="749" max="749" width="11" style="1" customWidth="1"/>
    <col min="750" max="750" width="10.7109375" style="1" customWidth="1"/>
    <col min="751" max="751" width="10.140625" style="1" customWidth="1"/>
    <col min="752" max="752" width="9.28515625" style="1" customWidth="1"/>
    <col min="753" max="753" width="11.7109375" style="1" customWidth="1"/>
    <col min="754" max="754" width="12.42578125" style="1" customWidth="1"/>
    <col min="755" max="755" width="12.85546875" style="1" customWidth="1"/>
    <col min="756" max="756" width="10.42578125" style="1" customWidth="1"/>
    <col min="757" max="757" width="11.42578125" style="1" customWidth="1"/>
    <col min="758" max="758" width="10.85546875" style="1" customWidth="1"/>
    <col min="759" max="759" width="12.140625" style="1" customWidth="1"/>
    <col min="760" max="1002" width="9.140625" style="1"/>
    <col min="1003" max="1003" width="19.7109375" style="1" customWidth="1"/>
    <col min="1004" max="1004" width="10.140625" style="1" customWidth="1"/>
    <col min="1005" max="1005" width="11" style="1" customWidth="1"/>
    <col min="1006" max="1006" width="10.7109375" style="1" customWidth="1"/>
    <col min="1007" max="1007" width="10.140625" style="1" customWidth="1"/>
    <col min="1008" max="1008" width="9.28515625" style="1" customWidth="1"/>
    <col min="1009" max="1009" width="11.7109375" style="1" customWidth="1"/>
    <col min="1010" max="1010" width="12.42578125" style="1" customWidth="1"/>
    <col min="1011" max="1011" width="12.85546875" style="1" customWidth="1"/>
    <col min="1012" max="1012" width="10.42578125" style="1" customWidth="1"/>
    <col min="1013" max="1013" width="11.42578125" style="1" customWidth="1"/>
    <col min="1014" max="1014" width="10.85546875" style="1" customWidth="1"/>
    <col min="1015" max="1015" width="12.140625" style="1" customWidth="1"/>
    <col min="1016" max="1258" width="9.140625" style="1"/>
    <col min="1259" max="1259" width="19.7109375" style="1" customWidth="1"/>
    <col min="1260" max="1260" width="10.140625" style="1" customWidth="1"/>
    <col min="1261" max="1261" width="11" style="1" customWidth="1"/>
    <col min="1262" max="1262" width="10.7109375" style="1" customWidth="1"/>
    <col min="1263" max="1263" width="10.140625" style="1" customWidth="1"/>
    <col min="1264" max="1264" width="9.28515625" style="1" customWidth="1"/>
    <col min="1265" max="1265" width="11.7109375" style="1" customWidth="1"/>
    <col min="1266" max="1266" width="12.42578125" style="1" customWidth="1"/>
    <col min="1267" max="1267" width="12.85546875" style="1" customWidth="1"/>
    <col min="1268" max="1268" width="10.42578125" style="1" customWidth="1"/>
    <col min="1269" max="1269" width="11.42578125" style="1" customWidth="1"/>
    <col min="1270" max="1270" width="10.85546875" style="1" customWidth="1"/>
    <col min="1271" max="1271" width="12.140625" style="1" customWidth="1"/>
    <col min="1272" max="1514" width="9.140625" style="1"/>
    <col min="1515" max="1515" width="19.7109375" style="1" customWidth="1"/>
    <col min="1516" max="1516" width="10.140625" style="1" customWidth="1"/>
    <col min="1517" max="1517" width="11" style="1" customWidth="1"/>
    <col min="1518" max="1518" width="10.7109375" style="1" customWidth="1"/>
    <col min="1519" max="1519" width="10.140625" style="1" customWidth="1"/>
    <col min="1520" max="1520" width="9.28515625" style="1" customWidth="1"/>
    <col min="1521" max="1521" width="11.7109375" style="1" customWidth="1"/>
    <col min="1522" max="1522" width="12.42578125" style="1" customWidth="1"/>
    <col min="1523" max="1523" width="12.85546875" style="1" customWidth="1"/>
    <col min="1524" max="1524" width="10.42578125" style="1" customWidth="1"/>
    <col min="1525" max="1525" width="11.42578125" style="1" customWidth="1"/>
    <col min="1526" max="1526" width="10.85546875" style="1" customWidth="1"/>
    <col min="1527" max="1527" width="12.140625" style="1" customWidth="1"/>
    <col min="1528" max="1770" width="9.140625" style="1"/>
    <col min="1771" max="1771" width="19.7109375" style="1" customWidth="1"/>
    <col min="1772" max="1772" width="10.140625" style="1" customWidth="1"/>
    <col min="1773" max="1773" width="11" style="1" customWidth="1"/>
    <col min="1774" max="1774" width="10.7109375" style="1" customWidth="1"/>
    <col min="1775" max="1775" width="10.140625" style="1" customWidth="1"/>
    <col min="1776" max="1776" width="9.28515625" style="1" customWidth="1"/>
    <col min="1777" max="1777" width="11.7109375" style="1" customWidth="1"/>
    <col min="1778" max="1778" width="12.42578125" style="1" customWidth="1"/>
    <col min="1779" max="1779" width="12.85546875" style="1" customWidth="1"/>
    <col min="1780" max="1780" width="10.42578125" style="1" customWidth="1"/>
    <col min="1781" max="1781" width="11.42578125" style="1" customWidth="1"/>
    <col min="1782" max="1782" width="10.85546875" style="1" customWidth="1"/>
    <col min="1783" max="1783" width="12.140625" style="1" customWidth="1"/>
    <col min="1784" max="2026" width="9.140625" style="1"/>
    <col min="2027" max="2027" width="19.7109375" style="1" customWidth="1"/>
    <col min="2028" max="2028" width="10.140625" style="1" customWidth="1"/>
    <col min="2029" max="2029" width="11" style="1" customWidth="1"/>
    <col min="2030" max="2030" width="10.7109375" style="1" customWidth="1"/>
    <col min="2031" max="2031" width="10.140625" style="1" customWidth="1"/>
    <col min="2032" max="2032" width="9.28515625" style="1" customWidth="1"/>
    <col min="2033" max="2033" width="11.7109375" style="1" customWidth="1"/>
    <col min="2034" max="2034" width="12.42578125" style="1" customWidth="1"/>
    <col min="2035" max="2035" width="12.85546875" style="1" customWidth="1"/>
    <col min="2036" max="2036" width="10.42578125" style="1" customWidth="1"/>
    <col min="2037" max="2037" width="11.42578125" style="1" customWidth="1"/>
    <col min="2038" max="2038" width="10.85546875" style="1" customWidth="1"/>
    <col min="2039" max="2039" width="12.140625" style="1" customWidth="1"/>
    <col min="2040" max="2282" width="9.140625" style="1"/>
    <col min="2283" max="2283" width="19.7109375" style="1" customWidth="1"/>
    <col min="2284" max="2284" width="10.140625" style="1" customWidth="1"/>
    <col min="2285" max="2285" width="11" style="1" customWidth="1"/>
    <col min="2286" max="2286" width="10.7109375" style="1" customWidth="1"/>
    <col min="2287" max="2287" width="10.140625" style="1" customWidth="1"/>
    <col min="2288" max="2288" width="9.28515625" style="1" customWidth="1"/>
    <col min="2289" max="2289" width="11.7109375" style="1" customWidth="1"/>
    <col min="2290" max="2290" width="12.42578125" style="1" customWidth="1"/>
    <col min="2291" max="2291" width="12.85546875" style="1" customWidth="1"/>
    <col min="2292" max="2292" width="10.42578125" style="1" customWidth="1"/>
    <col min="2293" max="2293" width="11.42578125" style="1" customWidth="1"/>
    <col min="2294" max="2294" width="10.85546875" style="1" customWidth="1"/>
    <col min="2295" max="2295" width="12.140625" style="1" customWidth="1"/>
    <col min="2296" max="2538" width="9.140625" style="1"/>
    <col min="2539" max="2539" width="19.7109375" style="1" customWidth="1"/>
    <col min="2540" max="2540" width="10.140625" style="1" customWidth="1"/>
    <col min="2541" max="2541" width="11" style="1" customWidth="1"/>
    <col min="2542" max="2542" width="10.7109375" style="1" customWidth="1"/>
    <col min="2543" max="2543" width="10.140625" style="1" customWidth="1"/>
    <col min="2544" max="2544" width="9.28515625" style="1" customWidth="1"/>
    <col min="2545" max="2545" width="11.7109375" style="1" customWidth="1"/>
    <col min="2546" max="2546" width="12.42578125" style="1" customWidth="1"/>
    <col min="2547" max="2547" width="12.85546875" style="1" customWidth="1"/>
    <col min="2548" max="2548" width="10.42578125" style="1" customWidth="1"/>
    <col min="2549" max="2549" width="11.42578125" style="1" customWidth="1"/>
    <col min="2550" max="2550" width="10.85546875" style="1" customWidth="1"/>
    <col min="2551" max="2551" width="12.140625" style="1" customWidth="1"/>
    <col min="2552" max="2794" width="9.140625" style="1"/>
    <col min="2795" max="2795" width="19.7109375" style="1" customWidth="1"/>
    <col min="2796" max="2796" width="10.140625" style="1" customWidth="1"/>
    <col min="2797" max="2797" width="11" style="1" customWidth="1"/>
    <col min="2798" max="2798" width="10.7109375" style="1" customWidth="1"/>
    <col min="2799" max="2799" width="10.140625" style="1" customWidth="1"/>
    <col min="2800" max="2800" width="9.28515625" style="1" customWidth="1"/>
    <col min="2801" max="2801" width="11.7109375" style="1" customWidth="1"/>
    <col min="2802" max="2802" width="12.42578125" style="1" customWidth="1"/>
    <col min="2803" max="2803" width="12.85546875" style="1" customWidth="1"/>
    <col min="2804" max="2804" width="10.42578125" style="1" customWidth="1"/>
    <col min="2805" max="2805" width="11.42578125" style="1" customWidth="1"/>
    <col min="2806" max="2806" width="10.85546875" style="1" customWidth="1"/>
    <col min="2807" max="2807" width="12.140625" style="1" customWidth="1"/>
    <col min="2808" max="3050" width="9.140625" style="1"/>
    <col min="3051" max="3051" width="19.7109375" style="1" customWidth="1"/>
    <col min="3052" max="3052" width="10.140625" style="1" customWidth="1"/>
    <col min="3053" max="3053" width="11" style="1" customWidth="1"/>
    <col min="3054" max="3054" width="10.7109375" style="1" customWidth="1"/>
    <col min="3055" max="3055" width="10.140625" style="1" customWidth="1"/>
    <col min="3056" max="3056" width="9.28515625" style="1" customWidth="1"/>
    <col min="3057" max="3057" width="11.7109375" style="1" customWidth="1"/>
    <col min="3058" max="3058" width="12.42578125" style="1" customWidth="1"/>
    <col min="3059" max="3059" width="12.85546875" style="1" customWidth="1"/>
    <col min="3060" max="3060" width="10.42578125" style="1" customWidth="1"/>
    <col min="3061" max="3061" width="11.42578125" style="1" customWidth="1"/>
    <col min="3062" max="3062" width="10.85546875" style="1" customWidth="1"/>
    <col min="3063" max="3063" width="12.140625" style="1" customWidth="1"/>
    <col min="3064" max="3306" width="9.140625" style="1"/>
    <col min="3307" max="3307" width="19.7109375" style="1" customWidth="1"/>
    <col min="3308" max="3308" width="10.140625" style="1" customWidth="1"/>
    <col min="3309" max="3309" width="11" style="1" customWidth="1"/>
    <col min="3310" max="3310" width="10.7109375" style="1" customWidth="1"/>
    <col min="3311" max="3311" width="10.140625" style="1" customWidth="1"/>
    <col min="3312" max="3312" width="9.28515625" style="1" customWidth="1"/>
    <col min="3313" max="3313" width="11.7109375" style="1" customWidth="1"/>
    <col min="3314" max="3314" width="12.42578125" style="1" customWidth="1"/>
    <col min="3315" max="3315" width="12.85546875" style="1" customWidth="1"/>
    <col min="3316" max="3316" width="10.42578125" style="1" customWidth="1"/>
    <col min="3317" max="3317" width="11.42578125" style="1" customWidth="1"/>
    <col min="3318" max="3318" width="10.85546875" style="1" customWidth="1"/>
    <col min="3319" max="3319" width="12.140625" style="1" customWidth="1"/>
    <col min="3320" max="3562" width="9.140625" style="1"/>
    <col min="3563" max="3563" width="19.7109375" style="1" customWidth="1"/>
    <col min="3564" max="3564" width="10.140625" style="1" customWidth="1"/>
    <col min="3565" max="3565" width="11" style="1" customWidth="1"/>
    <col min="3566" max="3566" width="10.7109375" style="1" customWidth="1"/>
    <col min="3567" max="3567" width="10.140625" style="1" customWidth="1"/>
    <col min="3568" max="3568" width="9.28515625" style="1" customWidth="1"/>
    <col min="3569" max="3569" width="11.7109375" style="1" customWidth="1"/>
    <col min="3570" max="3570" width="12.42578125" style="1" customWidth="1"/>
    <col min="3571" max="3571" width="12.85546875" style="1" customWidth="1"/>
    <col min="3572" max="3572" width="10.42578125" style="1" customWidth="1"/>
    <col min="3573" max="3573" width="11.42578125" style="1" customWidth="1"/>
    <col min="3574" max="3574" width="10.85546875" style="1" customWidth="1"/>
    <col min="3575" max="3575" width="12.140625" style="1" customWidth="1"/>
    <col min="3576" max="3818" width="9.140625" style="1"/>
    <col min="3819" max="3819" width="19.7109375" style="1" customWidth="1"/>
    <col min="3820" max="3820" width="10.140625" style="1" customWidth="1"/>
    <col min="3821" max="3821" width="11" style="1" customWidth="1"/>
    <col min="3822" max="3822" width="10.7109375" style="1" customWidth="1"/>
    <col min="3823" max="3823" width="10.140625" style="1" customWidth="1"/>
    <col min="3824" max="3824" width="9.28515625" style="1" customWidth="1"/>
    <col min="3825" max="3825" width="11.7109375" style="1" customWidth="1"/>
    <col min="3826" max="3826" width="12.42578125" style="1" customWidth="1"/>
    <col min="3827" max="3827" width="12.85546875" style="1" customWidth="1"/>
    <col min="3828" max="3828" width="10.42578125" style="1" customWidth="1"/>
    <col min="3829" max="3829" width="11.42578125" style="1" customWidth="1"/>
    <col min="3830" max="3830" width="10.85546875" style="1" customWidth="1"/>
    <col min="3831" max="3831" width="12.140625" style="1" customWidth="1"/>
    <col min="3832" max="4074" width="9.140625" style="1"/>
    <col min="4075" max="4075" width="19.7109375" style="1" customWidth="1"/>
    <col min="4076" max="4076" width="10.140625" style="1" customWidth="1"/>
    <col min="4077" max="4077" width="11" style="1" customWidth="1"/>
    <col min="4078" max="4078" width="10.7109375" style="1" customWidth="1"/>
    <col min="4079" max="4079" width="10.140625" style="1" customWidth="1"/>
    <col min="4080" max="4080" width="9.28515625" style="1" customWidth="1"/>
    <col min="4081" max="4081" width="11.7109375" style="1" customWidth="1"/>
    <col min="4082" max="4082" width="12.42578125" style="1" customWidth="1"/>
    <col min="4083" max="4083" width="12.85546875" style="1" customWidth="1"/>
    <col min="4084" max="4084" width="10.42578125" style="1" customWidth="1"/>
    <col min="4085" max="4085" width="11.42578125" style="1" customWidth="1"/>
    <col min="4086" max="4086" width="10.85546875" style="1" customWidth="1"/>
    <col min="4087" max="4087" width="12.140625" style="1" customWidth="1"/>
    <col min="4088" max="4330" width="9.140625" style="1"/>
    <col min="4331" max="4331" width="19.7109375" style="1" customWidth="1"/>
    <col min="4332" max="4332" width="10.140625" style="1" customWidth="1"/>
    <col min="4333" max="4333" width="11" style="1" customWidth="1"/>
    <col min="4334" max="4334" width="10.7109375" style="1" customWidth="1"/>
    <col min="4335" max="4335" width="10.140625" style="1" customWidth="1"/>
    <col min="4336" max="4336" width="9.28515625" style="1" customWidth="1"/>
    <col min="4337" max="4337" width="11.7109375" style="1" customWidth="1"/>
    <col min="4338" max="4338" width="12.42578125" style="1" customWidth="1"/>
    <col min="4339" max="4339" width="12.85546875" style="1" customWidth="1"/>
    <col min="4340" max="4340" width="10.42578125" style="1" customWidth="1"/>
    <col min="4341" max="4341" width="11.42578125" style="1" customWidth="1"/>
    <col min="4342" max="4342" width="10.85546875" style="1" customWidth="1"/>
    <col min="4343" max="4343" width="12.140625" style="1" customWidth="1"/>
    <col min="4344" max="4586" width="9.140625" style="1"/>
    <col min="4587" max="4587" width="19.7109375" style="1" customWidth="1"/>
    <col min="4588" max="4588" width="10.140625" style="1" customWidth="1"/>
    <col min="4589" max="4589" width="11" style="1" customWidth="1"/>
    <col min="4590" max="4590" width="10.7109375" style="1" customWidth="1"/>
    <col min="4591" max="4591" width="10.140625" style="1" customWidth="1"/>
    <col min="4592" max="4592" width="9.28515625" style="1" customWidth="1"/>
    <col min="4593" max="4593" width="11.7109375" style="1" customWidth="1"/>
    <col min="4594" max="4594" width="12.42578125" style="1" customWidth="1"/>
    <col min="4595" max="4595" width="12.85546875" style="1" customWidth="1"/>
    <col min="4596" max="4596" width="10.42578125" style="1" customWidth="1"/>
    <col min="4597" max="4597" width="11.42578125" style="1" customWidth="1"/>
    <col min="4598" max="4598" width="10.85546875" style="1" customWidth="1"/>
    <col min="4599" max="4599" width="12.140625" style="1" customWidth="1"/>
    <col min="4600" max="4842" width="9.140625" style="1"/>
    <col min="4843" max="4843" width="19.7109375" style="1" customWidth="1"/>
    <col min="4844" max="4844" width="10.140625" style="1" customWidth="1"/>
    <col min="4845" max="4845" width="11" style="1" customWidth="1"/>
    <col min="4846" max="4846" width="10.7109375" style="1" customWidth="1"/>
    <col min="4847" max="4847" width="10.140625" style="1" customWidth="1"/>
    <col min="4848" max="4848" width="9.28515625" style="1" customWidth="1"/>
    <col min="4849" max="4849" width="11.7109375" style="1" customWidth="1"/>
    <col min="4850" max="4850" width="12.42578125" style="1" customWidth="1"/>
    <col min="4851" max="4851" width="12.85546875" style="1" customWidth="1"/>
    <col min="4852" max="4852" width="10.42578125" style="1" customWidth="1"/>
    <col min="4853" max="4853" width="11.42578125" style="1" customWidth="1"/>
    <col min="4854" max="4854" width="10.85546875" style="1" customWidth="1"/>
    <col min="4855" max="4855" width="12.140625" style="1" customWidth="1"/>
    <col min="4856" max="5098" width="9.140625" style="1"/>
    <col min="5099" max="5099" width="19.7109375" style="1" customWidth="1"/>
    <col min="5100" max="5100" width="10.140625" style="1" customWidth="1"/>
    <col min="5101" max="5101" width="11" style="1" customWidth="1"/>
    <col min="5102" max="5102" width="10.7109375" style="1" customWidth="1"/>
    <col min="5103" max="5103" width="10.140625" style="1" customWidth="1"/>
    <col min="5104" max="5104" width="9.28515625" style="1" customWidth="1"/>
    <col min="5105" max="5105" width="11.7109375" style="1" customWidth="1"/>
    <col min="5106" max="5106" width="12.42578125" style="1" customWidth="1"/>
    <col min="5107" max="5107" width="12.85546875" style="1" customWidth="1"/>
    <col min="5108" max="5108" width="10.42578125" style="1" customWidth="1"/>
    <col min="5109" max="5109" width="11.42578125" style="1" customWidth="1"/>
    <col min="5110" max="5110" width="10.85546875" style="1" customWidth="1"/>
    <col min="5111" max="5111" width="12.140625" style="1" customWidth="1"/>
    <col min="5112" max="5354" width="9.140625" style="1"/>
    <col min="5355" max="5355" width="19.7109375" style="1" customWidth="1"/>
    <col min="5356" max="5356" width="10.140625" style="1" customWidth="1"/>
    <col min="5357" max="5357" width="11" style="1" customWidth="1"/>
    <col min="5358" max="5358" width="10.7109375" style="1" customWidth="1"/>
    <col min="5359" max="5359" width="10.140625" style="1" customWidth="1"/>
    <col min="5360" max="5360" width="9.28515625" style="1" customWidth="1"/>
    <col min="5361" max="5361" width="11.7109375" style="1" customWidth="1"/>
    <col min="5362" max="5362" width="12.42578125" style="1" customWidth="1"/>
    <col min="5363" max="5363" width="12.85546875" style="1" customWidth="1"/>
    <col min="5364" max="5364" width="10.42578125" style="1" customWidth="1"/>
    <col min="5365" max="5365" width="11.42578125" style="1" customWidth="1"/>
    <col min="5366" max="5366" width="10.85546875" style="1" customWidth="1"/>
    <col min="5367" max="5367" width="12.140625" style="1" customWidth="1"/>
    <col min="5368" max="5610" width="9.140625" style="1"/>
    <col min="5611" max="5611" width="19.7109375" style="1" customWidth="1"/>
    <col min="5612" max="5612" width="10.140625" style="1" customWidth="1"/>
    <col min="5613" max="5613" width="11" style="1" customWidth="1"/>
    <col min="5614" max="5614" width="10.7109375" style="1" customWidth="1"/>
    <col min="5615" max="5615" width="10.140625" style="1" customWidth="1"/>
    <col min="5616" max="5616" width="9.28515625" style="1" customWidth="1"/>
    <col min="5617" max="5617" width="11.7109375" style="1" customWidth="1"/>
    <col min="5618" max="5618" width="12.42578125" style="1" customWidth="1"/>
    <col min="5619" max="5619" width="12.85546875" style="1" customWidth="1"/>
    <col min="5620" max="5620" width="10.42578125" style="1" customWidth="1"/>
    <col min="5621" max="5621" width="11.42578125" style="1" customWidth="1"/>
    <col min="5622" max="5622" width="10.85546875" style="1" customWidth="1"/>
    <col min="5623" max="5623" width="12.140625" style="1" customWidth="1"/>
    <col min="5624" max="5866" width="9.140625" style="1"/>
    <col min="5867" max="5867" width="19.7109375" style="1" customWidth="1"/>
    <col min="5868" max="5868" width="10.140625" style="1" customWidth="1"/>
    <col min="5869" max="5869" width="11" style="1" customWidth="1"/>
    <col min="5870" max="5870" width="10.7109375" style="1" customWidth="1"/>
    <col min="5871" max="5871" width="10.140625" style="1" customWidth="1"/>
    <col min="5872" max="5872" width="9.28515625" style="1" customWidth="1"/>
    <col min="5873" max="5873" width="11.7109375" style="1" customWidth="1"/>
    <col min="5874" max="5874" width="12.42578125" style="1" customWidth="1"/>
    <col min="5875" max="5875" width="12.85546875" style="1" customWidth="1"/>
    <col min="5876" max="5876" width="10.42578125" style="1" customWidth="1"/>
    <col min="5877" max="5877" width="11.42578125" style="1" customWidth="1"/>
    <col min="5878" max="5878" width="10.85546875" style="1" customWidth="1"/>
    <col min="5879" max="5879" width="12.140625" style="1" customWidth="1"/>
    <col min="5880" max="6122" width="9.140625" style="1"/>
    <col min="6123" max="6123" width="19.7109375" style="1" customWidth="1"/>
    <col min="6124" max="6124" width="10.140625" style="1" customWidth="1"/>
    <col min="6125" max="6125" width="11" style="1" customWidth="1"/>
    <col min="6126" max="6126" width="10.7109375" style="1" customWidth="1"/>
    <col min="6127" max="6127" width="10.140625" style="1" customWidth="1"/>
    <col min="6128" max="6128" width="9.28515625" style="1" customWidth="1"/>
    <col min="6129" max="6129" width="11.7109375" style="1" customWidth="1"/>
    <col min="6130" max="6130" width="12.42578125" style="1" customWidth="1"/>
    <col min="6131" max="6131" width="12.85546875" style="1" customWidth="1"/>
    <col min="6132" max="6132" width="10.42578125" style="1" customWidth="1"/>
    <col min="6133" max="6133" width="11.42578125" style="1" customWidth="1"/>
    <col min="6134" max="6134" width="10.85546875" style="1" customWidth="1"/>
    <col min="6135" max="6135" width="12.140625" style="1" customWidth="1"/>
    <col min="6136" max="6378" width="9.140625" style="1"/>
    <col min="6379" max="6379" width="19.7109375" style="1" customWidth="1"/>
    <col min="6380" max="6380" width="10.140625" style="1" customWidth="1"/>
    <col min="6381" max="6381" width="11" style="1" customWidth="1"/>
    <col min="6382" max="6382" width="10.7109375" style="1" customWidth="1"/>
    <col min="6383" max="6383" width="10.140625" style="1" customWidth="1"/>
    <col min="6384" max="6384" width="9.28515625" style="1" customWidth="1"/>
    <col min="6385" max="6385" width="11.7109375" style="1" customWidth="1"/>
    <col min="6386" max="6386" width="12.42578125" style="1" customWidth="1"/>
    <col min="6387" max="6387" width="12.85546875" style="1" customWidth="1"/>
    <col min="6388" max="6388" width="10.42578125" style="1" customWidth="1"/>
    <col min="6389" max="6389" width="11.42578125" style="1" customWidth="1"/>
    <col min="6390" max="6390" width="10.85546875" style="1" customWidth="1"/>
    <col min="6391" max="6391" width="12.140625" style="1" customWidth="1"/>
    <col min="6392" max="6634" width="9.140625" style="1"/>
    <col min="6635" max="6635" width="19.7109375" style="1" customWidth="1"/>
    <col min="6636" max="6636" width="10.140625" style="1" customWidth="1"/>
    <col min="6637" max="6637" width="11" style="1" customWidth="1"/>
    <col min="6638" max="6638" width="10.7109375" style="1" customWidth="1"/>
    <col min="6639" max="6639" width="10.140625" style="1" customWidth="1"/>
    <col min="6640" max="6640" width="9.28515625" style="1" customWidth="1"/>
    <col min="6641" max="6641" width="11.7109375" style="1" customWidth="1"/>
    <col min="6642" max="6642" width="12.42578125" style="1" customWidth="1"/>
    <col min="6643" max="6643" width="12.85546875" style="1" customWidth="1"/>
    <col min="6644" max="6644" width="10.42578125" style="1" customWidth="1"/>
    <col min="6645" max="6645" width="11.42578125" style="1" customWidth="1"/>
    <col min="6646" max="6646" width="10.85546875" style="1" customWidth="1"/>
    <col min="6647" max="6647" width="12.140625" style="1" customWidth="1"/>
    <col min="6648" max="6890" width="9.140625" style="1"/>
    <col min="6891" max="6891" width="19.7109375" style="1" customWidth="1"/>
    <col min="6892" max="6892" width="10.140625" style="1" customWidth="1"/>
    <col min="6893" max="6893" width="11" style="1" customWidth="1"/>
    <col min="6894" max="6894" width="10.7109375" style="1" customWidth="1"/>
    <col min="6895" max="6895" width="10.140625" style="1" customWidth="1"/>
    <col min="6896" max="6896" width="9.28515625" style="1" customWidth="1"/>
    <col min="6897" max="6897" width="11.7109375" style="1" customWidth="1"/>
    <col min="6898" max="6898" width="12.42578125" style="1" customWidth="1"/>
    <col min="6899" max="6899" width="12.85546875" style="1" customWidth="1"/>
    <col min="6900" max="6900" width="10.42578125" style="1" customWidth="1"/>
    <col min="6901" max="6901" width="11.42578125" style="1" customWidth="1"/>
    <col min="6902" max="6902" width="10.85546875" style="1" customWidth="1"/>
    <col min="6903" max="6903" width="12.140625" style="1" customWidth="1"/>
    <col min="6904" max="7146" width="9.140625" style="1"/>
    <col min="7147" max="7147" width="19.7109375" style="1" customWidth="1"/>
    <col min="7148" max="7148" width="10.140625" style="1" customWidth="1"/>
    <col min="7149" max="7149" width="11" style="1" customWidth="1"/>
    <col min="7150" max="7150" width="10.7109375" style="1" customWidth="1"/>
    <col min="7151" max="7151" width="10.140625" style="1" customWidth="1"/>
    <col min="7152" max="7152" width="9.28515625" style="1" customWidth="1"/>
    <col min="7153" max="7153" width="11.7109375" style="1" customWidth="1"/>
    <col min="7154" max="7154" width="12.42578125" style="1" customWidth="1"/>
    <col min="7155" max="7155" width="12.85546875" style="1" customWidth="1"/>
    <col min="7156" max="7156" width="10.42578125" style="1" customWidth="1"/>
    <col min="7157" max="7157" width="11.42578125" style="1" customWidth="1"/>
    <col min="7158" max="7158" width="10.85546875" style="1" customWidth="1"/>
    <col min="7159" max="7159" width="12.140625" style="1" customWidth="1"/>
    <col min="7160" max="7402" width="9.140625" style="1"/>
    <col min="7403" max="7403" width="19.7109375" style="1" customWidth="1"/>
    <col min="7404" max="7404" width="10.140625" style="1" customWidth="1"/>
    <col min="7405" max="7405" width="11" style="1" customWidth="1"/>
    <col min="7406" max="7406" width="10.7109375" style="1" customWidth="1"/>
    <col min="7407" max="7407" width="10.140625" style="1" customWidth="1"/>
    <col min="7408" max="7408" width="9.28515625" style="1" customWidth="1"/>
    <col min="7409" max="7409" width="11.7109375" style="1" customWidth="1"/>
    <col min="7410" max="7410" width="12.42578125" style="1" customWidth="1"/>
    <col min="7411" max="7411" width="12.85546875" style="1" customWidth="1"/>
    <col min="7412" max="7412" width="10.42578125" style="1" customWidth="1"/>
    <col min="7413" max="7413" width="11.42578125" style="1" customWidth="1"/>
    <col min="7414" max="7414" width="10.85546875" style="1" customWidth="1"/>
    <col min="7415" max="7415" width="12.140625" style="1" customWidth="1"/>
    <col min="7416" max="7658" width="9.140625" style="1"/>
    <col min="7659" max="7659" width="19.7109375" style="1" customWidth="1"/>
    <col min="7660" max="7660" width="10.140625" style="1" customWidth="1"/>
    <col min="7661" max="7661" width="11" style="1" customWidth="1"/>
    <col min="7662" max="7662" width="10.7109375" style="1" customWidth="1"/>
    <col min="7663" max="7663" width="10.140625" style="1" customWidth="1"/>
    <col min="7664" max="7664" width="9.28515625" style="1" customWidth="1"/>
    <col min="7665" max="7665" width="11.7109375" style="1" customWidth="1"/>
    <col min="7666" max="7666" width="12.42578125" style="1" customWidth="1"/>
    <col min="7667" max="7667" width="12.85546875" style="1" customWidth="1"/>
    <col min="7668" max="7668" width="10.42578125" style="1" customWidth="1"/>
    <col min="7669" max="7669" width="11.42578125" style="1" customWidth="1"/>
    <col min="7670" max="7670" width="10.85546875" style="1" customWidth="1"/>
    <col min="7671" max="7671" width="12.140625" style="1" customWidth="1"/>
    <col min="7672" max="7914" width="9.140625" style="1"/>
    <col min="7915" max="7915" width="19.7109375" style="1" customWidth="1"/>
    <col min="7916" max="7916" width="10.140625" style="1" customWidth="1"/>
    <col min="7917" max="7917" width="11" style="1" customWidth="1"/>
    <col min="7918" max="7918" width="10.7109375" style="1" customWidth="1"/>
    <col min="7919" max="7919" width="10.140625" style="1" customWidth="1"/>
    <col min="7920" max="7920" width="9.28515625" style="1" customWidth="1"/>
    <col min="7921" max="7921" width="11.7109375" style="1" customWidth="1"/>
    <col min="7922" max="7922" width="12.42578125" style="1" customWidth="1"/>
    <col min="7923" max="7923" width="12.85546875" style="1" customWidth="1"/>
    <col min="7924" max="7924" width="10.42578125" style="1" customWidth="1"/>
    <col min="7925" max="7925" width="11.42578125" style="1" customWidth="1"/>
    <col min="7926" max="7926" width="10.85546875" style="1" customWidth="1"/>
    <col min="7927" max="7927" width="12.140625" style="1" customWidth="1"/>
    <col min="7928" max="8170" width="9.140625" style="1"/>
    <col min="8171" max="8171" width="19.7109375" style="1" customWidth="1"/>
    <col min="8172" max="8172" width="10.140625" style="1" customWidth="1"/>
    <col min="8173" max="8173" width="11" style="1" customWidth="1"/>
    <col min="8174" max="8174" width="10.7109375" style="1" customWidth="1"/>
    <col min="8175" max="8175" width="10.140625" style="1" customWidth="1"/>
    <col min="8176" max="8176" width="9.28515625" style="1" customWidth="1"/>
    <col min="8177" max="8177" width="11.7109375" style="1" customWidth="1"/>
    <col min="8178" max="8178" width="12.42578125" style="1" customWidth="1"/>
    <col min="8179" max="8179" width="12.85546875" style="1" customWidth="1"/>
    <col min="8180" max="8180" width="10.42578125" style="1" customWidth="1"/>
    <col min="8181" max="8181" width="11.42578125" style="1" customWidth="1"/>
    <col min="8182" max="8182" width="10.85546875" style="1" customWidth="1"/>
    <col min="8183" max="8183" width="12.140625" style="1" customWidth="1"/>
    <col min="8184" max="8426" width="9.140625" style="1"/>
    <col min="8427" max="8427" width="19.7109375" style="1" customWidth="1"/>
    <col min="8428" max="8428" width="10.140625" style="1" customWidth="1"/>
    <col min="8429" max="8429" width="11" style="1" customWidth="1"/>
    <col min="8430" max="8430" width="10.7109375" style="1" customWidth="1"/>
    <col min="8431" max="8431" width="10.140625" style="1" customWidth="1"/>
    <col min="8432" max="8432" width="9.28515625" style="1" customWidth="1"/>
    <col min="8433" max="8433" width="11.7109375" style="1" customWidth="1"/>
    <col min="8434" max="8434" width="12.42578125" style="1" customWidth="1"/>
    <col min="8435" max="8435" width="12.85546875" style="1" customWidth="1"/>
    <col min="8436" max="8436" width="10.42578125" style="1" customWidth="1"/>
    <col min="8437" max="8437" width="11.42578125" style="1" customWidth="1"/>
    <col min="8438" max="8438" width="10.85546875" style="1" customWidth="1"/>
    <col min="8439" max="8439" width="12.140625" style="1" customWidth="1"/>
    <col min="8440" max="8682" width="9.140625" style="1"/>
    <col min="8683" max="8683" width="19.7109375" style="1" customWidth="1"/>
    <col min="8684" max="8684" width="10.140625" style="1" customWidth="1"/>
    <col min="8685" max="8685" width="11" style="1" customWidth="1"/>
    <col min="8686" max="8686" width="10.7109375" style="1" customWidth="1"/>
    <col min="8687" max="8687" width="10.140625" style="1" customWidth="1"/>
    <col min="8688" max="8688" width="9.28515625" style="1" customWidth="1"/>
    <col min="8689" max="8689" width="11.7109375" style="1" customWidth="1"/>
    <col min="8690" max="8690" width="12.42578125" style="1" customWidth="1"/>
    <col min="8691" max="8691" width="12.85546875" style="1" customWidth="1"/>
    <col min="8692" max="8692" width="10.42578125" style="1" customWidth="1"/>
    <col min="8693" max="8693" width="11.42578125" style="1" customWidth="1"/>
    <col min="8694" max="8694" width="10.85546875" style="1" customWidth="1"/>
    <col min="8695" max="8695" width="12.140625" style="1" customWidth="1"/>
    <col min="8696" max="8938" width="9.140625" style="1"/>
    <col min="8939" max="8939" width="19.7109375" style="1" customWidth="1"/>
    <col min="8940" max="8940" width="10.140625" style="1" customWidth="1"/>
    <col min="8941" max="8941" width="11" style="1" customWidth="1"/>
    <col min="8942" max="8942" width="10.7109375" style="1" customWidth="1"/>
    <col min="8943" max="8943" width="10.140625" style="1" customWidth="1"/>
    <col min="8944" max="8944" width="9.28515625" style="1" customWidth="1"/>
    <col min="8945" max="8945" width="11.7109375" style="1" customWidth="1"/>
    <col min="8946" max="8946" width="12.42578125" style="1" customWidth="1"/>
    <col min="8947" max="8947" width="12.85546875" style="1" customWidth="1"/>
    <col min="8948" max="8948" width="10.42578125" style="1" customWidth="1"/>
    <col min="8949" max="8949" width="11.42578125" style="1" customWidth="1"/>
    <col min="8950" max="8950" width="10.85546875" style="1" customWidth="1"/>
    <col min="8951" max="8951" width="12.140625" style="1" customWidth="1"/>
    <col min="8952" max="9194" width="9.140625" style="1"/>
    <col min="9195" max="9195" width="19.7109375" style="1" customWidth="1"/>
    <col min="9196" max="9196" width="10.140625" style="1" customWidth="1"/>
    <col min="9197" max="9197" width="11" style="1" customWidth="1"/>
    <col min="9198" max="9198" width="10.7109375" style="1" customWidth="1"/>
    <col min="9199" max="9199" width="10.140625" style="1" customWidth="1"/>
    <col min="9200" max="9200" width="9.28515625" style="1" customWidth="1"/>
    <col min="9201" max="9201" width="11.7109375" style="1" customWidth="1"/>
    <col min="9202" max="9202" width="12.42578125" style="1" customWidth="1"/>
    <col min="9203" max="9203" width="12.85546875" style="1" customWidth="1"/>
    <col min="9204" max="9204" width="10.42578125" style="1" customWidth="1"/>
    <col min="9205" max="9205" width="11.42578125" style="1" customWidth="1"/>
    <col min="9206" max="9206" width="10.85546875" style="1" customWidth="1"/>
    <col min="9207" max="9207" width="12.140625" style="1" customWidth="1"/>
    <col min="9208" max="9450" width="9.140625" style="1"/>
    <col min="9451" max="9451" width="19.7109375" style="1" customWidth="1"/>
    <col min="9452" max="9452" width="10.140625" style="1" customWidth="1"/>
    <col min="9453" max="9453" width="11" style="1" customWidth="1"/>
    <col min="9454" max="9454" width="10.7109375" style="1" customWidth="1"/>
    <col min="9455" max="9455" width="10.140625" style="1" customWidth="1"/>
    <col min="9456" max="9456" width="9.28515625" style="1" customWidth="1"/>
    <col min="9457" max="9457" width="11.7109375" style="1" customWidth="1"/>
    <col min="9458" max="9458" width="12.42578125" style="1" customWidth="1"/>
    <col min="9459" max="9459" width="12.85546875" style="1" customWidth="1"/>
    <col min="9460" max="9460" width="10.42578125" style="1" customWidth="1"/>
    <col min="9461" max="9461" width="11.42578125" style="1" customWidth="1"/>
    <col min="9462" max="9462" width="10.85546875" style="1" customWidth="1"/>
    <col min="9463" max="9463" width="12.140625" style="1" customWidth="1"/>
    <col min="9464" max="9706" width="9.140625" style="1"/>
    <col min="9707" max="9707" width="19.7109375" style="1" customWidth="1"/>
    <col min="9708" max="9708" width="10.140625" style="1" customWidth="1"/>
    <col min="9709" max="9709" width="11" style="1" customWidth="1"/>
    <col min="9710" max="9710" width="10.7109375" style="1" customWidth="1"/>
    <col min="9711" max="9711" width="10.140625" style="1" customWidth="1"/>
    <col min="9712" max="9712" width="9.28515625" style="1" customWidth="1"/>
    <col min="9713" max="9713" width="11.7109375" style="1" customWidth="1"/>
    <col min="9714" max="9714" width="12.42578125" style="1" customWidth="1"/>
    <col min="9715" max="9715" width="12.85546875" style="1" customWidth="1"/>
    <col min="9716" max="9716" width="10.42578125" style="1" customWidth="1"/>
    <col min="9717" max="9717" width="11.42578125" style="1" customWidth="1"/>
    <col min="9718" max="9718" width="10.85546875" style="1" customWidth="1"/>
    <col min="9719" max="9719" width="12.140625" style="1" customWidth="1"/>
    <col min="9720" max="9962" width="9.140625" style="1"/>
    <col min="9963" max="9963" width="19.7109375" style="1" customWidth="1"/>
    <col min="9964" max="9964" width="10.140625" style="1" customWidth="1"/>
    <col min="9965" max="9965" width="11" style="1" customWidth="1"/>
    <col min="9966" max="9966" width="10.7109375" style="1" customWidth="1"/>
    <col min="9967" max="9967" width="10.140625" style="1" customWidth="1"/>
    <col min="9968" max="9968" width="9.28515625" style="1" customWidth="1"/>
    <col min="9969" max="9969" width="11.7109375" style="1" customWidth="1"/>
    <col min="9970" max="9970" width="12.42578125" style="1" customWidth="1"/>
    <col min="9971" max="9971" width="12.85546875" style="1" customWidth="1"/>
    <col min="9972" max="9972" width="10.42578125" style="1" customWidth="1"/>
    <col min="9973" max="9973" width="11.42578125" style="1" customWidth="1"/>
    <col min="9974" max="9974" width="10.85546875" style="1" customWidth="1"/>
    <col min="9975" max="9975" width="12.140625" style="1" customWidth="1"/>
    <col min="9976" max="10218" width="9.140625" style="1"/>
    <col min="10219" max="10219" width="19.7109375" style="1" customWidth="1"/>
    <col min="10220" max="10220" width="10.140625" style="1" customWidth="1"/>
    <col min="10221" max="10221" width="11" style="1" customWidth="1"/>
    <col min="10222" max="10222" width="10.7109375" style="1" customWidth="1"/>
    <col min="10223" max="10223" width="10.140625" style="1" customWidth="1"/>
    <col min="10224" max="10224" width="9.28515625" style="1" customWidth="1"/>
    <col min="10225" max="10225" width="11.7109375" style="1" customWidth="1"/>
    <col min="10226" max="10226" width="12.42578125" style="1" customWidth="1"/>
    <col min="10227" max="10227" width="12.85546875" style="1" customWidth="1"/>
    <col min="10228" max="10228" width="10.42578125" style="1" customWidth="1"/>
    <col min="10229" max="10229" width="11.42578125" style="1" customWidth="1"/>
    <col min="10230" max="10230" width="10.85546875" style="1" customWidth="1"/>
    <col min="10231" max="10231" width="12.140625" style="1" customWidth="1"/>
    <col min="10232" max="10474" width="9.140625" style="1"/>
    <col min="10475" max="10475" width="19.7109375" style="1" customWidth="1"/>
    <col min="10476" max="10476" width="10.140625" style="1" customWidth="1"/>
    <col min="10477" max="10477" width="11" style="1" customWidth="1"/>
    <col min="10478" max="10478" width="10.7109375" style="1" customWidth="1"/>
    <col min="10479" max="10479" width="10.140625" style="1" customWidth="1"/>
    <col min="10480" max="10480" width="9.28515625" style="1" customWidth="1"/>
    <col min="10481" max="10481" width="11.7109375" style="1" customWidth="1"/>
    <col min="10482" max="10482" width="12.42578125" style="1" customWidth="1"/>
    <col min="10483" max="10483" width="12.85546875" style="1" customWidth="1"/>
    <col min="10484" max="10484" width="10.42578125" style="1" customWidth="1"/>
    <col min="10485" max="10485" width="11.42578125" style="1" customWidth="1"/>
    <col min="10486" max="10486" width="10.85546875" style="1" customWidth="1"/>
    <col min="10487" max="10487" width="12.140625" style="1" customWidth="1"/>
    <col min="10488" max="10730" width="9.140625" style="1"/>
    <col min="10731" max="10731" width="19.7109375" style="1" customWidth="1"/>
    <col min="10732" max="10732" width="10.140625" style="1" customWidth="1"/>
    <col min="10733" max="10733" width="11" style="1" customWidth="1"/>
    <col min="10734" max="10734" width="10.7109375" style="1" customWidth="1"/>
    <col min="10735" max="10735" width="10.140625" style="1" customWidth="1"/>
    <col min="10736" max="10736" width="9.28515625" style="1" customWidth="1"/>
    <col min="10737" max="10737" width="11.7109375" style="1" customWidth="1"/>
    <col min="10738" max="10738" width="12.42578125" style="1" customWidth="1"/>
    <col min="10739" max="10739" width="12.85546875" style="1" customWidth="1"/>
    <col min="10740" max="10740" width="10.42578125" style="1" customWidth="1"/>
    <col min="10741" max="10741" width="11.42578125" style="1" customWidth="1"/>
    <col min="10742" max="10742" width="10.85546875" style="1" customWidth="1"/>
    <col min="10743" max="10743" width="12.140625" style="1" customWidth="1"/>
    <col min="10744" max="10986" width="9.140625" style="1"/>
    <col min="10987" max="10987" width="19.7109375" style="1" customWidth="1"/>
    <col min="10988" max="10988" width="10.140625" style="1" customWidth="1"/>
    <col min="10989" max="10989" width="11" style="1" customWidth="1"/>
    <col min="10990" max="10990" width="10.7109375" style="1" customWidth="1"/>
    <col min="10991" max="10991" width="10.140625" style="1" customWidth="1"/>
    <col min="10992" max="10992" width="9.28515625" style="1" customWidth="1"/>
    <col min="10993" max="10993" width="11.7109375" style="1" customWidth="1"/>
    <col min="10994" max="10994" width="12.42578125" style="1" customWidth="1"/>
    <col min="10995" max="10995" width="12.85546875" style="1" customWidth="1"/>
    <col min="10996" max="10996" width="10.42578125" style="1" customWidth="1"/>
    <col min="10997" max="10997" width="11.42578125" style="1" customWidth="1"/>
    <col min="10998" max="10998" width="10.85546875" style="1" customWidth="1"/>
    <col min="10999" max="10999" width="12.140625" style="1" customWidth="1"/>
    <col min="11000" max="11242" width="9.140625" style="1"/>
    <col min="11243" max="11243" width="19.7109375" style="1" customWidth="1"/>
    <col min="11244" max="11244" width="10.140625" style="1" customWidth="1"/>
    <col min="11245" max="11245" width="11" style="1" customWidth="1"/>
    <col min="11246" max="11246" width="10.7109375" style="1" customWidth="1"/>
    <col min="11247" max="11247" width="10.140625" style="1" customWidth="1"/>
    <col min="11248" max="11248" width="9.28515625" style="1" customWidth="1"/>
    <col min="11249" max="11249" width="11.7109375" style="1" customWidth="1"/>
    <col min="11250" max="11250" width="12.42578125" style="1" customWidth="1"/>
    <col min="11251" max="11251" width="12.85546875" style="1" customWidth="1"/>
    <col min="11252" max="11252" width="10.42578125" style="1" customWidth="1"/>
    <col min="11253" max="11253" width="11.42578125" style="1" customWidth="1"/>
    <col min="11254" max="11254" width="10.85546875" style="1" customWidth="1"/>
    <col min="11255" max="11255" width="12.140625" style="1" customWidth="1"/>
    <col min="11256" max="11498" width="9.140625" style="1"/>
    <col min="11499" max="11499" width="19.7109375" style="1" customWidth="1"/>
    <col min="11500" max="11500" width="10.140625" style="1" customWidth="1"/>
    <col min="11501" max="11501" width="11" style="1" customWidth="1"/>
    <col min="11502" max="11502" width="10.7109375" style="1" customWidth="1"/>
    <col min="11503" max="11503" width="10.140625" style="1" customWidth="1"/>
    <col min="11504" max="11504" width="9.28515625" style="1" customWidth="1"/>
    <col min="11505" max="11505" width="11.7109375" style="1" customWidth="1"/>
    <col min="11506" max="11506" width="12.42578125" style="1" customWidth="1"/>
    <col min="11507" max="11507" width="12.85546875" style="1" customWidth="1"/>
    <col min="11508" max="11508" width="10.42578125" style="1" customWidth="1"/>
    <col min="11509" max="11509" width="11.42578125" style="1" customWidth="1"/>
    <col min="11510" max="11510" width="10.85546875" style="1" customWidth="1"/>
    <col min="11511" max="11511" width="12.140625" style="1" customWidth="1"/>
    <col min="11512" max="11754" width="9.140625" style="1"/>
    <col min="11755" max="11755" width="19.7109375" style="1" customWidth="1"/>
    <col min="11756" max="11756" width="10.140625" style="1" customWidth="1"/>
    <col min="11757" max="11757" width="11" style="1" customWidth="1"/>
    <col min="11758" max="11758" width="10.7109375" style="1" customWidth="1"/>
    <col min="11759" max="11759" width="10.140625" style="1" customWidth="1"/>
    <col min="11760" max="11760" width="9.28515625" style="1" customWidth="1"/>
    <col min="11761" max="11761" width="11.7109375" style="1" customWidth="1"/>
    <col min="11762" max="11762" width="12.42578125" style="1" customWidth="1"/>
    <col min="11763" max="11763" width="12.85546875" style="1" customWidth="1"/>
    <col min="11764" max="11764" width="10.42578125" style="1" customWidth="1"/>
    <col min="11765" max="11765" width="11.42578125" style="1" customWidth="1"/>
    <col min="11766" max="11766" width="10.85546875" style="1" customWidth="1"/>
    <col min="11767" max="11767" width="12.140625" style="1" customWidth="1"/>
    <col min="11768" max="12010" width="9.140625" style="1"/>
    <col min="12011" max="12011" width="19.7109375" style="1" customWidth="1"/>
    <col min="12012" max="12012" width="10.140625" style="1" customWidth="1"/>
    <col min="12013" max="12013" width="11" style="1" customWidth="1"/>
    <col min="12014" max="12014" width="10.7109375" style="1" customWidth="1"/>
    <col min="12015" max="12015" width="10.140625" style="1" customWidth="1"/>
    <col min="12016" max="12016" width="9.28515625" style="1" customWidth="1"/>
    <col min="12017" max="12017" width="11.7109375" style="1" customWidth="1"/>
    <col min="12018" max="12018" width="12.42578125" style="1" customWidth="1"/>
    <col min="12019" max="12019" width="12.85546875" style="1" customWidth="1"/>
    <col min="12020" max="12020" width="10.42578125" style="1" customWidth="1"/>
    <col min="12021" max="12021" width="11.42578125" style="1" customWidth="1"/>
    <col min="12022" max="12022" width="10.85546875" style="1" customWidth="1"/>
    <col min="12023" max="12023" width="12.140625" style="1" customWidth="1"/>
    <col min="12024" max="12266" width="9.140625" style="1"/>
    <col min="12267" max="12267" width="19.7109375" style="1" customWidth="1"/>
    <col min="12268" max="12268" width="10.140625" style="1" customWidth="1"/>
    <col min="12269" max="12269" width="11" style="1" customWidth="1"/>
    <col min="12270" max="12270" width="10.7109375" style="1" customWidth="1"/>
    <col min="12271" max="12271" width="10.140625" style="1" customWidth="1"/>
    <col min="12272" max="12272" width="9.28515625" style="1" customWidth="1"/>
    <col min="12273" max="12273" width="11.7109375" style="1" customWidth="1"/>
    <col min="12274" max="12274" width="12.42578125" style="1" customWidth="1"/>
    <col min="12275" max="12275" width="12.85546875" style="1" customWidth="1"/>
    <col min="12276" max="12276" width="10.42578125" style="1" customWidth="1"/>
    <col min="12277" max="12277" width="11.42578125" style="1" customWidth="1"/>
    <col min="12278" max="12278" width="10.85546875" style="1" customWidth="1"/>
    <col min="12279" max="12279" width="12.140625" style="1" customWidth="1"/>
    <col min="12280" max="12522" width="9.140625" style="1"/>
    <col min="12523" max="12523" width="19.7109375" style="1" customWidth="1"/>
    <col min="12524" max="12524" width="10.140625" style="1" customWidth="1"/>
    <col min="12525" max="12525" width="11" style="1" customWidth="1"/>
    <col min="12526" max="12526" width="10.7109375" style="1" customWidth="1"/>
    <col min="12527" max="12527" width="10.140625" style="1" customWidth="1"/>
    <col min="12528" max="12528" width="9.28515625" style="1" customWidth="1"/>
    <col min="12529" max="12529" width="11.7109375" style="1" customWidth="1"/>
    <col min="12530" max="12530" width="12.42578125" style="1" customWidth="1"/>
    <col min="12531" max="12531" width="12.85546875" style="1" customWidth="1"/>
    <col min="12532" max="12532" width="10.42578125" style="1" customWidth="1"/>
    <col min="12533" max="12533" width="11.42578125" style="1" customWidth="1"/>
    <col min="12534" max="12534" width="10.85546875" style="1" customWidth="1"/>
    <col min="12535" max="12535" width="12.140625" style="1" customWidth="1"/>
    <col min="12536" max="12778" width="9.140625" style="1"/>
    <col min="12779" max="12779" width="19.7109375" style="1" customWidth="1"/>
    <col min="12780" max="12780" width="10.140625" style="1" customWidth="1"/>
    <col min="12781" max="12781" width="11" style="1" customWidth="1"/>
    <col min="12782" max="12782" width="10.7109375" style="1" customWidth="1"/>
    <col min="12783" max="12783" width="10.140625" style="1" customWidth="1"/>
    <col min="12784" max="12784" width="9.28515625" style="1" customWidth="1"/>
    <col min="12785" max="12785" width="11.7109375" style="1" customWidth="1"/>
    <col min="12786" max="12786" width="12.42578125" style="1" customWidth="1"/>
    <col min="12787" max="12787" width="12.85546875" style="1" customWidth="1"/>
    <col min="12788" max="12788" width="10.42578125" style="1" customWidth="1"/>
    <col min="12789" max="12789" width="11.42578125" style="1" customWidth="1"/>
    <col min="12790" max="12790" width="10.85546875" style="1" customWidth="1"/>
    <col min="12791" max="12791" width="12.140625" style="1" customWidth="1"/>
    <col min="12792" max="13034" width="9.140625" style="1"/>
    <col min="13035" max="13035" width="19.7109375" style="1" customWidth="1"/>
    <col min="13036" max="13036" width="10.140625" style="1" customWidth="1"/>
    <col min="13037" max="13037" width="11" style="1" customWidth="1"/>
    <col min="13038" max="13038" width="10.7109375" style="1" customWidth="1"/>
    <col min="13039" max="13039" width="10.140625" style="1" customWidth="1"/>
    <col min="13040" max="13040" width="9.28515625" style="1" customWidth="1"/>
    <col min="13041" max="13041" width="11.7109375" style="1" customWidth="1"/>
    <col min="13042" max="13042" width="12.42578125" style="1" customWidth="1"/>
    <col min="13043" max="13043" width="12.85546875" style="1" customWidth="1"/>
    <col min="13044" max="13044" width="10.42578125" style="1" customWidth="1"/>
    <col min="13045" max="13045" width="11.42578125" style="1" customWidth="1"/>
    <col min="13046" max="13046" width="10.85546875" style="1" customWidth="1"/>
    <col min="13047" max="13047" width="12.140625" style="1" customWidth="1"/>
    <col min="13048" max="13290" width="9.140625" style="1"/>
    <col min="13291" max="13291" width="19.7109375" style="1" customWidth="1"/>
    <col min="13292" max="13292" width="10.140625" style="1" customWidth="1"/>
    <col min="13293" max="13293" width="11" style="1" customWidth="1"/>
    <col min="13294" max="13294" width="10.7109375" style="1" customWidth="1"/>
    <col min="13295" max="13295" width="10.140625" style="1" customWidth="1"/>
    <col min="13296" max="13296" width="9.28515625" style="1" customWidth="1"/>
    <col min="13297" max="13297" width="11.7109375" style="1" customWidth="1"/>
    <col min="13298" max="13298" width="12.42578125" style="1" customWidth="1"/>
    <col min="13299" max="13299" width="12.85546875" style="1" customWidth="1"/>
    <col min="13300" max="13300" width="10.42578125" style="1" customWidth="1"/>
    <col min="13301" max="13301" width="11.42578125" style="1" customWidth="1"/>
    <col min="13302" max="13302" width="10.85546875" style="1" customWidth="1"/>
    <col min="13303" max="13303" width="12.140625" style="1" customWidth="1"/>
    <col min="13304" max="13546" width="9.140625" style="1"/>
    <col min="13547" max="13547" width="19.7109375" style="1" customWidth="1"/>
    <col min="13548" max="13548" width="10.140625" style="1" customWidth="1"/>
    <col min="13549" max="13549" width="11" style="1" customWidth="1"/>
    <col min="13550" max="13550" width="10.7109375" style="1" customWidth="1"/>
    <col min="13551" max="13551" width="10.140625" style="1" customWidth="1"/>
    <col min="13552" max="13552" width="9.28515625" style="1" customWidth="1"/>
    <col min="13553" max="13553" width="11.7109375" style="1" customWidth="1"/>
    <col min="13554" max="13554" width="12.42578125" style="1" customWidth="1"/>
    <col min="13555" max="13555" width="12.85546875" style="1" customWidth="1"/>
    <col min="13556" max="13556" width="10.42578125" style="1" customWidth="1"/>
    <col min="13557" max="13557" width="11.42578125" style="1" customWidth="1"/>
    <col min="13558" max="13558" width="10.85546875" style="1" customWidth="1"/>
    <col min="13559" max="13559" width="12.140625" style="1" customWidth="1"/>
    <col min="13560" max="13802" width="9.140625" style="1"/>
    <col min="13803" max="13803" width="19.7109375" style="1" customWidth="1"/>
    <col min="13804" max="13804" width="10.140625" style="1" customWidth="1"/>
    <col min="13805" max="13805" width="11" style="1" customWidth="1"/>
    <col min="13806" max="13806" width="10.7109375" style="1" customWidth="1"/>
    <col min="13807" max="13807" width="10.140625" style="1" customWidth="1"/>
    <col min="13808" max="13808" width="9.28515625" style="1" customWidth="1"/>
    <col min="13809" max="13809" width="11.7109375" style="1" customWidth="1"/>
    <col min="13810" max="13810" width="12.42578125" style="1" customWidth="1"/>
    <col min="13811" max="13811" width="12.85546875" style="1" customWidth="1"/>
    <col min="13812" max="13812" width="10.42578125" style="1" customWidth="1"/>
    <col min="13813" max="13813" width="11.42578125" style="1" customWidth="1"/>
    <col min="13814" max="13814" width="10.85546875" style="1" customWidth="1"/>
    <col min="13815" max="13815" width="12.140625" style="1" customWidth="1"/>
    <col min="13816" max="14058" width="9.140625" style="1"/>
    <col min="14059" max="14059" width="19.7109375" style="1" customWidth="1"/>
    <col min="14060" max="14060" width="10.140625" style="1" customWidth="1"/>
    <col min="14061" max="14061" width="11" style="1" customWidth="1"/>
    <col min="14062" max="14062" width="10.7109375" style="1" customWidth="1"/>
    <col min="14063" max="14063" width="10.140625" style="1" customWidth="1"/>
    <col min="14064" max="14064" width="9.28515625" style="1" customWidth="1"/>
    <col min="14065" max="14065" width="11.7109375" style="1" customWidth="1"/>
    <col min="14066" max="14066" width="12.42578125" style="1" customWidth="1"/>
    <col min="14067" max="14067" width="12.85546875" style="1" customWidth="1"/>
    <col min="14068" max="14068" width="10.42578125" style="1" customWidth="1"/>
    <col min="14069" max="14069" width="11.42578125" style="1" customWidth="1"/>
    <col min="14070" max="14070" width="10.85546875" style="1" customWidth="1"/>
    <col min="14071" max="14071" width="12.140625" style="1" customWidth="1"/>
    <col min="14072" max="14314" width="9.140625" style="1"/>
    <col min="14315" max="14315" width="19.7109375" style="1" customWidth="1"/>
    <col min="14316" max="14316" width="10.140625" style="1" customWidth="1"/>
    <col min="14317" max="14317" width="11" style="1" customWidth="1"/>
    <col min="14318" max="14318" width="10.7109375" style="1" customWidth="1"/>
    <col min="14319" max="14319" width="10.140625" style="1" customWidth="1"/>
    <col min="14320" max="14320" width="9.28515625" style="1" customWidth="1"/>
    <col min="14321" max="14321" width="11.7109375" style="1" customWidth="1"/>
    <col min="14322" max="14322" width="12.42578125" style="1" customWidth="1"/>
    <col min="14323" max="14323" width="12.85546875" style="1" customWidth="1"/>
    <col min="14324" max="14324" width="10.42578125" style="1" customWidth="1"/>
    <col min="14325" max="14325" width="11.42578125" style="1" customWidth="1"/>
    <col min="14326" max="14326" width="10.85546875" style="1" customWidth="1"/>
    <col min="14327" max="14327" width="12.140625" style="1" customWidth="1"/>
    <col min="14328" max="14570" width="9.140625" style="1"/>
    <col min="14571" max="14571" width="19.7109375" style="1" customWidth="1"/>
    <col min="14572" max="14572" width="10.140625" style="1" customWidth="1"/>
    <col min="14573" max="14573" width="11" style="1" customWidth="1"/>
    <col min="14574" max="14574" width="10.7109375" style="1" customWidth="1"/>
    <col min="14575" max="14575" width="10.140625" style="1" customWidth="1"/>
    <col min="14576" max="14576" width="9.28515625" style="1" customWidth="1"/>
    <col min="14577" max="14577" width="11.7109375" style="1" customWidth="1"/>
    <col min="14578" max="14578" width="12.42578125" style="1" customWidth="1"/>
    <col min="14579" max="14579" width="12.85546875" style="1" customWidth="1"/>
    <col min="14580" max="14580" width="10.42578125" style="1" customWidth="1"/>
    <col min="14581" max="14581" width="11.42578125" style="1" customWidth="1"/>
    <col min="14582" max="14582" width="10.85546875" style="1" customWidth="1"/>
    <col min="14583" max="14583" width="12.140625" style="1" customWidth="1"/>
    <col min="14584" max="14826" width="9.140625" style="1"/>
    <col min="14827" max="14827" width="19.7109375" style="1" customWidth="1"/>
    <col min="14828" max="14828" width="10.140625" style="1" customWidth="1"/>
    <col min="14829" max="14829" width="11" style="1" customWidth="1"/>
    <col min="14830" max="14830" width="10.7109375" style="1" customWidth="1"/>
    <col min="14831" max="14831" width="10.140625" style="1" customWidth="1"/>
    <col min="14832" max="14832" width="9.28515625" style="1" customWidth="1"/>
    <col min="14833" max="14833" width="11.7109375" style="1" customWidth="1"/>
    <col min="14834" max="14834" width="12.42578125" style="1" customWidth="1"/>
    <col min="14835" max="14835" width="12.85546875" style="1" customWidth="1"/>
    <col min="14836" max="14836" width="10.42578125" style="1" customWidth="1"/>
    <col min="14837" max="14837" width="11.42578125" style="1" customWidth="1"/>
    <col min="14838" max="14838" width="10.85546875" style="1" customWidth="1"/>
    <col min="14839" max="14839" width="12.140625" style="1" customWidth="1"/>
    <col min="14840" max="15082" width="9.140625" style="1"/>
    <col min="15083" max="15083" width="19.7109375" style="1" customWidth="1"/>
    <col min="15084" max="15084" width="10.140625" style="1" customWidth="1"/>
    <col min="15085" max="15085" width="11" style="1" customWidth="1"/>
    <col min="15086" max="15086" width="10.7109375" style="1" customWidth="1"/>
    <col min="15087" max="15087" width="10.140625" style="1" customWidth="1"/>
    <col min="15088" max="15088" width="9.28515625" style="1" customWidth="1"/>
    <col min="15089" max="15089" width="11.7109375" style="1" customWidth="1"/>
    <col min="15090" max="15090" width="12.42578125" style="1" customWidth="1"/>
    <col min="15091" max="15091" width="12.85546875" style="1" customWidth="1"/>
    <col min="15092" max="15092" width="10.42578125" style="1" customWidth="1"/>
    <col min="15093" max="15093" width="11.42578125" style="1" customWidth="1"/>
    <col min="15094" max="15094" width="10.85546875" style="1" customWidth="1"/>
    <col min="15095" max="15095" width="12.140625" style="1" customWidth="1"/>
    <col min="15096" max="15338" width="9.140625" style="1"/>
    <col min="15339" max="15339" width="19.7109375" style="1" customWidth="1"/>
    <col min="15340" max="15340" width="10.140625" style="1" customWidth="1"/>
    <col min="15341" max="15341" width="11" style="1" customWidth="1"/>
    <col min="15342" max="15342" width="10.7109375" style="1" customWidth="1"/>
    <col min="15343" max="15343" width="10.140625" style="1" customWidth="1"/>
    <col min="15344" max="15344" width="9.28515625" style="1" customWidth="1"/>
    <col min="15345" max="15345" width="11.7109375" style="1" customWidth="1"/>
    <col min="15346" max="15346" width="12.42578125" style="1" customWidth="1"/>
    <col min="15347" max="15347" width="12.85546875" style="1" customWidth="1"/>
    <col min="15348" max="15348" width="10.42578125" style="1" customWidth="1"/>
    <col min="15349" max="15349" width="11.42578125" style="1" customWidth="1"/>
    <col min="15350" max="15350" width="10.85546875" style="1" customWidth="1"/>
    <col min="15351" max="15351" width="12.140625" style="1" customWidth="1"/>
    <col min="15352" max="15594" width="9.140625" style="1"/>
    <col min="15595" max="15595" width="19.7109375" style="1" customWidth="1"/>
    <col min="15596" max="15596" width="10.140625" style="1" customWidth="1"/>
    <col min="15597" max="15597" width="11" style="1" customWidth="1"/>
    <col min="15598" max="15598" width="10.7109375" style="1" customWidth="1"/>
    <col min="15599" max="15599" width="10.140625" style="1" customWidth="1"/>
    <col min="15600" max="15600" width="9.28515625" style="1" customWidth="1"/>
    <col min="15601" max="15601" width="11.7109375" style="1" customWidth="1"/>
    <col min="15602" max="15602" width="12.42578125" style="1" customWidth="1"/>
    <col min="15603" max="15603" width="12.85546875" style="1" customWidth="1"/>
    <col min="15604" max="15604" width="10.42578125" style="1" customWidth="1"/>
    <col min="15605" max="15605" width="11.42578125" style="1" customWidth="1"/>
    <col min="15606" max="15606" width="10.85546875" style="1" customWidth="1"/>
    <col min="15607" max="15607" width="12.140625" style="1" customWidth="1"/>
    <col min="15608" max="15850" width="9.140625" style="1"/>
    <col min="15851" max="15851" width="19.7109375" style="1" customWidth="1"/>
    <col min="15852" max="15852" width="10.140625" style="1" customWidth="1"/>
    <col min="15853" max="15853" width="11" style="1" customWidth="1"/>
    <col min="15854" max="15854" width="10.7109375" style="1" customWidth="1"/>
    <col min="15855" max="15855" width="10.140625" style="1" customWidth="1"/>
    <col min="15856" max="15856" width="9.28515625" style="1" customWidth="1"/>
    <col min="15857" max="15857" width="11.7109375" style="1" customWidth="1"/>
    <col min="15858" max="15858" width="12.42578125" style="1" customWidth="1"/>
    <col min="15859" max="15859" width="12.85546875" style="1" customWidth="1"/>
    <col min="15860" max="15860" width="10.42578125" style="1" customWidth="1"/>
    <col min="15861" max="15861" width="11.42578125" style="1" customWidth="1"/>
    <col min="15862" max="15862" width="10.85546875" style="1" customWidth="1"/>
    <col min="15863" max="15863" width="12.140625" style="1" customWidth="1"/>
    <col min="15864" max="16106" width="9.140625" style="1"/>
    <col min="16107" max="16107" width="19.7109375" style="1" customWidth="1"/>
    <col min="16108" max="16108" width="10.140625" style="1" customWidth="1"/>
    <col min="16109" max="16109" width="11" style="1" customWidth="1"/>
    <col min="16110" max="16110" width="10.7109375" style="1" customWidth="1"/>
    <col min="16111" max="16111" width="10.140625" style="1" customWidth="1"/>
    <col min="16112" max="16112" width="9.28515625" style="1" customWidth="1"/>
    <col min="16113" max="16113" width="11.7109375" style="1" customWidth="1"/>
    <col min="16114" max="16114" width="12.42578125" style="1" customWidth="1"/>
    <col min="16115" max="16115" width="12.85546875" style="1" customWidth="1"/>
    <col min="16116" max="16116" width="10.42578125" style="1" customWidth="1"/>
    <col min="16117" max="16117" width="11.42578125" style="1" customWidth="1"/>
    <col min="16118" max="16118" width="10.85546875" style="1" customWidth="1"/>
    <col min="16119" max="16119" width="12.140625" style="1" customWidth="1"/>
    <col min="16120" max="16384" width="9.140625" style="1"/>
  </cols>
  <sheetData>
    <row r="1" spans="1:15" ht="38.25" customHeight="1" x14ac:dyDescent="0.2">
      <c r="A1" s="1655" t="s">
        <v>733</v>
      </c>
      <c r="B1" s="1655"/>
      <c r="C1" s="1655"/>
      <c r="D1" s="1655"/>
      <c r="E1" s="1655"/>
      <c r="F1" s="1655"/>
      <c r="G1" s="1655"/>
      <c r="H1" s="1655"/>
      <c r="I1" s="1655"/>
      <c r="J1" s="1655"/>
      <c r="K1" s="1655"/>
      <c r="L1" s="1655"/>
      <c r="M1" s="1655"/>
      <c r="N1" s="1655"/>
      <c r="O1" s="1655"/>
    </row>
    <row r="2" spans="1:15" ht="15" x14ac:dyDescent="0.25">
      <c r="A2" s="2"/>
      <c r="M2" s="253" t="s">
        <v>0</v>
      </c>
      <c r="O2" s="146" t="s">
        <v>58</v>
      </c>
    </row>
    <row r="3" spans="1:15" x14ac:dyDescent="0.2">
      <c r="A3" s="1629" t="s">
        <v>22</v>
      </c>
      <c r="B3" s="1661" t="s">
        <v>352</v>
      </c>
      <c r="C3" s="1677"/>
      <c r="D3" s="1677"/>
      <c r="E3" s="1677"/>
      <c r="F3" s="1677"/>
      <c r="G3" s="1677"/>
      <c r="H3" s="1677"/>
      <c r="I3" s="1677"/>
      <c r="J3" s="1677"/>
      <c r="K3" s="1677"/>
      <c r="L3" s="1662"/>
      <c r="M3" s="1682" t="s">
        <v>90</v>
      </c>
      <c r="N3" s="202"/>
      <c r="O3" s="1682" t="s">
        <v>129</v>
      </c>
    </row>
    <row r="4" spans="1:15" x14ac:dyDescent="0.2">
      <c r="A4" s="1687"/>
      <c r="B4" s="1661" t="s">
        <v>8</v>
      </c>
      <c r="C4" s="1677"/>
      <c r="D4" s="1677"/>
      <c r="E4" s="1677"/>
      <c r="F4" s="1677"/>
      <c r="G4" s="1662"/>
      <c r="H4" s="1661" t="s">
        <v>10</v>
      </c>
      <c r="I4" s="1677"/>
      <c r="J4" s="1677"/>
      <c r="K4" s="1677"/>
      <c r="L4" s="1662"/>
      <c r="M4" s="1683"/>
      <c r="N4" s="202"/>
      <c r="O4" s="1683"/>
    </row>
    <row r="5" spans="1:15" ht="52.5" customHeight="1" x14ac:dyDescent="0.2">
      <c r="A5" s="1630"/>
      <c r="B5" s="1171" t="s">
        <v>999</v>
      </c>
      <c r="C5" s="1172" t="s">
        <v>1000</v>
      </c>
      <c r="D5" s="1172" t="s">
        <v>1001</v>
      </c>
      <c r="E5" s="1172" t="s">
        <v>84</v>
      </c>
      <c r="F5" s="1172" t="s">
        <v>1002</v>
      </c>
      <c r="G5" s="1172" t="s">
        <v>93</v>
      </c>
      <c r="H5" s="1172" t="s">
        <v>85</v>
      </c>
      <c r="I5" s="1172" t="s">
        <v>86</v>
      </c>
      <c r="J5" s="1172" t="s">
        <v>87</v>
      </c>
      <c r="K5" s="1172" t="s">
        <v>88</v>
      </c>
      <c r="L5" s="1207" t="s">
        <v>89</v>
      </c>
      <c r="M5" s="1683"/>
      <c r="N5" s="101"/>
      <c r="O5" s="1684"/>
    </row>
    <row r="6" spans="1:15" ht="18.75" customHeight="1" x14ac:dyDescent="0.2">
      <c r="A6" s="717" t="s">
        <v>23</v>
      </c>
      <c r="B6" s="408">
        <f>T_09!C5</f>
        <v>8</v>
      </c>
      <c r="C6" s="408">
        <f>T_09!D5</f>
        <v>5</v>
      </c>
      <c r="D6" s="408">
        <f>T_09!E5</f>
        <v>1</v>
      </c>
      <c r="E6" s="408">
        <f>T_09!F5</f>
        <v>2</v>
      </c>
      <c r="F6" s="408">
        <f>T_09!G5</f>
        <v>0</v>
      </c>
      <c r="G6" s="1313">
        <f>T_09!H5</f>
        <v>0</v>
      </c>
      <c r="H6" s="408">
        <f>T_09!I5</f>
        <v>29</v>
      </c>
      <c r="I6" s="408">
        <f>T_09!J5</f>
        <v>11</v>
      </c>
      <c r="J6" s="408">
        <f>T_09!K5</f>
        <v>17</v>
      </c>
      <c r="K6" s="408">
        <f>T_09!L5</f>
        <v>7</v>
      </c>
      <c r="L6" s="968">
        <f>SUM(H6:K6)</f>
        <v>64</v>
      </c>
      <c r="M6" s="971">
        <f>SUM(B6:K6)</f>
        <v>80</v>
      </c>
      <c r="N6" s="777"/>
      <c r="O6" s="416">
        <f>M6/T_09!B5*100000</f>
        <v>34.965034965034967</v>
      </c>
    </row>
    <row r="7" spans="1:15" ht="13.5" customHeight="1" x14ac:dyDescent="0.2">
      <c r="A7" s="5" t="s">
        <v>24</v>
      </c>
      <c r="B7" s="1311">
        <f>T_09!C6</f>
        <v>11</v>
      </c>
      <c r="C7" s="1311">
        <f>T_09!D6</f>
        <v>19</v>
      </c>
      <c r="D7" s="1311">
        <f>T_09!E6</f>
        <v>9</v>
      </c>
      <c r="E7" s="1311">
        <f>T_09!F6</f>
        <v>0</v>
      </c>
      <c r="F7" s="1311">
        <f>T_09!G6</f>
        <v>2</v>
      </c>
      <c r="G7" s="1314">
        <f>T_09!H6</f>
        <v>0</v>
      </c>
      <c r="H7" s="1311">
        <f>T_09!I6</f>
        <v>37</v>
      </c>
      <c r="I7" s="1311">
        <f>T_09!J6</f>
        <v>4</v>
      </c>
      <c r="J7" s="1311">
        <f>T_09!K6</f>
        <v>37</v>
      </c>
      <c r="K7" s="1311">
        <f>T_09!L6</f>
        <v>0</v>
      </c>
      <c r="L7" s="1312">
        <f t="shared" ref="L7:L37" si="0">SUM(H7:K7)</f>
        <v>78</v>
      </c>
      <c r="M7" s="973">
        <f t="shared" ref="M7:M37" si="1">SUM(B7:K7)</f>
        <v>119</v>
      </c>
      <c r="N7" s="777"/>
      <c r="O7" s="276">
        <f>M7/T_09!B6*100000</f>
        <v>45.454545454545453</v>
      </c>
    </row>
    <row r="8" spans="1:15" ht="13.5" customHeight="1" x14ac:dyDescent="0.2">
      <c r="A8" s="355" t="s">
        <v>25</v>
      </c>
      <c r="B8" s="408">
        <f>T_09!C7</f>
        <v>7</v>
      </c>
      <c r="C8" s="408">
        <f>T_09!D7</f>
        <v>3</v>
      </c>
      <c r="D8" s="408">
        <f>T_09!E7</f>
        <v>4</v>
      </c>
      <c r="E8" s="408">
        <f>T_09!F7</f>
        <v>4</v>
      </c>
      <c r="F8" s="408">
        <f>T_09!G7</f>
        <v>0</v>
      </c>
      <c r="G8" s="1315">
        <f>T_09!H7</f>
        <v>0</v>
      </c>
      <c r="H8" s="408">
        <f>T_09!I7</f>
        <v>11</v>
      </c>
      <c r="I8" s="408">
        <f>T_09!J7</f>
        <v>3</v>
      </c>
      <c r="J8" s="408">
        <f>T_09!K7</f>
        <v>16</v>
      </c>
      <c r="K8" s="408">
        <f>T_09!L7</f>
        <v>0</v>
      </c>
      <c r="L8" s="970">
        <f t="shared" si="0"/>
        <v>30</v>
      </c>
      <c r="M8" s="972">
        <f t="shared" si="1"/>
        <v>48</v>
      </c>
      <c r="N8" s="777"/>
      <c r="O8" s="416">
        <f>M8/T_09!B7*100000</f>
        <v>41.279669762641895</v>
      </c>
    </row>
    <row r="9" spans="1:15" ht="13.5" customHeight="1" x14ac:dyDescent="0.2">
      <c r="A9" s="5" t="s">
        <v>26</v>
      </c>
      <c r="B9" s="1311">
        <f>T_09!C8</f>
        <v>4</v>
      </c>
      <c r="C9" s="1311">
        <f>T_09!D8</f>
        <v>5</v>
      </c>
      <c r="D9" s="1311">
        <f>T_09!E8</f>
        <v>0</v>
      </c>
      <c r="E9" s="1311">
        <f>T_09!F8</f>
        <v>2</v>
      </c>
      <c r="F9" s="1311">
        <f>T_09!G8</f>
        <v>4</v>
      </c>
      <c r="G9" s="1314">
        <f>T_09!H8</f>
        <v>0</v>
      </c>
      <c r="H9" s="1311">
        <f>T_09!I8</f>
        <v>20</v>
      </c>
      <c r="I9" s="1311">
        <f>T_09!J8</f>
        <v>4</v>
      </c>
      <c r="J9" s="1311">
        <f>T_09!K8</f>
        <v>9</v>
      </c>
      <c r="K9" s="1311">
        <f>T_09!L8</f>
        <v>0</v>
      </c>
      <c r="L9" s="1312">
        <f t="shared" si="0"/>
        <v>33</v>
      </c>
      <c r="M9" s="973">
        <f t="shared" si="1"/>
        <v>48</v>
      </c>
      <c r="N9" s="777"/>
      <c r="O9" s="276">
        <f>M9/T_09!B8*100000</f>
        <v>55.293168989747727</v>
      </c>
    </row>
    <row r="10" spans="1:15" ht="13.5" customHeight="1" x14ac:dyDescent="0.2">
      <c r="A10" s="355" t="s">
        <v>27</v>
      </c>
      <c r="B10" s="408">
        <f>T_09!C9</f>
        <v>0</v>
      </c>
      <c r="C10" s="408">
        <f>T_09!D9</f>
        <v>0</v>
      </c>
      <c r="D10" s="408">
        <f>T_09!E9</f>
        <v>4</v>
      </c>
      <c r="E10" s="408">
        <f>T_09!F9</f>
        <v>7</v>
      </c>
      <c r="F10" s="408">
        <f>T_09!G9</f>
        <v>0</v>
      </c>
      <c r="G10" s="1315">
        <f>T_09!H9</f>
        <v>0</v>
      </c>
      <c r="H10" s="408">
        <f>T_09!I9</f>
        <v>5</v>
      </c>
      <c r="I10" s="408">
        <f>T_09!J9</f>
        <v>2</v>
      </c>
      <c r="J10" s="408">
        <f>T_09!K9</f>
        <v>2</v>
      </c>
      <c r="K10" s="408">
        <f>T_09!L9</f>
        <v>1</v>
      </c>
      <c r="L10" s="970">
        <f t="shared" si="0"/>
        <v>10</v>
      </c>
      <c r="M10" s="972">
        <f t="shared" si="1"/>
        <v>21</v>
      </c>
      <c r="N10" s="777"/>
      <c r="O10" s="416">
        <f>M10/T_09!B9*100000</f>
        <v>40.816326530612244</v>
      </c>
    </row>
    <row r="11" spans="1:15" ht="13.5" customHeight="1" x14ac:dyDescent="0.2">
      <c r="A11" s="5" t="s">
        <v>28</v>
      </c>
      <c r="B11" s="1311">
        <f>T_09!C10</f>
        <v>12</v>
      </c>
      <c r="C11" s="1311">
        <f>T_09!D10</f>
        <v>4</v>
      </c>
      <c r="D11" s="1311">
        <f>T_09!E10</f>
        <v>2</v>
      </c>
      <c r="E11" s="1311">
        <f>T_09!F10</f>
        <v>5</v>
      </c>
      <c r="F11" s="1311">
        <f>T_09!G10</f>
        <v>0</v>
      </c>
      <c r="G11" s="1314">
        <f>T_09!H10</f>
        <v>0</v>
      </c>
      <c r="H11" s="1311">
        <f>T_09!I10</f>
        <v>29</v>
      </c>
      <c r="I11" s="1311">
        <f>T_09!J10</f>
        <v>3</v>
      </c>
      <c r="J11" s="1311">
        <f>T_09!K10</f>
        <v>27</v>
      </c>
      <c r="K11" s="1311">
        <f>T_09!L10</f>
        <v>1</v>
      </c>
      <c r="L11" s="969">
        <f t="shared" si="0"/>
        <v>60</v>
      </c>
      <c r="M11" s="973">
        <f t="shared" si="1"/>
        <v>83</v>
      </c>
      <c r="N11" s="777"/>
      <c r="O11" s="276">
        <f>M11/T_09!B10*100000</f>
        <v>55.630026809651476</v>
      </c>
    </row>
    <row r="12" spans="1:15" ht="13.5" customHeight="1" x14ac:dyDescent="0.2">
      <c r="A12" s="355" t="s">
        <v>29</v>
      </c>
      <c r="B12" s="408">
        <f>T_09!C11</f>
        <v>17</v>
      </c>
      <c r="C12" s="408">
        <f>T_09!D11</f>
        <v>2</v>
      </c>
      <c r="D12" s="408">
        <f>T_09!E11</f>
        <v>0</v>
      </c>
      <c r="E12" s="408">
        <f>T_09!F11</f>
        <v>5</v>
      </c>
      <c r="F12" s="408">
        <f>T_09!G11</f>
        <v>0</v>
      </c>
      <c r="G12" s="1315">
        <f>T_09!H11</f>
        <v>0</v>
      </c>
      <c r="H12" s="408">
        <f>T_09!I11</f>
        <v>25</v>
      </c>
      <c r="I12" s="408">
        <f>T_09!J11</f>
        <v>7</v>
      </c>
      <c r="J12" s="408">
        <f>T_09!K11</f>
        <v>10</v>
      </c>
      <c r="K12" s="408">
        <f>T_09!L11</f>
        <v>4</v>
      </c>
      <c r="L12" s="970">
        <f t="shared" si="0"/>
        <v>46</v>
      </c>
      <c r="M12" s="972">
        <f t="shared" si="1"/>
        <v>70</v>
      </c>
      <c r="N12" s="777"/>
      <c r="O12" s="416">
        <f>M12/T_09!B11*100000</f>
        <v>47.071481406764839</v>
      </c>
    </row>
    <row r="13" spans="1:15" ht="13.5" customHeight="1" x14ac:dyDescent="0.2">
      <c r="A13" s="5" t="s">
        <v>30</v>
      </c>
      <c r="B13" s="1311">
        <f>T_09!C12</f>
        <v>4</v>
      </c>
      <c r="C13" s="1311">
        <f>T_09!D12</f>
        <v>2</v>
      </c>
      <c r="D13" s="1311">
        <f>T_09!E12</f>
        <v>1</v>
      </c>
      <c r="E13" s="1311">
        <f>T_09!F12</f>
        <v>4</v>
      </c>
      <c r="F13" s="1311">
        <f>T_09!G12</f>
        <v>0</v>
      </c>
      <c r="G13" s="1314">
        <f>T_09!H12</f>
        <v>0</v>
      </c>
      <c r="H13" s="1311">
        <f>T_09!I12</f>
        <v>33</v>
      </c>
      <c r="I13" s="1311">
        <f>T_09!J12</f>
        <v>4</v>
      </c>
      <c r="J13" s="1311">
        <f>T_09!K12</f>
        <v>11</v>
      </c>
      <c r="K13" s="1311">
        <f>T_09!L12</f>
        <v>1</v>
      </c>
      <c r="L13" s="969">
        <f t="shared" si="0"/>
        <v>49</v>
      </c>
      <c r="M13" s="973">
        <f t="shared" si="1"/>
        <v>60</v>
      </c>
      <c r="N13" s="777"/>
      <c r="O13" s="276">
        <f>M13/T_09!B12*100000</f>
        <v>49.204526816467109</v>
      </c>
    </row>
    <row r="14" spans="1:15" ht="13.5" customHeight="1" x14ac:dyDescent="0.2">
      <c r="A14" s="355" t="s">
        <v>31</v>
      </c>
      <c r="B14" s="408">
        <f>T_09!C13</f>
        <v>5</v>
      </c>
      <c r="C14" s="408">
        <f>T_09!D13</f>
        <v>0</v>
      </c>
      <c r="D14" s="408">
        <f>T_09!E13</f>
        <v>0</v>
      </c>
      <c r="E14" s="408">
        <f>T_09!F13</f>
        <v>5</v>
      </c>
      <c r="F14" s="408">
        <f>T_09!G13</f>
        <v>0</v>
      </c>
      <c r="G14" s="1315">
        <f>T_09!H13</f>
        <v>0</v>
      </c>
      <c r="H14" s="408">
        <f>T_09!I13</f>
        <v>25</v>
      </c>
      <c r="I14" s="408">
        <f>T_09!J13</f>
        <v>13</v>
      </c>
      <c r="J14" s="408">
        <f>T_09!K13</f>
        <v>7</v>
      </c>
      <c r="K14" s="408">
        <f>T_09!L13</f>
        <v>2</v>
      </c>
      <c r="L14" s="970">
        <f t="shared" si="0"/>
        <v>47</v>
      </c>
      <c r="M14" s="972">
        <f t="shared" si="1"/>
        <v>57</v>
      </c>
      <c r="N14" s="777"/>
      <c r="O14" s="416">
        <f>M14/T_09!B13*100000</f>
        <v>52.714325349116805</v>
      </c>
    </row>
    <row r="15" spans="1:15" ht="13.5" customHeight="1" x14ac:dyDescent="0.2">
      <c r="A15" s="5" t="s">
        <v>32</v>
      </c>
      <c r="B15" s="1311">
        <f>T_09!C14</f>
        <v>15</v>
      </c>
      <c r="C15" s="1311">
        <f>T_09!D14</f>
        <v>3</v>
      </c>
      <c r="D15" s="1311">
        <f>T_09!E14</f>
        <v>7</v>
      </c>
      <c r="E15" s="1311">
        <f>T_09!F14</f>
        <v>19</v>
      </c>
      <c r="F15" s="1311">
        <f>T_09!G14</f>
        <v>1</v>
      </c>
      <c r="G15" s="1314">
        <f>T_09!H14</f>
        <v>0</v>
      </c>
      <c r="H15" s="1311">
        <f>T_09!I14</f>
        <v>12</v>
      </c>
      <c r="I15" s="1311">
        <f>T_09!J14</f>
        <v>3</v>
      </c>
      <c r="J15" s="1311">
        <f>T_09!K14</f>
        <v>12</v>
      </c>
      <c r="K15" s="1311">
        <f>T_09!L14</f>
        <v>3</v>
      </c>
      <c r="L15" s="969">
        <f t="shared" si="0"/>
        <v>30</v>
      </c>
      <c r="M15" s="973">
        <f t="shared" si="1"/>
        <v>75</v>
      </c>
      <c r="N15" s="777"/>
      <c r="O15" s="276">
        <f>M15/T_09!B14*100000</f>
        <v>71.537581075925218</v>
      </c>
    </row>
    <row r="16" spans="1:15" ht="13.5" customHeight="1" x14ac:dyDescent="0.2">
      <c r="A16" s="355" t="s">
        <v>33</v>
      </c>
      <c r="B16" s="408">
        <f>T_09!C15</f>
        <v>1</v>
      </c>
      <c r="C16" s="408">
        <f>T_09!D15</f>
        <v>2</v>
      </c>
      <c r="D16" s="408">
        <f>T_09!E15</f>
        <v>0</v>
      </c>
      <c r="E16" s="408">
        <f>T_09!F15</f>
        <v>1</v>
      </c>
      <c r="F16" s="408">
        <f>T_09!G15</f>
        <v>0</v>
      </c>
      <c r="G16" s="1315">
        <f>T_09!H15</f>
        <v>0</v>
      </c>
      <c r="H16" s="408">
        <f>T_09!I15</f>
        <v>11</v>
      </c>
      <c r="I16" s="408">
        <f>T_09!J15</f>
        <v>4</v>
      </c>
      <c r="J16" s="408">
        <f>T_09!K15</f>
        <v>4</v>
      </c>
      <c r="K16" s="408">
        <f>T_09!L15</f>
        <v>0</v>
      </c>
      <c r="L16" s="970">
        <f t="shared" si="0"/>
        <v>19</v>
      </c>
      <c r="M16" s="972">
        <f t="shared" si="1"/>
        <v>23</v>
      </c>
      <c r="N16" s="777"/>
      <c r="O16" s="416">
        <f>M16/T_09!B15*100000</f>
        <v>24.271844660194173</v>
      </c>
    </row>
    <row r="17" spans="1:15" ht="13.5" customHeight="1" x14ac:dyDescent="0.2">
      <c r="A17" s="435" t="s">
        <v>137</v>
      </c>
      <c r="B17" s="1311">
        <f>T_09!C16</f>
        <v>49</v>
      </c>
      <c r="C17" s="1311">
        <f>T_09!D16</f>
        <v>6</v>
      </c>
      <c r="D17" s="1311">
        <f>T_09!E16</f>
        <v>6</v>
      </c>
      <c r="E17" s="1311">
        <f>T_09!F16</f>
        <v>30</v>
      </c>
      <c r="F17" s="1311">
        <f>T_09!G16</f>
        <v>2</v>
      </c>
      <c r="G17" s="1314">
        <f>T_09!H16</f>
        <v>1</v>
      </c>
      <c r="H17" s="1311">
        <f>T_09!I16</f>
        <v>76</v>
      </c>
      <c r="I17" s="1311">
        <f>T_09!J16</f>
        <v>20</v>
      </c>
      <c r="J17" s="1311">
        <f>T_09!K16</f>
        <v>36</v>
      </c>
      <c r="K17" s="1311">
        <f>T_09!L16</f>
        <v>50</v>
      </c>
      <c r="L17" s="969">
        <f t="shared" si="0"/>
        <v>182</v>
      </c>
      <c r="M17" s="973">
        <f t="shared" si="1"/>
        <v>276</v>
      </c>
      <c r="N17" s="777"/>
      <c r="O17" s="276">
        <f>M17/T_09!B16*100000</f>
        <v>53.779154731981059</v>
      </c>
    </row>
    <row r="18" spans="1:15" ht="13.5" customHeight="1" x14ac:dyDescent="0.2">
      <c r="A18" s="355" t="s">
        <v>34</v>
      </c>
      <c r="B18" s="408">
        <f>T_09!C17</f>
        <v>16</v>
      </c>
      <c r="C18" s="408">
        <f>T_09!D17</f>
        <v>2</v>
      </c>
      <c r="D18" s="408">
        <f>T_09!E17</f>
        <v>6</v>
      </c>
      <c r="E18" s="408">
        <f>T_09!F17</f>
        <v>48</v>
      </c>
      <c r="F18" s="408">
        <f>T_09!G17</f>
        <v>0</v>
      </c>
      <c r="G18" s="1315">
        <f>T_09!H17</f>
        <v>1</v>
      </c>
      <c r="H18" s="408">
        <f>T_09!I17</f>
        <v>22</v>
      </c>
      <c r="I18" s="408">
        <f>T_09!J17</f>
        <v>5</v>
      </c>
      <c r="J18" s="408">
        <f>T_09!K17</f>
        <v>20</v>
      </c>
      <c r="K18" s="408">
        <f>T_09!L17</f>
        <v>5</v>
      </c>
      <c r="L18" s="970">
        <f t="shared" si="0"/>
        <v>52</v>
      </c>
      <c r="M18" s="972">
        <f t="shared" si="1"/>
        <v>125</v>
      </c>
      <c r="N18" s="777"/>
      <c r="O18" s="416">
        <f>M18/T_09!B17*100000</f>
        <v>78.061574970336608</v>
      </c>
    </row>
    <row r="19" spans="1:15" ht="13.5" customHeight="1" x14ac:dyDescent="0.2">
      <c r="A19" s="5" t="s">
        <v>35</v>
      </c>
      <c r="B19" s="1311">
        <f>T_09!C18</f>
        <v>24</v>
      </c>
      <c r="C19" s="1311">
        <f>T_09!D18</f>
        <v>14</v>
      </c>
      <c r="D19" s="1311">
        <f>T_09!E18</f>
        <v>11</v>
      </c>
      <c r="E19" s="1311">
        <f>T_09!F18</f>
        <v>58</v>
      </c>
      <c r="F19" s="1311">
        <f>T_09!G18</f>
        <v>3</v>
      </c>
      <c r="G19" s="1314">
        <f>T_09!H18</f>
        <v>0</v>
      </c>
      <c r="H19" s="1311">
        <f>T_09!I18</f>
        <v>54</v>
      </c>
      <c r="I19" s="1311">
        <f>T_09!J18</f>
        <v>10</v>
      </c>
      <c r="J19" s="1311">
        <f>T_09!K18</f>
        <v>25</v>
      </c>
      <c r="K19" s="1311">
        <f>T_09!L18</f>
        <v>4</v>
      </c>
      <c r="L19" s="969">
        <f t="shared" si="0"/>
        <v>93</v>
      </c>
      <c r="M19" s="973">
        <f t="shared" si="1"/>
        <v>203</v>
      </c>
      <c r="N19" s="777"/>
      <c r="O19" s="276">
        <f>M19/T_09!B18*100000</f>
        <v>54.656578982795295</v>
      </c>
    </row>
    <row r="20" spans="1:15" ht="13.5" customHeight="1" x14ac:dyDescent="0.2">
      <c r="A20" s="355" t="s">
        <v>36</v>
      </c>
      <c r="B20" s="408">
        <f>T_09!C19</f>
        <v>42</v>
      </c>
      <c r="C20" s="408">
        <f>T_09!D19</f>
        <v>22</v>
      </c>
      <c r="D20" s="408">
        <f>T_09!E19</f>
        <v>0</v>
      </c>
      <c r="E20" s="408">
        <f>T_09!F19</f>
        <v>11</v>
      </c>
      <c r="F20" s="408">
        <f>T_09!G19</f>
        <v>3</v>
      </c>
      <c r="G20" s="1315">
        <f>T_09!H19</f>
        <v>2</v>
      </c>
      <c r="H20" s="408">
        <f>T_09!I19</f>
        <v>174</v>
      </c>
      <c r="I20" s="408">
        <f>T_09!J19</f>
        <v>47</v>
      </c>
      <c r="J20" s="408">
        <f>T_09!K19</f>
        <v>73</v>
      </c>
      <c r="K20" s="408">
        <f>T_09!L19</f>
        <v>6</v>
      </c>
      <c r="L20" s="970">
        <f t="shared" si="0"/>
        <v>300</v>
      </c>
      <c r="M20" s="972">
        <f t="shared" si="1"/>
        <v>380</v>
      </c>
      <c r="N20" s="777"/>
      <c r="O20" s="416">
        <f>M20/T_09!B19*100000</f>
        <v>61.189655727673824</v>
      </c>
    </row>
    <row r="21" spans="1:15" ht="13.5" customHeight="1" x14ac:dyDescent="0.2">
      <c r="A21" s="5" t="s">
        <v>37</v>
      </c>
      <c r="B21" s="1311">
        <f>T_09!C20</f>
        <v>7</v>
      </c>
      <c r="C21" s="1311">
        <f>T_09!D20</f>
        <v>15</v>
      </c>
      <c r="D21" s="1311">
        <f>T_09!E20</f>
        <v>16</v>
      </c>
      <c r="E21" s="1311">
        <f>T_09!F20</f>
        <v>6</v>
      </c>
      <c r="F21" s="1311">
        <f>T_09!G20</f>
        <v>3</v>
      </c>
      <c r="G21" s="1314">
        <f>T_09!H20</f>
        <v>0</v>
      </c>
      <c r="H21" s="1311">
        <f>T_09!I20</f>
        <v>30</v>
      </c>
      <c r="I21" s="1311">
        <f>T_09!J20</f>
        <v>9</v>
      </c>
      <c r="J21" s="1311">
        <f>T_09!K20</f>
        <v>31</v>
      </c>
      <c r="K21" s="1311">
        <f>T_09!L20</f>
        <v>2</v>
      </c>
      <c r="L21" s="969">
        <f t="shared" si="0"/>
        <v>72</v>
      </c>
      <c r="M21" s="973">
        <f t="shared" si="1"/>
        <v>119</v>
      </c>
      <c r="N21" s="777"/>
      <c r="O21" s="276">
        <f>M21/T_09!B20*100000</f>
        <v>50.599540777276985</v>
      </c>
    </row>
    <row r="22" spans="1:15" ht="13.5" customHeight="1" x14ac:dyDescent="0.2">
      <c r="A22" s="355" t="s">
        <v>38</v>
      </c>
      <c r="B22" s="408">
        <f>T_09!C21</f>
        <v>6</v>
      </c>
      <c r="C22" s="408">
        <f>T_09!D21</f>
        <v>3</v>
      </c>
      <c r="D22" s="408">
        <f>T_09!E21</f>
        <v>1</v>
      </c>
      <c r="E22" s="408">
        <f>T_09!F21</f>
        <v>0</v>
      </c>
      <c r="F22" s="408">
        <f>T_09!G21</f>
        <v>1</v>
      </c>
      <c r="G22" s="1315">
        <f>T_09!H21</f>
        <v>0</v>
      </c>
      <c r="H22" s="408">
        <f>T_09!I21</f>
        <v>21</v>
      </c>
      <c r="I22" s="408">
        <f>T_09!J21</f>
        <v>8</v>
      </c>
      <c r="J22" s="408">
        <f>T_09!K21</f>
        <v>12</v>
      </c>
      <c r="K22" s="408">
        <f>T_09!L21</f>
        <v>1</v>
      </c>
      <c r="L22" s="970">
        <f t="shared" si="0"/>
        <v>42</v>
      </c>
      <c r="M22" s="972">
        <f t="shared" si="1"/>
        <v>53</v>
      </c>
      <c r="N22" s="777"/>
      <c r="O22" s="416">
        <f>M22/T_09!B21*100000</f>
        <v>67.293042153377343</v>
      </c>
    </row>
    <row r="23" spans="1:15" ht="13.5" customHeight="1" x14ac:dyDescent="0.2">
      <c r="A23" s="5" t="s">
        <v>39</v>
      </c>
      <c r="B23" s="1311">
        <f>T_09!C22</f>
        <v>13</v>
      </c>
      <c r="C23" s="1311">
        <f>T_09!D22</f>
        <v>0</v>
      </c>
      <c r="D23" s="1311">
        <f>T_09!E22</f>
        <v>7</v>
      </c>
      <c r="E23" s="1311">
        <f>T_09!F22</f>
        <v>41</v>
      </c>
      <c r="F23" s="1311">
        <f>T_09!G22</f>
        <v>0</v>
      </c>
      <c r="G23" s="1314">
        <f>T_09!H22</f>
        <v>0</v>
      </c>
      <c r="H23" s="1311">
        <f>T_09!I22</f>
        <v>20</v>
      </c>
      <c r="I23" s="1311">
        <f>T_09!J22</f>
        <v>4</v>
      </c>
      <c r="J23" s="1311">
        <f>T_09!K22</f>
        <v>15</v>
      </c>
      <c r="K23" s="1311">
        <f>T_09!L22</f>
        <v>4</v>
      </c>
      <c r="L23" s="969">
        <f t="shared" si="0"/>
        <v>43</v>
      </c>
      <c r="M23" s="973">
        <f t="shared" si="1"/>
        <v>104</v>
      </c>
      <c r="N23" s="777"/>
      <c r="O23" s="276">
        <f>M23/T_09!B22*100000</f>
        <v>115.44011544011543</v>
      </c>
    </row>
    <row r="24" spans="1:15" ht="13.5" customHeight="1" x14ac:dyDescent="0.2">
      <c r="A24" s="355" t="s">
        <v>40</v>
      </c>
      <c r="B24" s="408">
        <f>T_09!C23</f>
        <v>5</v>
      </c>
      <c r="C24" s="408">
        <f>T_09!D23</f>
        <v>4</v>
      </c>
      <c r="D24" s="408">
        <f>T_09!E23</f>
        <v>3</v>
      </c>
      <c r="E24" s="408">
        <f>T_09!F23</f>
        <v>1</v>
      </c>
      <c r="F24" s="408">
        <f>T_09!G23</f>
        <v>1</v>
      </c>
      <c r="G24" s="1315">
        <f>T_09!H23</f>
        <v>1</v>
      </c>
      <c r="H24" s="408">
        <f>T_09!I23</f>
        <v>10</v>
      </c>
      <c r="I24" s="408">
        <f>T_09!J23</f>
        <v>4</v>
      </c>
      <c r="J24" s="408">
        <f>T_09!K23</f>
        <v>9</v>
      </c>
      <c r="K24" s="408">
        <f>T_09!L23</f>
        <v>1</v>
      </c>
      <c r="L24" s="970">
        <f t="shared" si="0"/>
        <v>24</v>
      </c>
      <c r="M24" s="972">
        <f t="shared" si="1"/>
        <v>39</v>
      </c>
      <c r="N24" s="777"/>
      <c r="O24" s="416">
        <f>M24/T_09!B23*100000</f>
        <v>40.718312800167048</v>
      </c>
    </row>
    <row r="25" spans="1:15" ht="13.5" customHeight="1" x14ac:dyDescent="0.2">
      <c r="A25" s="5" t="s">
        <v>393</v>
      </c>
      <c r="B25" s="1311">
        <f>T_09!C24</f>
        <v>0</v>
      </c>
      <c r="C25" s="1311">
        <f>T_09!D24</f>
        <v>4</v>
      </c>
      <c r="D25" s="1311">
        <f>T_09!E24</f>
        <v>1</v>
      </c>
      <c r="E25" s="1311">
        <f>T_09!F24</f>
        <v>0</v>
      </c>
      <c r="F25" s="1311">
        <f>T_09!G24</f>
        <v>0</v>
      </c>
      <c r="G25" s="1314">
        <f>T_09!H24</f>
        <v>0</v>
      </c>
      <c r="H25" s="1311">
        <f>T_09!I24</f>
        <v>5</v>
      </c>
      <c r="I25" s="1311">
        <f>T_09!J24</f>
        <v>1</v>
      </c>
      <c r="J25" s="1311">
        <f>T_09!K24</f>
        <v>3</v>
      </c>
      <c r="K25" s="1311">
        <f>T_09!L24</f>
        <v>0</v>
      </c>
      <c r="L25" s="1312">
        <f t="shared" si="0"/>
        <v>9</v>
      </c>
      <c r="M25" s="973">
        <f t="shared" si="1"/>
        <v>14</v>
      </c>
      <c r="N25" s="777"/>
      <c r="O25" s="276">
        <f>M25/T_09!B24*100000</f>
        <v>51.948051948051948</v>
      </c>
    </row>
    <row r="26" spans="1:15" ht="13.5" customHeight="1" x14ac:dyDescent="0.2">
      <c r="A26" s="355" t="s">
        <v>41</v>
      </c>
      <c r="B26" s="408">
        <f>T_09!C25</f>
        <v>6</v>
      </c>
      <c r="C26" s="408">
        <f>T_09!D25</f>
        <v>3</v>
      </c>
      <c r="D26" s="408">
        <f>T_09!E25</f>
        <v>2</v>
      </c>
      <c r="E26" s="408">
        <f>T_09!F25</f>
        <v>5</v>
      </c>
      <c r="F26" s="408">
        <f>T_09!G25</f>
        <v>1</v>
      </c>
      <c r="G26" s="1315">
        <f>T_09!H25</f>
        <v>0</v>
      </c>
      <c r="H26" s="408">
        <f>T_09!I25</f>
        <v>27</v>
      </c>
      <c r="I26" s="408">
        <f>T_09!J25</f>
        <v>3</v>
      </c>
      <c r="J26" s="408">
        <f>T_09!K25</f>
        <v>9</v>
      </c>
      <c r="K26" s="408">
        <f>T_09!L25</f>
        <v>2</v>
      </c>
      <c r="L26" s="970">
        <f t="shared" si="0"/>
        <v>41</v>
      </c>
      <c r="M26" s="972">
        <f t="shared" si="1"/>
        <v>58</v>
      </c>
      <c r="N26" s="777"/>
      <c r="O26" s="416">
        <f>M26/T_09!B25*100000</f>
        <v>42.713012740260694</v>
      </c>
    </row>
    <row r="27" spans="1:15" ht="13.5" customHeight="1" x14ac:dyDescent="0.2">
      <c r="A27" s="435" t="s">
        <v>42</v>
      </c>
      <c r="B27" s="1311">
        <f>T_09!C26</f>
        <v>12</v>
      </c>
      <c r="C27" s="1311">
        <f>T_09!D26</f>
        <v>8</v>
      </c>
      <c r="D27" s="1311">
        <f>T_09!E26</f>
        <v>0</v>
      </c>
      <c r="E27" s="1311">
        <f>T_09!F26</f>
        <v>10</v>
      </c>
      <c r="F27" s="1311">
        <f>T_09!G26</f>
        <v>2</v>
      </c>
      <c r="G27" s="1314">
        <f>T_09!H26</f>
        <v>1</v>
      </c>
      <c r="H27" s="1311">
        <f>T_09!I26</f>
        <v>100</v>
      </c>
      <c r="I27" s="1311">
        <f>T_09!J26</f>
        <v>27</v>
      </c>
      <c r="J27" s="1311">
        <f>T_09!K26</f>
        <v>53</v>
      </c>
      <c r="K27" s="1311">
        <f>T_09!L26</f>
        <v>10</v>
      </c>
      <c r="L27" s="1312">
        <f t="shared" si="0"/>
        <v>190</v>
      </c>
      <c r="M27" s="973">
        <f t="shared" si="1"/>
        <v>223</v>
      </c>
      <c r="N27" s="777"/>
      <c r="O27" s="276">
        <f>M27/T_09!B26*100000</f>
        <v>65.595952464995875</v>
      </c>
    </row>
    <row r="28" spans="1:15" ht="13.5" customHeight="1" x14ac:dyDescent="0.2">
      <c r="A28" s="355" t="s">
        <v>43</v>
      </c>
      <c r="B28" s="408">
        <f>T_09!C27</f>
        <v>0</v>
      </c>
      <c r="C28" s="408">
        <f>T_09!D27</f>
        <v>1</v>
      </c>
      <c r="D28" s="408">
        <f>T_09!E27</f>
        <v>0</v>
      </c>
      <c r="E28" s="408">
        <f>T_09!F27</f>
        <v>0</v>
      </c>
      <c r="F28" s="408">
        <f>T_09!G27</f>
        <v>0</v>
      </c>
      <c r="G28" s="1315">
        <f>T_09!H27</f>
        <v>0</v>
      </c>
      <c r="H28" s="408">
        <f>T_09!I27</f>
        <v>1</v>
      </c>
      <c r="I28" s="408">
        <f>T_09!J27</f>
        <v>0</v>
      </c>
      <c r="J28" s="408">
        <f>T_09!K27</f>
        <v>4</v>
      </c>
      <c r="K28" s="408">
        <f>T_09!L27</f>
        <v>0</v>
      </c>
      <c r="L28" s="970">
        <f t="shared" si="0"/>
        <v>5</v>
      </c>
      <c r="M28" s="972">
        <f t="shared" si="1"/>
        <v>6</v>
      </c>
      <c r="N28" s="777"/>
      <c r="O28" s="416">
        <f>M28/T_09!B27*100000</f>
        <v>27.272727272727273</v>
      </c>
    </row>
    <row r="29" spans="1:15" ht="13.5" customHeight="1" x14ac:dyDescent="0.2">
      <c r="A29" s="435" t="s">
        <v>44</v>
      </c>
      <c r="B29" s="1311">
        <f>T_09!C28</f>
        <v>4</v>
      </c>
      <c r="C29" s="1311">
        <f>T_09!D28</f>
        <v>3</v>
      </c>
      <c r="D29" s="1311">
        <f>T_09!E28</f>
        <v>2</v>
      </c>
      <c r="E29" s="1311">
        <f>T_09!F28</f>
        <v>9</v>
      </c>
      <c r="F29" s="1311">
        <f>T_09!G28</f>
        <v>0</v>
      </c>
      <c r="G29" s="1314">
        <f>T_09!H28</f>
        <v>0</v>
      </c>
      <c r="H29" s="1311">
        <f>T_09!I28</f>
        <v>20</v>
      </c>
      <c r="I29" s="1311">
        <f>T_09!J28</f>
        <v>2</v>
      </c>
      <c r="J29" s="1311">
        <f>T_09!K28</f>
        <v>21</v>
      </c>
      <c r="K29" s="1311">
        <f>T_09!L28</f>
        <v>0</v>
      </c>
      <c r="L29" s="1312">
        <f t="shared" si="0"/>
        <v>43</v>
      </c>
      <c r="M29" s="973">
        <f t="shared" si="1"/>
        <v>61</v>
      </c>
      <c r="N29" s="777"/>
      <c r="O29" s="276">
        <f>M29/T_09!B28*100000</f>
        <v>40.370615486432825</v>
      </c>
    </row>
    <row r="30" spans="1:15" ht="13.5" customHeight="1" x14ac:dyDescent="0.2">
      <c r="A30" s="355" t="s">
        <v>45</v>
      </c>
      <c r="B30" s="408">
        <f>T_09!C29</f>
        <v>12</v>
      </c>
      <c r="C30" s="408">
        <f>T_09!D29</f>
        <v>6</v>
      </c>
      <c r="D30" s="408">
        <f>T_09!E29</f>
        <v>2</v>
      </c>
      <c r="E30" s="408">
        <f>T_09!F29</f>
        <v>12</v>
      </c>
      <c r="F30" s="408">
        <f>T_09!G29</f>
        <v>0</v>
      </c>
      <c r="G30" s="1315">
        <f>T_09!H29</f>
        <v>0</v>
      </c>
      <c r="H30" s="408">
        <f>T_09!I29</f>
        <v>47</v>
      </c>
      <c r="I30" s="408">
        <f>T_09!J29</f>
        <v>11</v>
      </c>
      <c r="J30" s="408">
        <f>T_09!K29</f>
        <v>12</v>
      </c>
      <c r="K30" s="408">
        <f>T_09!L29</f>
        <v>1</v>
      </c>
      <c r="L30" s="970">
        <f t="shared" si="0"/>
        <v>71</v>
      </c>
      <c r="M30" s="972">
        <f t="shared" si="1"/>
        <v>103</v>
      </c>
      <c r="N30" s="777"/>
      <c r="O30" s="416">
        <f>M30/T_09!B29*100000</f>
        <v>58.248034835717917</v>
      </c>
    </row>
    <row r="31" spans="1:15" ht="13.5" customHeight="1" x14ac:dyDescent="0.2">
      <c r="A31" s="30" t="s">
        <v>46</v>
      </c>
      <c r="B31" s="1311">
        <f>T_09!C30</f>
        <v>3</v>
      </c>
      <c r="C31" s="1311">
        <f>T_09!D30</f>
        <v>3</v>
      </c>
      <c r="D31" s="1311">
        <f>T_09!E30</f>
        <v>2</v>
      </c>
      <c r="E31" s="1311">
        <f>T_09!F30</f>
        <v>37</v>
      </c>
      <c r="F31" s="1311">
        <f>T_09!G30</f>
        <v>0</v>
      </c>
      <c r="G31" s="1314">
        <f>T_09!H30</f>
        <v>1</v>
      </c>
      <c r="H31" s="1311">
        <f>T_09!I30</f>
        <v>13</v>
      </c>
      <c r="I31" s="1311">
        <f>T_09!J30</f>
        <v>3</v>
      </c>
      <c r="J31" s="1311">
        <f>T_09!K30</f>
        <v>6</v>
      </c>
      <c r="K31" s="1311">
        <f>T_09!L30</f>
        <v>1</v>
      </c>
      <c r="L31" s="1312">
        <f>SUM(H31:K31)</f>
        <v>23</v>
      </c>
      <c r="M31" s="973">
        <f t="shared" si="1"/>
        <v>69</v>
      </c>
      <c r="N31" s="777"/>
      <c r="O31" s="276">
        <f>M31/T_09!B30*100000</f>
        <v>59.989567031820549</v>
      </c>
    </row>
    <row r="32" spans="1:15" ht="13.5" customHeight="1" x14ac:dyDescent="0.2">
      <c r="A32" s="355" t="s">
        <v>47</v>
      </c>
      <c r="B32" s="408">
        <f>T_09!C31</f>
        <v>0</v>
      </c>
      <c r="C32" s="408">
        <f>T_09!D31</f>
        <v>7</v>
      </c>
      <c r="D32" s="408">
        <f>T_09!E31</f>
        <v>0</v>
      </c>
      <c r="E32" s="408">
        <f>T_09!F31</f>
        <v>0</v>
      </c>
      <c r="F32" s="408">
        <f>T_09!G31</f>
        <v>1</v>
      </c>
      <c r="G32" s="1315">
        <f>T_09!H31</f>
        <v>0</v>
      </c>
      <c r="H32" s="408">
        <f>T_09!I31</f>
        <v>3</v>
      </c>
      <c r="I32" s="408">
        <f>T_09!J31</f>
        <v>0</v>
      </c>
      <c r="J32" s="408">
        <f>T_09!K31</f>
        <v>2</v>
      </c>
      <c r="K32" s="408">
        <f>T_09!L31</f>
        <v>0</v>
      </c>
      <c r="L32" s="970">
        <f t="shared" si="0"/>
        <v>5</v>
      </c>
      <c r="M32" s="972">
        <f t="shared" si="1"/>
        <v>13</v>
      </c>
      <c r="N32" s="777"/>
      <c r="O32" s="416">
        <f>M32/T_09!B31*100000</f>
        <v>56.32582322357019</v>
      </c>
    </row>
    <row r="33" spans="1:15" ht="13.5" customHeight="1" x14ac:dyDescent="0.2">
      <c r="A33" s="5" t="s">
        <v>48</v>
      </c>
      <c r="B33" s="1311">
        <f>T_09!C32</f>
        <v>4</v>
      </c>
      <c r="C33" s="1311">
        <f>T_09!D32</f>
        <v>5</v>
      </c>
      <c r="D33" s="1311">
        <f>T_09!E32</f>
        <v>2</v>
      </c>
      <c r="E33" s="1311">
        <f>T_09!F32</f>
        <v>3</v>
      </c>
      <c r="F33" s="1311">
        <f>T_09!G32</f>
        <v>1</v>
      </c>
      <c r="G33" s="1314">
        <f>T_09!H32</f>
        <v>0</v>
      </c>
      <c r="H33" s="1311">
        <f>T_09!I32</f>
        <v>22</v>
      </c>
      <c r="I33" s="1311">
        <f>T_09!J32</f>
        <v>4</v>
      </c>
      <c r="J33" s="1311">
        <f>T_09!K32</f>
        <v>14</v>
      </c>
      <c r="K33" s="1311">
        <f>T_09!L32</f>
        <v>0</v>
      </c>
      <c r="L33" s="1312">
        <f t="shared" si="0"/>
        <v>40</v>
      </c>
      <c r="M33" s="973">
        <f t="shared" si="1"/>
        <v>55</v>
      </c>
      <c r="N33" s="777"/>
      <c r="O33" s="276">
        <f>M33/T_09!B32*100000</f>
        <v>48.810791622293223</v>
      </c>
    </row>
    <row r="34" spans="1:15" ht="13.5" customHeight="1" x14ac:dyDescent="0.2">
      <c r="A34" s="355" t="s">
        <v>49</v>
      </c>
      <c r="B34" s="408">
        <f>T_09!C33</f>
        <v>21</v>
      </c>
      <c r="C34" s="408">
        <f>T_09!D33</f>
        <v>4</v>
      </c>
      <c r="D34" s="408">
        <f>T_09!E33</f>
        <v>4</v>
      </c>
      <c r="E34" s="408">
        <f>T_09!F33</f>
        <v>10</v>
      </c>
      <c r="F34" s="408">
        <f>T_09!G33</f>
        <v>1</v>
      </c>
      <c r="G34" s="1315">
        <f>T_09!H33</f>
        <v>1</v>
      </c>
      <c r="H34" s="408">
        <f>T_09!I33</f>
        <v>81</v>
      </c>
      <c r="I34" s="408">
        <f>T_09!J33</f>
        <v>22</v>
      </c>
      <c r="J34" s="408">
        <f>T_09!K33</f>
        <v>42</v>
      </c>
      <c r="K34" s="408">
        <f>T_09!L33</f>
        <v>5</v>
      </c>
      <c r="L34" s="970">
        <f t="shared" si="0"/>
        <v>150</v>
      </c>
      <c r="M34" s="972">
        <f t="shared" si="1"/>
        <v>191</v>
      </c>
      <c r="N34" s="777"/>
      <c r="O34" s="416">
        <f>M34/T_09!B33*100000</f>
        <v>60.030801144042492</v>
      </c>
    </row>
    <row r="35" spans="1:15" ht="13.5" customHeight="1" x14ac:dyDescent="0.2">
      <c r="A35" s="5" t="s">
        <v>50</v>
      </c>
      <c r="B35" s="1311">
        <f>T_09!C34</f>
        <v>5</v>
      </c>
      <c r="C35" s="1311">
        <f>T_09!D34</f>
        <v>2</v>
      </c>
      <c r="D35" s="1311">
        <f>T_09!E34</f>
        <v>2</v>
      </c>
      <c r="E35" s="1311">
        <f>T_09!F34</f>
        <v>7</v>
      </c>
      <c r="F35" s="1311">
        <f>T_09!G34</f>
        <v>1</v>
      </c>
      <c r="G35" s="1314">
        <f>T_09!H34</f>
        <v>0</v>
      </c>
      <c r="H35" s="1311">
        <f>T_09!I34</f>
        <v>18</v>
      </c>
      <c r="I35" s="1311">
        <f>T_09!J34</f>
        <v>3</v>
      </c>
      <c r="J35" s="1311">
        <f>T_09!K34</f>
        <v>5</v>
      </c>
      <c r="K35" s="1311">
        <f>T_09!L34</f>
        <v>1</v>
      </c>
      <c r="L35" s="969">
        <f t="shared" si="0"/>
        <v>27</v>
      </c>
      <c r="M35" s="973">
        <f t="shared" si="1"/>
        <v>44</v>
      </c>
      <c r="N35" s="777"/>
      <c r="O35" s="276">
        <f>M35/T_09!B34*100000</f>
        <v>46.808510638297875</v>
      </c>
    </row>
    <row r="36" spans="1:15" ht="13.5" customHeight="1" x14ac:dyDescent="0.2">
      <c r="A36" s="355" t="s">
        <v>51</v>
      </c>
      <c r="B36" s="408">
        <f>T_09!C35</f>
        <v>5</v>
      </c>
      <c r="C36" s="408">
        <f>T_09!D35</f>
        <v>2</v>
      </c>
      <c r="D36" s="408">
        <f>T_09!E35</f>
        <v>3</v>
      </c>
      <c r="E36" s="408">
        <f>T_09!F35</f>
        <v>0</v>
      </c>
      <c r="F36" s="408">
        <f>T_09!G35</f>
        <v>1</v>
      </c>
      <c r="G36" s="1315">
        <f>T_09!H35</f>
        <v>0</v>
      </c>
      <c r="H36" s="408">
        <f>T_09!I35</f>
        <v>41</v>
      </c>
      <c r="I36" s="408">
        <f>T_09!J35</f>
        <v>0</v>
      </c>
      <c r="J36" s="408">
        <f>T_09!K35</f>
        <v>11</v>
      </c>
      <c r="K36" s="408">
        <f>T_09!L35</f>
        <v>1</v>
      </c>
      <c r="L36" s="970">
        <f t="shared" si="0"/>
        <v>53</v>
      </c>
      <c r="M36" s="972">
        <f t="shared" si="1"/>
        <v>64</v>
      </c>
      <c r="N36" s="777"/>
      <c r="O36" s="416">
        <f>M36/T_09!B35*100000</f>
        <v>71.420600379421941</v>
      </c>
    </row>
    <row r="37" spans="1:15" ht="13.5" customHeight="1" x14ac:dyDescent="0.2">
      <c r="A37" s="5" t="s">
        <v>52</v>
      </c>
      <c r="B37" s="1311">
        <f>T_09!C36</f>
        <v>15</v>
      </c>
      <c r="C37" s="1311">
        <f>T_09!D36</f>
        <v>6</v>
      </c>
      <c r="D37" s="1311">
        <f>T_09!E36</f>
        <v>2</v>
      </c>
      <c r="E37" s="1311">
        <f>T_09!F36</f>
        <v>79</v>
      </c>
      <c r="F37" s="1311">
        <f>T_09!G36</f>
        <v>0</v>
      </c>
      <c r="G37" s="1314">
        <f>T_09!H36</f>
        <v>0</v>
      </c>
      <c r="H37" s="1311">
        <f>T_09!I36</f>
        <v>45</v>
      </c>
      <c r="I37" s="1311">
        <f>T_09!J36</f>
        <v>11</v>
      </c>
      <c r="J37" s="1311">
        <f>T_09!K36</f>
        <v>16</v>
      </c>
      <c r="K37" s="1311">
        <f>T_09!L36</f>
        <v>5</v>
      </c>
      <c r="L37" s="969">
        <f t="shared" si="0"/>
        <v>77</v>
      </c>
      <c r="M37" s="973">
        <f t="shared" si="1"/>
        <v>179</v>
      </c>
      <c r="N37" s="777"/>
      <c r="O37" s="276">
        <f>M37/T_09!B36*100000</f>
        <v>98.725938999503612</v>
      </c>
    </row>
    <row r="38" spans="1:15" ht="13.5" customHeight="1" x14ac:dyDescent="0.2">
      <c r="A38" s="718"/>
      <c r="B38" s="420"/>
      <c r="C38" s="420"/>
      <c r="D38" s="420"/>
      <c r="E38" s="420"/>
      <c r="F38" s="420"/>
      <c r="G38" s="1310"/>
      <c r="H38" s="414"/>
      <c r="I38" s="414"/>
      <c r="J38" s="414"/>
      <c r="K38" s="414"/>
      <c r="L38" s="413"/>
      <c r="M38" s="351"/>
      <c r="N38" s="777"/>
      <c r="O38" s="416"/>
    </row>
    <row r="39" spans="1:15" s="101" customFormat="1" ht="30" customHeight="1" x14ac:dyDescent="0.2">
      <c r="A39" s="232" t="s">
        <v>159</v>
      </c>
      <c r="B39" s="97">
        <f>SUM(B6:B38)</f>
        <v>333</v>
      </c>
      <c r="C39" s="98">
        <f t="shared" ref="C39:M39" si="2">SUM(C6:C38)</f>
        <v>165</v>
      </c>
      <c r="D39" s="98">
        <f t="shared" si="2"/>
        <v>100</v>
      </c>
      <c r="E39" s="98">
        <f t="shared" si="2"/>
        <v>421</v>
      </c>
      <c r="F39" s="98">
        <f t="shared" si="2"/>
        <v>28</v>
      </c>
      <c r="G39" s="99">
        <f t="shared" si="2"/>
        <v>8</v>
      </c>
      <c r="H39" s="206">
        <f t="shared" si="2"/>
        <v>1067</v>
      </c>
      <c r="I39" s="206">
        <f t="shared" si="2"/>
        <v>252</v>
      </c>
      <c r="J39" s="206">
        <f t="shared" si="2"/>
        <v>571</v>
      </c>
      <c r="K39" s="206">
        <f t="shared" si="2"/>
        <v>118</v>
      </c>
      <c r="L39" s="100">
        <f t="shared" si="2"/>
        <v>2008</v>
      </c>
      <c r="M39" s="100">
        <f t="shared" si="2"/>
        <v>3063</v>
      </c>
      <c r="N39" s="777"/>
      <c r="O39" s="417">
        <f>M39/T_09!B37*100000</f>
        <v>56.462911075062678</v>
      </c>
    </row>
    <row r="40" spans="1:15" x14ac:dyDescent="0.2">
      <c r="A40" s="2"/>
      <c r="B40" s="34"/>
      <c r="C40" s="34"/>
      <c r="D40" s="34"/>
      <c r="E40" s="34"/>
      <c r="F40" s="34"/>
      <c r="G40" s="34"/>
      <c r="H40" s="34"/>
      <c r="I40" s="106"/>
      <c r="J40" s="34"/>
      <c r="K40" s="34"/>
      <c r="L40" s="34"/>
      <c r="N40" s="34"/>
    </row>
    <row r="41" spans="1:15" x14ac:dyDescent="0.2">
      <c r="A41" s="68" t="s">
        <v>162</v>
      </c>
    </row>
    <row r="42" spans="1:15" x14ac:dyDescent="0.2">
      <c r="A42" s="1649" t="s">
        <v>963</v>
      </c>
      <c r="B42" s="1649"/>
      <c r="C42" s="1649"/>
      <c r="D42" s="1649"/>
      <c r="E42" s="1649"/>
      <c r="F42" s="1649"/>
      <c r="G42" s="1649"/>
      <c r="H42" s="1649"/>
      <c r="I42" s="1649"/>
      <c r="J42" s="1649"/>
    </row>
    <row r="43" spans="1:15" x14ac:dyDescent="0.2">
      <c r="A43" s="309"/>
    </row>
    <row r="44" spans="1:15" x14ac:dyDescent="0.2">
      <c r="A44" s="51" t="s">
        <v>136</v>
      </c>
    </row>
  </sheetData>
  <sheetProtection algorithmName="SHA-512" hashValue="3d3+m8M+2Wij+d9jwC9FDZY0B+GsKhPLMiW560ag6fy1fmPSzLPnhSQwpBihzz365qTNdrKnaWo9UuT5ukCuSg==" saltValue="n1o+gzM3IflI3xB7JUHlTA==" spinCount="100000" sheet="1" objects="1" scenarios="1"/>
  <mergeCells count="8">
    <mergeCell ref="B3:L3"/>
    <mergeCell ref="B4:G4"/>
    <mergeCell ref="H4:L4"/>
    <mergeCell ref="A1:O1"/>
    <mergeCell ref="A42:J42"/>
    <mergeCell ref="A3:A5"/>
    <mergeCell ref="M3:M5"/>
    <mergeCell ref="O3:O5"/>
  </mergeCells>
  <hyperlinks>
    <hyperlink ref="A44" location="Contents!A1" display="Return to contents " xr:uid="{00000000-0004-0000-2B00-000000000000}"/>
  </hyperlinks>
  <pageMargins left="0.70866141732283472" right="0.70866141732283472" top="0.74803149606299213" bottom="0.74803149606299213" header="0.31496062992125984" footer="0.31496062992125984"/>
  <pageSetup paperSize="9" scale="73" fitToHeight="2" orientation="landscape"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7"/>
  <dimension ref="A2:M37"/>
  <sheetViews>
    <sheetView workbookViewId="0">
      <selection activeCell="D14" sqref="D14"/>
    </sheetView>
  </sheetViews>
  <sheetFormatPr defaultRowHeight="12.75" x14ac:dyDescent="0.2"/>
  <cols>
    <col min="1" max="1" width="20.28515625" bestFit="1" customWidth="1"/>
    <col min="2" max="2" width="11.42578125" bestFit="1" customWidth="1"/>
    <col min="3" max="3" width="27.7109375" bestFit="1" customWidth="1"/>
    <col min="4" max="4" width="43.42578125" bestFit="1" customWidth="1"/>
    <col min="5" max="5" width="29.7109375" bestFit="1" customWidth="1"/>
    <col min="6" max="6" width="20.140625" bestFit="1" customWidth="1"/>
    <col min="7" max="7" width="32.85546875" bestFit="1" customWidth="1"/>
    <col min="8" max="8" width="39.7109375" bestFit="1" customWidth="1"/>
    <col min="9" max="9" width="13.85546875" bestFit="1" customWidth="1"/>
    <col min="10" max="10" width="25.140625" bestFit="1" customWidth="1"/>
    <col min="11" max="11" width="28.85546875" bestFit="1" customWidth="1"/>
    <col min="12" max="12" width="40.28515625" bestFit="1" customWidth="1"/>
    <col min="13" max="13" width="35.28515625" bestFit="1" customWidth="1"/>
  </cols>
  <sheetData>
    <row r="2" spans="1:13" x14ac:dyDescent="0.2">
      <c r="A2" s="1300" t="s">
        <v>4</v>
      </c>
      <c r="B2" t="s">
        <v>603</v>
      </c>
    </row>
    <row r="4" spans="1:13" x14ac:dyDescent="0.2">
      <c r="A4" s="1300" t="s">
        <v>658</v>
      </c>
      <c r="B4" t="s">
        <v>669</v>
      </c>
      <c r="C4" t="s">
        <v>734</v>
      </c>
      <c r="D4" t="s">
        <v>735</v>
      </c>
      <c r="E4" t="s">
        <v>736</v>
      </c>
      <c r="F4" t="s">
        <v>737</v>
      </c>
      <c r="G4" t="s">
        <v>738</v>
      </c>
      <c r="H4" t="s">
        <v>739</v>
      </c>
      <c r="I4" t="s">
        <v>740</v>
      </c>
      <c r="J4" t="s">
        <v>741</v>
      </c>
      <c r="K4" t="s">
        <v>742</v>
      </c>
      <c r="L4" t="s">
        <v>743</v>
      </c>
      <c r="M4" t="s">
        <v>744</v>
      </c>
    </row>
    <row r="5" spans="1:13" x14ac:dyDescent="0.2">
      <c r="A5" s="1301" t="s">
        <v>23</v>
      </c>
      <c r="B5">
        <v>228800</v>
      </c>
      <c r="C5">
        <v>8</v>
      </c>
      <c r="D5">
        <v>5</v>
      </c>
      <c r="E5">
        <v>1</v>
      </c>
      <c r="F5">
        <v>2</v>
      </c>
      <c r="I5">
        <v>29</v>
      </c>
      <c r="J5">
        <v>11</v>
      </c>
      <c r="K5">
        <v>17</v>
      </c>
      <c r="L5">
        <v>7</v>
      </c>
      <c r="M5">
        <v>80</v>
      </c>
    </row>
    <row r="6" spans="1:13" x14ac:dyDescent="0.2">
      <c r="A6" s="1301" t="s">
        <v>24</v>
      </c>
      <c r="B6">
        <v>261800</v>
      </c>
      <c r="C6">
        <v>11</v>
      </c>
      <c r="D6">
        <v>19</v>
      </c>
      <c r="E6">
        <v>9</v>
      </c>
      <c r="G6">
        <v>2</v>
      </c>
      <c r="I6">
        <v>37</v>
      </c>
      <c r="J6">
        <v>4</v>
      </c>
      <c r="K6">
        <v>37</v>
      </c>
      <c r="M6">
        <v>119</v>
      </c>
    </row>
    <row r="7" spans="1:13" x14ac:dyDescent="0.2">
      <c r="A7" s="1301" t="s">
        <v>25</v>
      </c>
      <c r="B7">
        <v>116280</v>
      </c>
      <c r="C7">
        <v>7</v>
      </c>
      <c r="D7">
        <v>3</v>
      </c>
      <c r="E7">
        <v>4</v>
      </c>
      <c r="F7">
        <v>4</v>
      </c>
      <c r="I7">
        <v>11</v>
      </c>
      <c r="J7">
        <v>3</v>
      </c>
      <c r="K7">
        <v>16</v>
      </c>
      <c r="M7">
        <v>48</v>
      </c>
    </row>
    <row r="8" spans="1:13" x14ac:dyDescent="0.2">
      <c r="A8" s="1301" t="s">
        <v>26</v>
      </c>
      <c r="B8">
        <v>86810</v>
      </c>
      <c r="C8">
        <v>4</v>
      </c>
      <c r="D8">
        <v>5</v>
      </c>
      <c r="F8">
        <v>2</v>
      </c>
      <c r="G8">
        <v>4</v>
      </c>
      <c r="I8">
        <v>20</v>
      </c>
      <c r="J8">
        <v>4</v>
      </c>
      <c r="K8">
        <v>9</v>
      </c>
      <c r="M8">
        <v>48</v>
      </c>
    </row>
    <row r="9" spans="1:13" x14ac:dyDescent="0.2">
      <c r="A9" s="1301" t="s">
        <v>27</v>
      </c>
      <c r="B9">
        <v>51450</v>
      </c>
      <c r="E9">
        <v>4</v>
      </c>
      <c r="F9">
        <v>7</v>
      </c>
      <c r="I9">
        <v>5</v>
      </c>
      <c r="J9">
        <v>2</v>
      </c>
      <c r="K9">
        <v>2</v>
      </c>
      <c r="L9">
        <v>1</v>
      </c>
      <c r="M9">
        <v>21</v>
      </c>
    </row>
    <row r="10" spans="1:13" x14ac:dyDescent="0.2">
      <c r="A10" s="1301" t="s">
        <v>28</v>
      </c>
      <c r="B10">
        <v>149200</v>
      </c>
      <c r="C10">
        <v>12</v>
      </c>
      <c r="D10">
        <v>4</v>
      </c>
      <c r="E10">
        <v>2</v>
      </c>
      <c r="F10">
        <v>5</v>
      </c>
      <c r="I10">
        <v>29</v>
      </c>
      <c r="J10">
        <v>3</v>
      </c>
      <c r="K10">
        <v>27</v>
      </c>
      <c r="L10">
        <v>1</v>
      </c>
      <c r="M10">
        <v>83</v>
      </c>
    </row>
    <row r="11" spans="1:13" x14ac:dyDescent="0.2">
      <c r="A11" s="1301" t="s">
        <v>29</v>
      </c>
      <c r="B11">
        <v>148710</v>
      </c>
      <c r="C11">
        <v>17</v>
      </c>
      <c r="D11">
        <v>2</v>
      </c>
      <c r="F11">
        <v>5</v>
      </c>
      <c r="I11">
        <v>25</v>
      </c>
      <c r="J11">
        <v>7</v>
      </c>
      <c r="K11">
        <v>10</v>
      </c>
      <c r="L11">
        <v>4</v>
      </c>
      <c r="M11">
        <v>70</v>
      </c>
    </row>
    <row r="12" spans="1:13" x14ac:dyDescent="0.2">
      <c r="A12" s="1301" t="s">
        <v>30</v>
      </c>
      <c r="B12">
        <v>121940</v>
      </c>
      <c r="C12">
        <v>4</v>
      </c>
      <c r="D12">
        <v>2</v>
      </c>
      <c r="E12">
        <v>1</v>
      </c>
      <c r="F12">
        <v>4</v>
      </c>
      <c r="I12">
        <v>33</v>
      </c>
      <c r="J12">
        <v>4</v>
      </c>
      <c r="K12">
        <v>11</v>
      </c>
      <c r="L12">
        <v>1</v>
      </c>
      <c r="M12">
        <v>60</v>
      </c>
    </row>
    <row r="13" spans="1:13" x14ac:dyDescent="0.2">
      <c r="A13" s="1301" t="s">
        <v>31</v>
      </c>
      <c r="B13">
        <v>108130</v>
      </c>
      <c r="C13">
        <v>5</v>
      </c>
      <c r="F13">
        <v>5</v>
      </c>
      <c r="I13">
        <v>25</v>
      </c>
      <c r="J13">
        <v>13</v>
      </c>
      <c r="K13">
        <v>7</v>
      </c>
      <c r="L13">
        <v>2</v>
      </c>
      <c r="M13">
        <v>57</v>
      </c>
    </row>
    <row r="14" spans="1:13" x14ac:dyDescent="0.2">
      <c r="A14" s="1301" t="s">
        <v>32</v>
      </c>
      <c r="B14">
        <v>104840</v>
      </c>
      <c r="C14">
        <v>15</v>
      </c>
      <c r="D14">
        <v>3</v>
      </c>
      <c r="E14">
        <v>7</v>
      </c>
      <c r="F14">
        <v>19</v>
      </c>
      <c r="G14">
        <v>1</v>
      </c>
      <c r="I14">
        <v>12</v>
      </c>
      <c r="J14">
        <v>3</v>
      </c>
      <c r="K14">
        <v>12</v>
      </c>
      <c r="L14">
        <v>3</v>
      </c>
      <c r="M14">
        <v>75</v>
      </c>
    </row>
    <row r="15" spans="1:13" x14ac:dyDescent="0.2">
      <c r="A15" s="1301" t="s">
        <v>33</v>
      </c>
      <c r="B15">
        <v>94760</v>
      </c>
      <c r="C15">
        <v>1</v>
      </c>
      <c r="D15">
        <v>2</v>
      </c>
      <c r="F15">
        <v>1</v>
      </c>
      <c r="I15">
        <v>11</v>
      </c>
      <c r="J15">
        <v>4</v>
      </c>
      <c r="K15">
        <v>4</v>
      </c>
      <c r="M15">
        <v>23</v>
      </c>
    </row>
    <row r="16" spans="1:13" x14ac:dyDescent="0.2">
      <c r="A16" s="1301" t="s">
        <v>665</v>
      </c>
      <c r="B16">
        <v>513210</v>
      </c>
      <c r="C16">
        <v>49</v>
      </c>
      <c r="D16">
        <v>6</v>
      </c>
      <c r="E16">
        <v>6</v>
      </c>
      <c r="F16">
        <v>30</v>
      </c>
      <c r="G16">
        <v>2</v>
      </c>
      <c r="H16">
        <v>1</v>
      </c>
      <c r="I16">
        <v>76</v>
      </c>
      <c r="J16">
        <v>20</v>
      </c>
      <c r="K16">
        <v>36</v>
      </c>
      <c r="L16">
        <v>50</v>
      </c>
      <c r="M16">
        <v>276</v>
      </c>
    </row>
    <row r="17" spans="1:13" x14ac:dyDescent="0.2">
      <c r="A17" s="1301" t="s">
        <v>34</v>
      </c>
      <c r="B17">
        <v>160130</v>
      </c>
      <c r="C17">
        <v>16</v>
      </c>
      <c r="D17">
        <v>2</v>
      </c>
      <c r="E17">
        <v>6</v>
      </c>
      <c r="F17">
        <v>48</v>
      </c>
      <c r="H17">
        <v>1</v>
      </c>
      <c r="I17">
        <v>22</v>
      </c>
      <c r="J17">
        <v>5</v>
      </c>
      <c r="K17">
        <v>20</v>
      </c>
      <c r="L17">
        <v>5</v>
      </c>
      <c r="M17">
        <v>125</v>
      </c>
    </row>
    <row r="18" spans="1:13" x14ac:dyDescent="0.2">
      <c r="A18" s="1301" t="s">
        <v>35</v>
      </c>
      <c r="B18">
        <v>371410</v>
      </c>
      <c r="C18">
        <v>24</v>
      </c>
      <c r="D18">
        <v>14</v>
      </c>
      <c r="E18">
        <v>11</v>
      </c>
      <c r="F18">
        <v>58</v>
      </c>
      <c r="G18">
        <v>3</v>
      </c>
      <c r="I18">
        <v>54</v>
      </c>
      <c r="J18">
        <v>10</v>
      </c>
      <c r="K18">
        <v>25</v>
      </c>
      <c r="L18">
        <v>4</v>
      </c>
      <c r="M18">
        <v>203</v>
      </c>
    </row>
    <row r="19" spans="1:13" x14ac:dyDescent="0.2">
      <c r="A19" s="1301" t="s">
        <v>36</v>
      </c>
      <c r="B19">
        <v>621020</v>
      </c>
      <c r="C19">
        <v>42</v>
      </c>
      <c r="D19">
        <v>22</v>
      </c>
      <c r="F19">
        <v>11</v>
      </c>
      <c r="G19">
        <v>3</v>
      </c>
      <c r="H19">
        <v>2</v>
      </c>
      <c r="I19">
        <v>174</v>
      </c>
      <c r="J19">
        <v>47</v>
      </c>
      <c r="K19">
        <v>73</v>
      </c>
      <c r="L19">
        <v>6</v>
      </c>
      <c r="M19">
        <v>380</v>
      </c>
    </row>
    <row r="20" spans="1:13" x14ac:dyDescent="0.2">
      <c r="A20" s="1301" t="s">
        <v>37</v>
      </c>
      <c r="B20">
        <v>235180</v>
      </c>
      <c r="C20">
        <v>7</v>
      </c>
      <c r="D20">
        <v>15</v>
      </c>
      <c r="E20">
        <v>16</v>
      </c>
      <c r="F20">
        <v>6</v>
      </c>
      <c r="G20">
        <v>3</v>
      </c>
      <c r="I20">
        <v>30</v>
      </c>
      <c r="J20">
        <v>9</v>
      </c>
      <c r="K20">
        <v>31</v>
      </c>
      <c r="L20">
        <v>2</v>
      </c>
      <c r="M20">
        <v>119</v>
      </c>
    </row>
    <row r="21" spans="1:13" x14ac:dyDescent="0.2">
      <c r="A21" s="1301" t="s">
        <v>38</v>
      </c>
      <c r="B21">
        <v>78760</v>
      </c>
      <c r="C21">
        <v>6</v>
      </c>
      <c r="D21">
        <v>3</v>
      </c>
      <c r="E21">
        <v>1</v>
      </c>
      <c r="G21">
        <v>1</v>
      </c>
      <c r="I21">
        <v>21</v>
      </c>
      <c r="J21">
        <v>8</v>
      </c>
      <c r="K21">
        <v>12</v>
      </c>
      <c r="L21">
        <v>1</v>
      </c>
      <c r="M21">
        <v>53</v>
      </c>
    </row>
    <row r="22" spans="1:13" x14ac:dyDescent="0.2">
      <c r="A22" s="1301" t="s">
        <v>39</v>
      </c>
      <c r="B22">
        <v>90090</v>
      </c>
      <c r="C22">
        <v>13</v>
      </c>
      <c r="E22">
        <v>7</v>
      </c>
      <c r="F22">
        <v>41</v>
      </c>
      <c r="I22">
        <v>20</v>
      </c>
      <c r="J22">
        <v>4</v>
      </c>
      <c r="K22">
        <v>15</v>
      </c>
      <c r="L22">
        <v>4</v>
      </c>
      <c r="M22">
        <v>104</v>
      </c>
    </row>
    <row r="23" spans="1:13" x14ac:dyDescent="0.2">
      <c r="A23" s="1301" t="s">
        <v>40</v>
      </c>
      <c r="B23">
        <v>95780</v>
      </c>
      <c r="C23">
        <v>5</v>
      </c>
      <c r="D23">
        <v>4</v>
      </c>
      <c r="E23">
        <v>3</v>
      </c>
      <c r="F23">
        <v>1</v>
      </c>
      <c r="G23">
        <v>1</v>
      </c>
      <c r="H23">
        <v>1</v>
      </c>
      <c r="I23">
        <v>10</v>
      </c>
      <c r="J23">
        <v>4</v>
      </c>
      <c r="K23">
        <v>9</v>
      </c>
      <c r="L23">
        <v>1</v>
      </c>
      <c r="M23">
        <v>39</v>
      </c>
    </row>
    <row r="24" spans="1:13" x14ac:dyDescent="0.2">
      <c r="A24" s="1301" t="s">
        <v>393</v>
      </c>
      <c r="B24">
        <v>26950</v>
      </c>
      <c r="D24">
        <v>4</v>
      </c>
      <c r="E24">
        <v>1</v>
      </c>
      <c r="I24">
        <v>5</v>
      </c>
      <c r="J24">
        <v>1</v>
      </c>
      <c r="K24">
        <v>3</v>
      </c>
      <c r="M24">
        <v>14</v>
      </c>
    </row>
    <row r="25" spans="1:13" x14ac:dyDescent="0.2">
      <c r="A25" s="1301" t="s">
        <v>41</v>
      </c>
      <c r="B25">
        <v>135790</v>
      </c>
      <c r="C25">
        <v>6</v>
      </c>
      <c r="D25">
        <v>3</v>
      </c>
      <c r="E25">
        <v>2</v>
      </c>
      <c r="F25">
        <v>5</v>
      </c>
      <c r="G25">
        <v>1</v>
      </c>
      <c r="I25">
        <v>27</v>
      </c>
      <c r="J25">
        <v>3</v>
      </c>
      <c r="K25">
        <v>9</v>
      </c>
      <c r="L25">
        <v>2</v>
      </c>
      <c r="M25">
        <v>58</v>
      </c>
    </row>
    <row r="26" spans="1:13" x14ac:dyDescent="0.2">
      <c r="A26" s="1301" t="s">
        <v>42</v>
      </c>
      <c r="B26">
        <v>339960</v>
      </c>
      <c r="C26">
        <v>12</v>
      </c>
      <c r="D26">
        <v>8</v>
      </c>
      <c r="F26">
        <v>10</v>
      </c>
      <c r="G26">
        <v>2</v>
      </c>
      <c r="H26">
        <v>1</v>
      </c>
      <c r="I26">
        <v>100</v>
      </c>
      <c r="J26">
        <v>27</v>
      </c>
      <c r="K26">
        <v>53</v>
      </c>
      <c r="L26">
        <v>10</v>
      </c>
      <c r="M26">
        <v>223</v>
      </c>
    </row>
    <row r="27" spans="1:13" x14ac:dyDescent="0.2">
      <c r="A27" s="1301" t="s">
        <v>43</v>
      </c>
      <c r="B27">
        <v>22000</v>
      </c>
      <c r="D27">
        <v>1</v>
      </c>
      <c r="I27">
        <v>1</v>
      </c>
      <c r="K27">
        <v>4</v>
      </c>
      <c r="M27">
        <v>6</v>
      </c>
    </row>
    <row r="28" spans="1:13" x14ac:dyDescent="0.2">
      <c r="A28" s="1301" t="s">
        <v>44</v>
      </c>
      <c r="B28">
        <v>151100</v>
      </c>
      <c r="C28">
        <v>4</v>
      </c>
      <c r="D28">
        <v>3</v>
      </c>
      <c r="E28">
        <v>2</v>
      </c>
      <c r="F28">
        <v>9</v>
      </c>
      <c r="I28">
        <v>20</v>
      </c>
      <c r="J28">
        <v>2</v>
      </c>
      <c r="K28">
        <v>21</v>
      </c>
      <c r="M28">
        <v>61</v>
      </c>
    </row>
    <row r="29" spans="1:13" x14ac:dyDescent="0.2">
      <c r="A29" s="1301" t="s">
        <v>45</v>
      </c>
      <c r="B29">
        <v>176830</v>
      </c>
      <c r="C29">
        <v>12</v>
      </c>
      <c r="D29">
        <v>6</v>
      </c>
      <c r="E29">
        <v>2</v>
      </c>
      <c r="F29">
        <v>12</v>
      </c>
      <c r="I29">
        <v>47</v>
      </c>
      <c r="J29">
        <v>11</v>
      </c>
      <c r="K29">
        <v>12</v>
      </c>
      <c r="L29">
        <v>1</v>
      </c>
      <c r="M29">
        <v>103</v>
      </c>
    </row>
    <row r="30" spans="1:13" x14ac:dyDescent="0.2">
      <c r="A30" s="1301" t="s">
        <v>46</v>
      </c>
      <c r="B30">
        <v>115020</v>
      </c>
      <c r="C30">
        <v>3</v>
      </c>
      <c r="D30">
        <v>3</v>
      </c>
      <c r="E30">
        <v>2</v>
      </c>
      <c r="F30">
        <v>37</v>
      </c>
      <c r="H30">
        <v>1</v>
      </c>
      <c r="I30">
        <v>13</v>
      </c>
      <c r="J30">
        <v>3</v>
      </c>
      <c r="K30">
        <v>6</v>
      </c>
      <c r="L30">
        <v>1</v>
      </c>
      <c r="M30">
        <v>69</v>
      </c>
    </row>
    <row r="31" spans="1:13" x14ac:dyDescent="0.2">
      <c r="A31" s="1301" t="s">
        <v>47</v>
      </c>
      <c r="B31">
        <v>23080</v>
      </c>
      <c r="D31">
        <v>7</v>
      </c>
      <c r="G31">
        <v>1</v>
      </c>
      <c r="I31">
        <v>3</v>
      </c>
      <c r="K31">
        <v>2</v>
      </c>
      <c r="M31">
        <v>13</v>
      </c>
    </row>
    <row r="32" spans="1:13" x14ac:dyDescent="0.2">
      <c r="A32" s="1301" t="s">
        <v>48</v>
      </c>
      <c r="B32">
        <v>112680</v>
      </c>
      <c r="C32">
        <v>4</v>
      </c>
      <c r="D32">
        <v>5</v>
      </c>
      <c r="E32">
        <v>2</v>
      </c>
      <c r="F32">
        <v>3</v>
      </c>
      <c r="G32">
        <v>1</v>
      </c>
      <c r="I32">
        <v>22</v>
      </c>
      <c r="J32">
        <v>4</v>
      </c>
      <c r="K32">
        <v>14</v>
      </c>
      <c r="M32">
        <v>55</v>
      </c>
    </row>
    <row r="33" spans="1:13" x14ac:dyDescent="0.2">
      <c r="A33" s="1301" t="s">
        <v>49</v>
      </c>
      <c r="B33">
        <v>318170</v>
      </c>
      <c r="C33">
        <v>21</v>
      </c>
      <c r="D33">
        <v>4</v>
      </c>
      <c r="E33">
        <v>4</v>
      </c>
      <c r="F33">
        <v>10</v>
      </c>
      <c r="G33">
        <v>1</v>
      </c>
      <c r="H33">
        <v>1</v>
      </c>
      <c r="I33">
        <v>81</v>
      </c>
      <c r="J33">
        <v>22</v>
      </c>
      <c r="K33">
        <v>42</v>
      </c>
      <c r="L33">
        <v>5</v>
      </c>
      <c r="M33">
        <v>191</v>
      </c>
    </row>
    <row r="34" spans="1:13" x14ac:dyDescent="0.2">
      <c r="A34" s="1301" t="s">
        <v>50</v>
      </c>
      <c r="B34">
        <v>94000</v>
      </c>
      <c r="C34">
        <v>5</v>
      </c>
      <c r="D34">
        <v>2</v>
      </c>
      <c r="E34">
        <v>2</v>
      </c>
      <c r="F34">
        <v>7</v>
      </c>
      <c r="G34">
        <v>1</v>
      </c>
      <c r="I34">
        <v>18</v>
      </c>
      <c r="J34">
        <v>3</v>
      </c>
      <c r="K34">
        <v>5</v>
      </c>
      <c r="L34">
        <v>1</v>
      </c>
      <c r="M34">
        <v>44</v>
      </c>
    </row>
    <row r="35" spans="1:13" x14ac:dyDescent="0.2">
      <c r="A35" s="1301" t="s">
        <v>51</v>
      </c>
      <c r="B35">
        <v>89610</v>
      </c>
      <c r="C35">
        <v>5</v>
      </c>
      <c r="D35">
        <v>2</v>
      </c>
      <c r="E35">
        <v>3</v>
      </c>
      <c r="G35">
        <v>1</v>
      </c>
      <c r="I35">
        <v>41</v>
      </c>
      <c r="K35">
        <v>11</v>
      </c>
      <c r="L35">
        <v>1</v>
      </c>
      <c r="M35">
        <v>64</v>
      </c>
    </row>
    <row r="36" spans="1:13" x14ac:dyDescent="0.2">
      <c r="A36" s="1301" t="s">
        <v>52</v>
      </c>
      <c r="B36">
        <v>181310</v>
      </c>
      <c r="C36">
        <v>15</v>
      </c>
      <c r="D36">
        <v>6</v>
      </c>
      <c r="E36">
        <v>2</v>
      </c>
      <c r="F36">
        <v>79</v>
      </c>
      <c r="I36">
        <v>45</v>
      </c>
      <c r="J36">
        <v>11</v>
      </c>
      <c r="K36">
        <v>16</v>
      </c>
      <c r="L36">
        <v>5</v>
      </c>
      <c r="M36">
        <v>179</v>
      </c>
    </row>
    <row r="37" spans="1:13" x14ac:dyDescent="0.2">
      <c r="A37" s="1301" t="s">
        <v>666</v>
      </c>
      <c r="B37">
        <v>5424800</v>
      </c>
      <c r="C37">
        <v>333</v>
      </c>
      <c r="D37">
        <v>165</v>
      </c>
      <c r="E37">
        <v>100</v>
      </c>
      <c r="F37">
        <v>421</v>
      </c>
      <c r="G37">
        <v>28</v>
      </c>
      <c r="H37">
        <v>8</v>
      </c>
      <c r="I37">
        <v>1067</v>
      </c>
      <c r="J37">
        <v>252</v>
      </c>
      <c r="K37">
        <v>571</v>
      </c>
      <c r="L37">
        <v>118</v>
      </c>
      <c r="M37">
        <v>3063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4"/>
    <pageSetUpPr fitToPage="1"/>
  </sheetPr>
  <dimension ref="A1:P44"/>
  <sheetViews>
    <sheetView showGridLines="0" zoomScaleNormal="100" workbookViewId="0">
      <pane ySplit="1" topLeftCell="A2" activePane="bottomLeft" state="frozen"/>
      <selection activeCell="M9" sqref="M9"/>
      <selection pane="bottomLeft" sqref="A1:E1"/>
    </sheetView>
  </sheetViews>
  <sheetFormatPr defaultRowHeight="12.75" x14ac:dyDescent="0.2"/>
  <cols>
    <col min="1" max="1" width="24.85546875" style="1" customWidth="1"/>
    <col min="2" max="2" width="12.140625" style="1" customWidth="1"/>
    <col min="3" max="3" width="13" style="1" customWidth="1"/>
    <col min="4" max="4" width="12.42578125" style="1" customWidth="1"/>
    <col min="5" max="5" width="12.140625" style="1" customWidth="1"/>
    <col min="6" max="6" width="13.140625" style="1" customWidth="1"/>
    <col min="7" max="7" width="14.5703125" style="1" customWidth="1"/>
    <col min="8" max="8" width="15.42578125" style="1" customWidth="1"/>
    <col min="9" max="9" width="16" style="1" customWidth="1"/>
    <col min="10" max="10" width="11.7109375" style="1" customWidth="1"/>
    <col min="11" max="12" width="12.140625" style="1" customWidth="1"/>
    <col min="13" max="13" width="7.28515625" style="1" customWidth="1"/>
    <col min="14" max="14" width="16.5703125" style="1" customWidth="1"/>
    <col min="15" max="15" width="8" style="1" customWidth="1"/>
    <col min="16" max="16" width="11.5703125" style="1" customWidth="1"/>
    <col min="17" max="16384" width="9.140625" style="1"/>
  </cols>
  <sheetData>
    <row r="1" spans="1:15" ht="38.25" customHeight="1" x14ac:dyDescent="0.2">
      <c r="A1" s="1655" t="s">
        <v>745</v>
      </c>
      <c r="B1" s="1655"/>
      <c r="C1" s="1655"/>
      <c r="D1" s="1655"/>
      <c r="E1" s="1655"/>
      <c r="F1" s="467"/>
      <c r="G1" s="467"/>
      <c r="H1" s="467"/>
      <c r="I1" s="467"/>
      <c r="J1" s="467"/>
      <c r="K1" s="467"/>
      <c r="L1" s="467"/>
      <c r="M1" s="467"/>
      <c r="N1" s="467"/>
    </row>
    <row r="2" spans="1:15" ht="15" x14ac:dyDescent="0.25">
      <c r="A2" s="2"/>
      <c r="B2" s="34"/>
      <c r="C2" s="34"/>
      <c r="D2" s="34"/>
      <c r="E2" s="34"/>
      <c r="F2" s="34"/>
      <c r="G2" s="34"/>
      <c r="H2" s="34"/>
      <c r="I2" s="106"/>
      <c r="J2" s="34"/>
      <c r="K2" s="34"/>
      <c r="L2" s="253" t="s">
        <v>0</v>
      </c>
      <c r="M2" s="7"/>
      <c r="N2" s="227" t="s">
        <v>58</v>
      </c>
    </row>
    <row r="3" spans="1:15" x14ac:dyDescent="0.2">
      <c r="A3" s="1629" t="s">
        <v>22</v>
      </c>
      <c r="B3" s="1674" t="s">
        <v>353</v>
      </c>
      <c r="C3" s="1675"/>
      <c r="D3" s="1675"/>
      <c r="E3" s="1675"/>
      <c r="F3" s="1675"/>
      <c r="G3" s="1675"/>
      <c r="H3" s="1675"/>
      <c r="I3" s="1675"/>
      <c r="J3" s="1675"/>
      <c r="K3" s="1676"/>
      <c r="L3" s="1682" t="s">
        <v>94</v>
      </c>
      <c r="M3" s="7"/>
      <c r="N3" s="1688" t="s">
        <v>130</v>
      </c>
    </row>
    <row r="4" spans="1:15" x14ac:dyDescent="0.2">
      <c r="A4" s="1687"/>
      <c r="B4" s="1690" t="s">
        <v>8</v>
      </c>
      <c r="C4" s="1691"/>
      <c r="D4" s="1691"/>
      <c r="E4" s="1691"/>
      <c r="F4" s="1691"/>
      <c r="G4" s="1692"/>
      <c r="H4" s="1693" t="s">
        <v>117</v>
      </c>
      <c r="I4" s="1664"/>
      <c r="J4" s="1664"/>
      <c r="K4" s="1694"/>
      <c r="L4" s="1683"/>
      <c r="N4" s="1689"/>
    </row>
    <row r="5" spans="1:15" ht="51.75" customHeight="1" x14ac:dyDescent="0.2">
      <c r="A5" s="1630"/>
      <c r="B5" s="1171" t="s">
        <v>1003</v>
      </c>
      <c r="C5" s="1172" t="s">
        <v>91</v>
      </c>
      <c r="D5" s="1172" t="s">
        <v>1004</v>
      </c>
      <c r="E5" s="1172" t="s">
        <v>92</v>
      </c>
      <c r="F5" s="1172" t="s">
        <v>97</v>
      </c>
      <c r="G5" s="1172" t="s">
        <v>93</v>
      </c>
      <c r="H5" s="1172" t="s">
        <v>1005</v>
      </c>
      <c r="I5" s="1172" t="s">
        <v>1006</v>
      </c>
      <c r="J5" s="1172" t="s">
        <v>1007</v>
      </c>
      <c r="K5" s="1207" t="s">
        <v>170</v>
      </c>
      <c r="L5" s="1683"/>
      <c r="M5" s="113"/>
      <c r="N5" s="1689"/>
    </row>
    <row r="6" spans="1:15" ht="18.75" customHeight="1" x14ac:dyDescent="0.2">
      <c r="A6" s="717" t="s">
        <v>23</v>
      </c>
      <c r="B6" s="408">
        <f>T_09b!C5</f>
        <v>4</v>
      </c>
      <c r="C6" s="408">
        <f>T_09b!D5</f>
        <v>107</v>
      </c>
      <c r="D6" s="408">
        <f>T_09b!E5</f>
        <v>0</v>
      </c>
      <c r="E6" s="408">
        <f>T_09b!F5</f>
        <v>13</v>
      </c>
      <c r="F6" s="408">
        <f>T_09b!G5</f>
        <v>1</v>
      </c>
      <c r="G6" s="1313">
        <f>T_09b!H5</f>
        <v>11</v>
      </c>
      <c r="H6" s="408">
        <f>T_09b!I5</f>
        <v>126</v>
      </c>
      <c r="I6" s="408">
        <f>T_09b!J5</f>
        <v>14</v>
      </c>
      <c r="J6" s="408">
        <f>T_09b!K5</f>
        <v>66</v>
      </c>
      <c r="K6" s="1130">
        <f>SUM(H6:J6)</f>
        <v>206</v>
      </c>
      <c r="L6" s="974">
        <f>SUM(B6:J6)</f>
        <v>342</v>
      </c>
      <c r="M6" s="34"/>
      <c r="N6" s="1316">
        <f>L6/T_09b!B5*100000</f>
        <v>149.47552447552448</v>
      </c>
      <c r="O6" s="415"/>
    </row>
    <row r="7" spans="1:15" ht="13.5" customHeight="1" x14ac:dyDescent="0.2">
      <c r="A7" s="5" t="s">
        <v>24</v>
      </c>
      <c r="B7" s="1311">
        <f>T_09b!C6</f>
        <v>8</v>
      </c>
      <c r="C7" s="1311">
        <f>T_09b!D6</f>
        <v>106</v>
      </c>
      <c r="D7" s="1311">
        <f>T_09b!E6</f>
        <v>1</v>
      </c>
      <c r="E7" s="1311">
        <f>T_09b!F6</f>
        <v>5</v>
      </c>
      <c r="F7" s="1311">
        <f>T_09b!G6</f>
        <v>1</v>
      </c>
      <c r="G7" s="1314">
        <f>T_09b!H6</f>
        <v>17</v>
      </c>
      <c r="H7" s="1311">
        <f>T_09b!I6</f>
        <v>26</v>
      </c>
      <c r="I7" s="1311">
        <f>T_09b!J6</f>
        <v>6</v>
      </c>
      <c r="J7" s="1311">
        <f>T_09b!K6</f>
        <v>44</v>
      </c>
      <c r="K7" s="1131">
        <f t="shared" ref="K7:K37" si="0">SUM(H7:J7)</f>
        <v>76</v>
      </c>
      <c r="L7" s="976">
        <f t="shared" ref="L7:L37" si="1">SUM(B7:J7)</f>
        <v>214</v>
      </c>
      <c r="M7" s="34"/>
      <c r="N7" s="276">
        <f>L7/T_09b!B6*100000</f>
        <v>81.741787624140571</v>
      </c>
      <c r="O7" s="415"/>
    </row>
    <row r="8" spans="1:15" ht="13.5" customHeight="1" x14ac:dyDescent="0.2">
      <c r="A8" s="355" t="s">
        <v>25</v>
      </c>
      <c r="B8" s="408">
        <f>T_09b!C7</f>
        <v>8</v>
      </c>
      <c r="C8" s="408">
        <f>T_09b!D7</f>
        <v>74</v>
      </c>
      <c r="D8" s="408">
        <f>T_09b!E7</f>
        <v>3</v>
      </c>
      <c r="E8" s="408">
        <f>T_09b!F7</f>
        <v>5</v>
      </c>
      <c r="F8" s="408">
        <f>T_09b!G7</f>
        <v>0</v>
      </c>
      <c r="G8" s="1315">
        <f>T_09b!H7</f>
        <v>27</v>
      </c>
      <c r="H8" s="408">
        <f>T_09b!I7</f>
        <v>34</v>
      </c>
      <c r="I8" s="408">
        <f>T_09b!J7</f>
        <v>5</v>
      </c>
      <c r="J8" s="408">
        <f>T_09b!K7</f>
        <v>25</v>
      </c>
      <c r="K8" s="1132">
        <f t="shared" si="0"/>
        <v>64</v>
      </c>
      <c r="L8" s="975">
        <f t="shared" si="1"/>
        <v>181</v>
      </c>
      <c r="M8" s="34"/>
      <c r="N8" s="416">
        <f>L8/T_09b!B7*100000</f>
        <v>155.65875472996214</v>
      </c>
      <c r="O8" s="415"/>
    </row>
    <row r="9" spans="1:15" ht="13.5" customHeight="1" x14ac:dyDescent="0.2">
      <c r="A9" s="5" t="s">
        <v>26</v>
      </c>
      <c r="B9" s="1311">
        <f>T_09b!C8</f>
        <v>6</v>
      </c>
      <c r="C9" s="1311">
        <f>T_09b!D8</f>
        <v>42</v>
      </c>
      <c r="D9" s="1311">
        <f>T_09b!E8</f>
        <v>1</v>
      </c>
      <c r="E9" s="1311">
        <f>T_09b!F8</f>
        <v>5</v>
      </c>
      <c r="F9" s="1311">
        <f>T_09b!G8</f>
        <v>3</v>
      </c>
      <c r="G9" s="1314">
        <f>T_09b!H8</f>
        <v>4</v>
      </c>
      <c r="H9" s="1311">
        <f>T_09b!I8</f>
        <v>14</v>
      </c>
      <c r="I9" s="1311">
        <f>T_09b!J8</f>
        <v>2</v>
      </c>
      <c r="J9" s="1311">
        <f>T_09b!K8</f>
        <v>4</v>
      </c>
      <c r="K9" s="1131">
        <f t="shared" si="0"/>
        <v>20</v>
      </c>
      <c r="L9" s="976">
        <f t="shared" si="1"/>
        <v>81</v>
      </c>
      <c r="M9" s="34"/>
      <c r="N9" s="276">
        <f>L9/T_09b!B8*100000</f>
        <v>93.30722267019928</v>
      </c>
      <c r="O9" s="415"/>
    </row>
    <row r="10" spans="1:15" ht="13.5" customHeight="1" x14ac:dyDescent="0.2">
      <c r="A10" s="355" t="s">
        <v>27</v>
      </c>
      <c r="B10" s="408">
        <f>T_09b!C9</f>
        <v>5</v>
      </c>
      <c r="C10" s="408">
        <f>T_09b!D9</f>
        <v>56</v>
      </c>
      <c r="D10" s="408">
        <f>T_09b!E9</f>
        <v>2</v>
      </c>
      <c r="E10" s="408">
        <f>T_09b!F9</f>
        <v>3</v>
      </c>
      <c r="F10" s="408">
        <f>T_09b!G9</f>
        <v>0</v>
      </c>
      <c r="G10" s="1315">
        <f>T_09b!H9</f>
        <v>14</v>
      </c>
      <c r="H10" s="408">
        <f>T_09b!I9</f>
        <v>9</v>
      </c>
      <c r="I10" s="408">
        <f>T_09b!J9</f>
        <v>1</v>
      </c>
      <c r="J10" s="408">
        <f>T_09b!K9</f>
        <v>19</v>
      </c>
      <c r="K10" s="1132">
        <f t="shared" si="0"/>
        <v>29</v>
      </c>
      <c r="L10" s="975">
        <f t="shared" si="1"/>
        <v>109</v>
      </c>
      <c r="M10" s="34"/>
      <c r="N10" s="416">
        <f>L10/T_09b!B9*100000</f>
        <v>211.8561710398445</v>
      </c>
      <c r="O10" s="415"/>
    </row>
    <row r="11" spans="1:15" ht="13.5" customHeight="1" x14ac:dyDescent="0.2">
      <c r="A11" s="5" t="s">
        <v>28</v>
      </c>
      <c r="B11" s="1311">
        <f>T_09b!C10</f>
        <v>4</v>
      </c>
      <c r="C11" s="1311">
        <f>T_09b!D10</f>
        <v>74</v>
      </c>
      <c r="D11" s="1311">
        <f>T_09b!E10</f>
        <v>2</v>
      </c>
      <c r="E11" s="1311">
        <f>T_09b!F10</f>
        <v>5</v>
      </c>
      <c r="F11" s="1311">
        <f>T_09b!G10</f>
        <v>1</v>
      </c>
      <c r="G11" s="1314">
        <f>T_09b!H10</f>
        <v>24</v>
      </c>
      <c r="H11" s="1311">
        <f>T_09b!I10</f>
        <v>27</v>
      </c>
      <c r="I11" s="1311">
        <f>T_09b!J10</f>
        <v>3</v>
      </c>
      <c r="J11" s="1311">
        <f>T_09b!K10</f>
        <v>38</v>
      </c>
      <c r="K11" s="1131">
        <f t="shared" si="0"/>
        <v>68</v>
      </c>
      <c r="L11" s="976">
        <f t="shared" si="1"/>
        <v>178</v>
      </c>
      <c r="M11" s="34"/>
      <c r="N11" s="276">
        <f>L11/T_09b!B10*100000</f>
        <v>119.30294906166219</v>
      </c>
      <c r="O11" s="415"/>
    </row>
    <row r="12" spans="1:15" ht="13.5" customHeight="1" x14ac:dyDescent="0.2">
      <c r="A12" s="355" t="s">
        <v>29</v>
      </c>
      <c r="B12" s="408">
        <f>T_09b!C11</f>
        <v>13</v>
      </c>
      <c r="C12" s="408">
        <f>T_09b!D11</f>
        <v>270</v>
      </c>
      <c r="D12" s="408">
        <f>T_09b!E11</f>
        <v>1</v>
      </c>
      <c r="E12" s="408">
        <f>T_09b!F11</f>
        <v>19</v>
      </c>
      <c r="F12" s="408">
        <f>T_09b!G11</f>
        <v>3</v>
      </c>
      <c r="G12" s="1315">
        <f>T_09b!H11</f>
        <v>78</v>
      </c>
      <c r="H12" s="408">
        <f>T_09b!I11</f>
        <v>262</v>
      </c>
      <c r="I12" s="408">
        <f>T_09b!J11</f>
        <v>53</v>
      </c>
      <c r="J12" s="408">
        <f>T_09b!K11</f>
        <v>74</v>
      </c>
      <c r="K12" s="1132">
        <f t="shared" si="0"/>
        <v>389</v>
      </c>
      <c r="L12" s="975">
        <f t="shared" si="1"/>
        <v>773</v>
      </c>
      <c r="M12" s="34"/>
      <c r="N12" s="416">
        <f>L12/T_09b!B11*100000</f>
        <v>519.80364467756033</v>
      </c>
      <c r="O12" s="415"/>
    </row>
    <row r="13" spans="1:15" ht="13.5" customHeight="1" x14ac:dyDescent="0.2">
      <c r="A13" s="5" t="s">
        <v>30</v>
      </c>
      <c r="B13" s="1311">
        <f>T_09b!C12</f>
        <v>10</v>
      </c>
      <c r="C13" s="1311">
        <f>T_09b!D12</f>
        <v>224</v>
      </c>
      <c r="D13" s="1311">
        <f>T_09b!E12</f>
        <v>1</v>
      </c>
      <c r="E13" s="1311">
        <f>T_09b!F12</f>
        <v>17</v>
      </c>
      <c r="F13" s="1311">
        <f>T_09b!G12</f>
        <v>3</v>
      </c>
      <c r="G13" s="1314">
        <f>T_09b!H12</f>
        <v>65</v>
      </c>
      <c r="H13" s="1311">
        <f>T_09b!I12</f>
        <v>132</v>
      </c>
      <c r="I13" s="1311">
        <f>T_09b!J12</f>
        <v>15</v>
      </c>
      <c r="J13" s="1311">
        <f>T_09b!K12</f>
        <v>125</v>
      </c>
      <c r="K13" s="1131">
        <f t="shared" si="0"/>
        <v>272</v>
      </c>
      <c r="L13" s="976">
        <f t="shared" si="1"/>
        <v>592</v>
      </c>
      <c r="M13" s="34"/>
      <c r="N13" s="276">
        <f>L13/T_09b!B12*100000</f>
        <v>485.48466458914226</v>
      </c>
      <c r="O13" s="415"/>
    </row>
    <row r="14" spans="1:15" ht="13.5" customHeight="1" x14ac:dyDescent="0.2">
      <c r="A14" s="355" t="s">
        <v>31</v>
      </c>
      <c r="B14" s="408">
        <f>T_09b!C13</f>
        <v>4</v>
      </c>
      <c r="C14" s="408">
        <f>T_09b!D13</f>
        <v>58</v>
      </c>
      <c r="D14" s="408">
        <f>T_09b!E13</f>
        <v>2</v>
      </c>
      <c r="E14" s="408">
        <f>T_09b!F13</f>
        <v>5</v>
      </c>
      <c r="F14" s="408">
        <f>T_09b!G13</f>
        <v>0</v>
      </c>
      <c r="G14" s="1315">
        <f>T_09b!H13</f>
        <v>16</v>
      </c>
      <c r="H14" s="408">
        <f>T_09b!I13</f>
        <v>39</v>
      </c>
      <c r="I14" s="408">
        <f>T_09b!J13</f>
        <v>11</v>
      </c>
      <c r="J14" s="408">
        <f>T_09b!K13</f>
        <v>40</v>
      </c>
      <c r="K14" s="1132">
        <f t="shared" si="0"/>
        <v>90</v>
      </c>
      <c r="L14" s="975">
        <f t="shared" si="1"/>
        <v>175</v>
      </c>
      <c r="M14" s="34"/>
      <c r="N14" s="416">
        <f>L14/T_09b!B13*100000</f>
        <v>161.84222694904281</v>
      </c>
      <c r="O14" s="415"/>
    </row>
    <row r="15" spans="1:15" ht="13.5" customHeight="1" x14ac:dyDescent="0.2">
      <c r="A15" s="5" t="s">
        <v>32</v>
      </c>
      <c r="B15" s="1311">
        <f>T_09b!C14</f>
        <v>2</v>
      </c>
      <c r="C15" s="1311">
        <f>T_09b!D14</f>
        <v>118</v>
      </c>
      <c r="D15" s="1311">
        <f>T_09b!E14</f>
        <v>2</v>
      </c>
      <c r="E15" s="1311">
        <f>T_09b!F14</f>
        <v>5</v>
      </c>
      <c r="F15" s="1311">
        <f>T_09b!G14</f>
        <v>1</v>
      </c>
      <c r="G15" s="1314">
        <f>T_09b!H14</f>
        <v>53</v>
      </c>
      <c r="H15" s="1311">
        <f>T_09b!I14</f>
        <v>25</v>
      </c>
      <c r="I15" s="1311">
        <f>T_09b!J14</f>
        <v>13</v>
      </c>
      <c r="J15" s="1311">
        <f>T_09b!K14</f>
        <v>24</v>
      </c>
      <c r="K15" s="1131">
        <f t="shared" si="0"/>
        <v>62</v>
      </c>
      <c r="L15" s="976">
        <f t="shared" si="1"/>
        <v>243</v>
      </c>
      <c r="M15" s="34"/>
      <c r="N15" s="276">
        <f>L15/T_09b!B14*100000</f>
        <v>231.78176268599771</v>
      </c>
      <c r="O15" s="415"/>
    </row>
    <row r="16" spans="1:15" ht="13.5" customHeight="1" x14ac:dyDescent="0.2">
      <c r="A16" s="355" t="s">
        <v>33</v>
      </c>
      <c r="B16" s="408">
        <f>T_09b!C15</f>
        <v>6</v>
      </c>
      <c r="C16" s="408">
        <f>T_09b!D15</f>
        <v>37</v>
      </c>
      <c r="D16" s="408">
        <f>T_09b!E15</f>
        <v>1</v>
      </c>
      <c r="E16" s="408">
        <f>T_09b!F15</f>
        <v>8</v>
      </c>
      <c r="F16" s="408">
        <f>T_09b!G15</f>
        <v>0</v>
      </c>
      <c r="G16" s="1315">
        <f>T_09b!H15</f>
        <v>24</v>
      </c>
      <c r="H16" s="408">
        <f>T_09b!I15</f>
        <v>40</v>
      </c>
      <c r="I16" s="408">
        <f>T_09b!J15</f>
        <v>6</v>
      </c>
      <c r="J16" s="408">
        <f>T_09b!K15</f>
        <v>43</v>
      </c>
      <c r="K16" s="1132">
        <f t="shared" si="0"/>
        <v>89</v>
      </c>
      <c r="L16" s="975">
        <f t="shared" si="1"/>
        <v>165</v>
      </c>
      <c r="M16" s="34"/>
      <c r="N16" s="416">
        <f>L16/T_09b!B15*100000</f>
        <v>174.12410299704516</v>
      </c>
      <c r="O16" s="415"/>
    </row>
    <row r="17" spans="1:16" ht="13.5" customHeight="1" x14ac:dyDescent="0.2">
      <c r="A17" s="435" t="s">
        <v>137</v>
      </c>
      <c r="B17" s="1311">
        <f>T_09b!C16</f>
        <v>17</v>
      </c>
      <c r="C17" s="1311">
        <f>T_09b!D16</f>
        <v>452</v>
      </c>
      <c r="D17" s="1311">
        <f>T_09b!E16</f>
        <v>0</v>
      </c>
      <c r="E17" s="1311">
        <f>T_09b!F16</f>
        <v>41</v>
      </c>
      <c r="F17" s="1311">
        <f>T_09b!G16</f>
        <v>3</v>
      </c>
      <c r="G17" s="1314">
        <f>T_09b!H16</f>
        <v>303</v>
      </c>
      <c r="H17" s="1311">
        <f>T_09b!I16</f>
        <v>610</v>
      </c>
      <c r="I17" s="1311">
        <f>T_09b!J16</f>
        <v>122</v>
      </c>
      <c r="J17" s="1311">
        <f>T_09b!K16</f>
        <v>238</v>
      </c>
      <c r="K17" s="1131">
        <f t="shared" si="0"/>
        <v>970</v>
      </c>
      <c r="L17" s="976">
        <f t="shared" si="1"/>
        <v>1786</v>
      </c>
      <c r="M17" s="34"/>
      <c r="N17" s="276">
        <f>L17/T_09b!B16*100000</f>
        <v>348.00568967868907</v>
      </c>
      <c r="O17" s="415"/>
    </row>
    <row r="18" spans="1:16" ht="13.5" customHeight="1" x14ac:dyDescent="0.2">
      <c r="A18" s="355" t="s">
        <v>34</v>
      </c>
      <c r="B18" s="408">
        <f>T_09b!C17</f>
        <v>18</v>
      </c>
      <c r="C18" s="408">
        <f>T_09b!D17</f>
        <v>221</v>
      </c>
      <c r="D18" s="408">
        <f>T_09b!E17</f>
        <v>3</v>
      </c>
      <c r="E18" s="408">
        <f>T_09b!F17</f>
        <v>11</v>
      </c>
      <c r="F18" s="408">
        <f>T_09b!G17</f>
        <v>2</v>
      </c>
      <c r="G18" s="1315">
        <f>T_09b!H17</f>
        <v>47</v>
      </c>
      <c r="H18" s="408">
        <f>T_09b!I17</f>
        <v>57</v>
      </c>
      <c r="I18" s="408">
        <f>T_09b!J17</f>
        <v>14</v>
      </c>
      <c r="J18" s="408">
        <f>T_09b!K17</f>
        <v>55</v>
      </c>
      <c r="K18" s="1132">
        <f t="shared" si="0"/>
        <v>126</v>
      </c>
      <c r="L18" s="975">
        <f t="shared" si="1"/>
        <v>428</v>
      </c>
      <c r="M18" s="34"/>
      <c r="N18" s="416">
        <f>L18/T_09b!B17*100000</f>
        <v>267.28283269843251</v>
      </c>
      <c r="O18" s="415"/>
    </row>
    <row r="19" spans="1:16" ht="13.5" customHeight="1" x14ac:dyDescent="0.2">
      <c r="A19" s="5" t="s">
        <v>35</v>
      </c>
      <c r="B19" s="1311">
        <f>T_09b!C18</f>
        <v>31</v>
      </c>
      <c r="C19" s="1311">
        <f>T_09b!D18</f>
        <v>345</v>
      </c>
      <c r="D19" s="1311">
        <f>T_09b!E18</f>
        <v>11</v>
      </c>
      <c r="E19" s="1311">
        <f>T_09b!F18</f>
        <v>38</v>
      </c>
      <c r="F19" s="1311">
        <f>T_09b!G18</f>
        <v>7</v>
      </c>
      <c r="G19" s="1314">
        <f>T_09b!H18</f>
        <v>132</v>
      </c>
      <c r="H19" s="1311">
        <f>T_09b!I18</f>
        <v>133</v>
      </c>
      <c r="I19" s="1311">
        <f>T_09b!J18</f>
        <v>24</v>
      </c>
      <c r="J19" s="1311">
        <f>T_09b!K18</f>
        <v>223</v>
      </c>
      <c r="K19" s="1131">
        <f t="shared" si="0"/>
        <v>380</v>
      </c>
      <c r="L19" s="976">
        <f t="shared" si="1"/>
        <v>944</v>
      </c>
      <c r="M19" s="34"/>
      <c r="N19" s="276">
        <f>L19/T_09b!B18*100000</f>
        <v>254.16655448157024</v>
      </c>
      <c r="O19" s="415"/>
    </row>
    <row r="20" spans="1:16" ht="13.5" customHeight="1" x14ac:dyDescent="0.2">
      <c r="A20" s="355" t="s">
        <v>36</v>
      </c>
      <c r="B20" s="408">
        <f>T_09b!C19</f>
        <v>49</v>
      </c>
      <c r="C20" s="408">
        <f>T_09b!D19</f>
        <v>419</v>
      </c>
      <c r="D20" s="408">
        <f>T_09b!E19</f>
        <v>7</v>
      </c>
      <c r="E20" s="408">
        <f>T_09b!F19</f>
        <v>55</v>
      </c>
      <c r="F20" s="408">
        <f>T_09b!G19</f>
        <v>4</v>
      </c>
      <c r="G20" s="1315">
        <f>T_09b!H19</f>
        <v>287</v>
      </c>
      <c r="H20" s="408">
        <f>T_09b!I19</f>
        <v>829</v>
      </c>
      <c r="I20" s="408">
        <f>T_09b!J19</f>
        <v>71</v>
      </c>
      <c r="J20" s="408">
        <f>T_09b!K19</f>
        <v>629</v>
      </c>
      <c r="K20" s="1132">
        <f>SUM(H20:J20)</f>
        <v>1529</v>
      </c>
      <c r="L20" s="975">
        <f>SUM(B20:J20)</f>
        <v>2350</v>
      </c>
      <c r="M20" s="34"/>
      <c r="N20" s="416">
        <f>L20/T_09b!B19*100000</f>
        <v>378.40971305271972</v>
      </c>
      <c r="O20" s="415"/>
      <c r="P20"/>
    </row>
    <row r="21" spans="1:16" ht="13.5" customHeight="1" x14ac:dyDescent="0.2">
      <c r="A21" s="5" t="s">
        <v>37</v>
      </c>
      <c r="B21" s="1311">
        <f>T_09b!C20</f>
        <v>11</v>
      </c>
      <c r="C21" s="1311">
        <f>T_09b!D20</f>
        <v>321</v>
      </c>
      <c r="D21" s="1311">
        <f>T_09b!E20</f>
        <v>2</v>
      </c>
      <c r="E21" s="1311">
        <f>T_09b!F20</f>
        <v>10</v>
      </c>
      <c r="F21" s="1311">
        <f>T_09b!G20</f>
        <v>6</v>
      </c>
      <c r="G21" s="1314">
        <f>T_09b!H20</f>
        <v>36</v>
      </c>
      <c r="H21" s="1311">
        <f>T_09b!I20</f>
        <v>48</v>
      </c>
      <c r="I21" s="1311">
        <f>T_09b!J20</f>
        <v>8</v>
      </c>
      <c r="J21" s="1311">
        <f>T_09b!K20</f>
        <v>29</v>
      </c>
      <c r="K21" s="1131">
        <f t="shared" si="0"/>
        <v>85</v>
      </c>
      <c r="L21" s="976">
        <f t="shared" si="1"/>
        <v>471</v>
      </c>
      <c r="M21" s="34"/>
      <c r="N21" s="276">
        <f>L21/T_09b!B20*100000</f>
        <v>200.27213198401225</v>
      </c>
      <c r="O21" s="415"/>
    </row>
    <row r="22" spans="1:16" ht="13.5" customHeight="1" x14ac:dyDescent="0.2">
      <c r="A22" s="355" t="s">
        <v>38</v>
      </c>
      <c r="B22" s="408">
        <f>T_09b!C21</f>
        <v>5</v>
      </c>
      <c r="C22" s="408">
        <f>T_09b!D21</f>
        <v>197</v>
      </c>
      <c r="D22" s="408">
        <f>T_09b!E21</f>
        <v>1</v>
      </c>
      <c r="E22" s="408">
        <f>T_09b!F21</f>
        <v>3</v>
      </c>
      <c r="F22" s="408">
        <f>T_09b!G21</f>
        <v>1</v>
      </c>
      <c r="G22" s="1315">
        <f>T_09b!H21</f>
        <v>29</v>
      </c>
      <c r="H22" s="408">
        <f>T_09b!I21</f>
        <v>42</v>
      </c>
      <c r="I22" s="408">
        <f>T_09b!J21</f>
        <v>2</v>
      </c>
      <c r="J22" s="408">
        <f>T_09b!K21</f>
        <v>68</v>
      </c>
      <c r="K22" s="1132">
        <f t="shared" si="0"/>
        <v>112</v>
      </c>
      <c r="L22" s="975">
        <f t="shared" si="1"/>
        <v>348</v>
      </c>
      <c r="M22" s="34"/>
      <c r="N22" s="416">
        <f>L22/T_09b!B21*100000</f>
        <v>441.84865413915696</v>
      </c>
      <c r="O22" s="415"/>
    </row>
    <row r="23" spans="1:16" ht="13.5" customHeight="1" x14ac:dyDescent="0.2">
      <c r="A23" s="5" t="s">
        <v>39</v>
      </c>
      <c r="B23" s="1311">
        <f>T_09b!C22</f>
        <v>6</v>
      </c>
      <c r="C23" s="1311">
        <f>T_09b!D22</f>
        <v>171</v>
      </c>
      <c r="D23" s="1311">
        <f>T_09b!E22</f>
        <v>5</v>
      </c>
      <c r="E23" s="1311">
        <f>T_09b!F22</f>
        <v>11</v>
      </c>
      <c r="F23" s="1311">
        <f>T_09b!G22</f>
        <v>1</v>
      </c>
      <c r="G23" s="1314">
        <f>T_09b!H22</f>
        <v>84</v>
      </c>
      <c r="H23" s="1311">
        <f>T_09b!I22</f>
        <v>46</v>
      </c>
      <c r="I23" s="1311">
        <f>T_09b!J22</f>
        <v>13</v>
      </c>
      <c r="J23" s="1311">
        <f>T_09b!K22</f>
        <v>53</v>
      </c>
      <c r="K23" s="1131">
        <f t="shared" si="0"/>
        <v>112</v>
      </c>
      <c r="L23" s="976">
        <f t="shared" si="1"/>
        <v>390</v>
      </c>
      <c r="M23" s="34"/>
      <c r="N23" s="276">
        <f>L23/T_09b!B22*100000</f>
        <v>432.90043290043292</v>
      </c>
      <c r="O23" s="415"/>
    </row>
    <row r="24" spans="1:16" ht="13.5" customHeight="1" x14ac:dyDescent="0.2">
      <c r="A24" s="355" t="s">
        <v>40</v>
      </c>
      <c r="B24" s="408">
        <f>T_09b!C23</f>
        <v>5</v>
      </c>
      <c r="C24" s="408">
        <f>T_09b!D23</f>
        <v>48</v>
      </c>
      <c r="D24" s="408">
        <f>T_09b!E23</f>
        <v>1</v>
      </c>
      <c r="E24" s="408">
        <f>T_09b!F23</f>
        <v>4</v>
      </c>
      <c r="F24" s="408">
        <f>T_09b!G23</f>
        <v>0</v>
      </c>
      <c r="G24" s="1315">
        <f>T_09b!H23</f>
        <v>9</v>
      </c>
      <c r="H24" s="408">
        <f>T_09b!I23</f>
        <v>9</v>
      </c>
      <c r="I24" s="408">
        <f>T_09b!J23</f>
        <v>0</v>
      </c>
      <c r="J24" s="408">
        <f>T_09b!K23</f>
        <v>7</v>
      </c>
      <c r="K24" s="1132">
        <f t="shared" si="0"/>
        <v>16</v>
      </c>
      <c r="L24" s="975">
        <f t="shared" si="1"/>
        <v>83</v>
      </c>
      <c r="M24" s="34"/>
      <c r="N24" s="416">
        <f>L24/T_09b!B23*100000</f>
        <v>86.656922113176023</v>
      </c>
      <c r="O24" s="415"/>
    </row>
    <row r="25" spans="1:16" ht="13.5" customHeight="1" x14ac:dyDescent="0.2">
      <c r="A25" s="5" t="s">
        <v>393</v>
      </c>
      <c r="B25" s="1311">
        <f>T_09b!C24</f>
        <v>0</v>
      </c>
      <c r="C25" s="1311">
        <f>T_09b!D24</f>
        <v>61</v>
      </c>
      <c r="D25" s="1311">
        <f>T_09b!E24</f>
        <v>0</v>
      </c>
      <c r="E25" s="1311">
        <f>T_09b!F24</f>
        <v>1</v>
      </c>
      <c r="F25" s="1311">
        <f>T_09b!G24</f>
        <v>0</v>
      </c>
      <c r="G25" s="1314">
        <f>T_09b!H24</f>
        <v>1</v>
      </c>
      <c r="H25" s="1311">
        <f>T_09b!I24</f>
        <v>1</v>
      </c>
      <c r="I25" s="1311">
        <f>T_09b!J24</f>
        <v>0</v>
      </c>
      <c r="J25" s="1311">
        <f>T_09b!K24</f>
        <v>1</v>
      </c>
      <c r="K25" s="1131">
        <f t="shared" si="0"/>
        <v>2</v>
      </c>
      <c r="L25" s="976">
        <f t="shared" si="1"/>
        <v>65</v>
      </c>
      <c r="M25" s="34"/>
      <c r="N25" s="276">
        <f>L25/T_09b!B24*100000</f>
        <v>241.18738404452691</v>
      </c>
      <c r="O25" s="415"/>
    </row>
    <row r="26" spans="1:16" ht="13.5" customHeight="1" x14ac:dyDescent="0.2">
      <c r="A26" s="355" t="s">
        <v>41</v>
      </c>
      <c r="B26" s="408">
        <f>T_09b!C25</f>
        <v>16</v>
      </c>
      <c r="C26" s="408">
        <f>T_09b!D25</f>
        <v>218</v>
      </c>
      <c r="D26" s="408">
        <f>T_09b!E25</f>
        <v>3</v>
      </c>
      <c r="E26" s="408">
        <f>T_09b!F25</f>
        <v>7</v>
      </c>
      <c r="F26" s="408">
        <f>T_09b!G25</f>
        <v>1</v>
      </c>
      <c r="G26" s="1315">
        <f>T_09b!H25</f>
        <v>124</v>
      </c>
      <c r="H26" s="408">
        <f>T_09b!I25</f>
        <v>89</v>
      </c>
      <c r="I26" s="408">
        <f>T_09b!J25</f>
        <v>11</v>
      </c>
      <c r="J26" s="408">
        <f>T_09b!K25</f>
        <v>100</v>
      </c>
      <c r="K26" s="1132">
        <f t="shared" si="0"/>
        <v>200</v>
      </c>
      <c r="L26" s="975">
        <f t="shared" si="1"/>
        <v>569</v>
      </c>
      <c r="M26" s="34"/>
      <c r="N26" s="416">
        <f>L26/T_09b!B25*100000</f>
        <v>419.02938360704024</v>
      </c>
      <c r="O26" s="415"/>
    </row>
    <row r="27" spans="1:16" ht="13.5" customHeight="1" x14ac:dyDescent="0.2">
      <c r="A27" s="435" t="s">
        <v>42</v>
      </c>
      <c r="B27" s="1311">
        <f>T_09b!C26</f>
        <v>22</v>
      </c>
      <c r="C27" s="1311">
        <f>T_09b!D26</f>
        <v>364</v>
      </c>
      <c r="D27" s="1311">
        <f>T_09b!E26</f>
        <v>4</v>
      </c>
      <c r="E27" s="1311">
        <f>T_09b!F26</f>
        <v>43</v>
      </c>
      <c r="F27" s="1311">
        <f>T_09b!G26</f>
        <v>7</v>
      </c>
      <c r="G27" s="1314">
        <f>T_09b!H26</f>
        <v>168</v>
      </c>
      <c r="H27" s="1311">
        <f>T_09b!I26</f>
        <v>188</v>
      </c>
      <c r="I27" s="1311">
        <f>T_09b!J26</f>
        <v>27</v>
      </c>
      <c r="J27" s="1311">
        <f>T_09b!K26</f>
        <v>383</v>
      </c>
      <c r="K27" s="1131">
        <f t="shared" si="0"/>
        <v>598</v>
      </c>
      <c r="L27" s="976">
        <f t="shared" si="1"/>
        <v>1206</v>
      </c>
      <c r="M27" s="34"/>
      <c r="N27" s="276">
        <f>L27/T_09b!B26*100000</f>
        <v>354.74761736674907</v>
      </c>
      <c r="O27" s="415"/>
    </row>
    <row r="28" spans="1:16" ht="13.5" customHeight="1" x14ac:dyDescent="0.2">
      <c r="A28" s="355" t="s">
        <v>43</v>
      </c>
      <c r="B28" s="408">
        <f>T_09b!C27</f>
        <v>0</v>
      </c>
      <c r="C28" s="408">
        <f>T_09b!D27</f>
        <v>4</v>
      </c>
      <c r="D28" s="408">
        <f>T_09b!E27</f>
        <v>0</v>
      </c>
      <c r="E28" s="408">
        <f>T_09b!F27</f>
        <v>0</v>
      </c>
      <c r="F28" s="408">
        <f>T_09b!G27</f>
        <v>1</v>
      </c>
      <c r="G28" s="1315">
        <f>T_09b!H27</f>
        <v>2</v>
      </c>
      <c r="H28" s="408">
        <f>T_09b!I27</f>
        <v>2</v>
      </c>
      <c r="I28" s="408">
        <f>T_09b!J27</f>
        <v>0</v>
      </c>
      <c r="J28" s="408">
        <f>T_09b!K27</f>
        <v>0</v>
      </c>
      <c r="K28" s="1132">
        <f t="shared" si="0"/>
        <v>2</v>
      </c>
      <c r="L28" s="975">
        <f t="shared" si="1"/>
        <v>9</v>
      </c>
      <c r="M28" s="34"/>
      <c r="N28" s="416">
        <f>L28/T_09b!B27*100000</f>
        <v>40.909090909090907</v>
      </c>
      <c r="O28" s="415"/>
    </row>
    <row r="29" spans="1:16" ht="13.5" customHeight="1" x14ac:dyDescent="0.2">
      <c r="A29" s="435" t="s">
        <v>44</v>
      </c>
      <c r="B29" s="1311">
        <f>T_09b!C28</f>
        <v>5</v>
      </c>
      <c r="C29" s="1311">
        <f>T_09b!D28</f>
        <v>75</v>
      </c>
      <c r="D29" s="1311">
        <f>T_09b!E28</f>
        <v>0</v>
      </c>
      <c r="E29" s="1311">
        <f>T_09b!F28</f>
        <v>10</v>
      </c>
      <c r="F29" s="1311">
        <f>T_09b!G28</f>
        <v>1</v>
      </c>
      <c r="G29" s="1314">
        <f>T_09b!H28</f>
        <v>18</v>
      </c>
      <c r="H29" s="1311">
        <f>T_09b!I28</f>
        <v>27</v>
      </c>
      <c r="I29" s="1311">
        <f>T_09b!J28</f>
        <v>4</v>
      </c>
      <c r="J29" s="1311">
        <f>T_09b!K28</f>
        <v>37</v>
      </c>
      <c r="K29" s="1131">
        <f t="shared" si="0"/>
        <v>68</v>
      </c>
      <c r="L29" s="976">
        <f t="shared" si="1"/>
        <v>177</v>
      </c>
      <c r="M29" s="34"/>
      <c r="N29" s="276">
        <f>L29/T_09b!B28*100000</f>
        <v>117.14096624751819</v>
      </c>
      <c r="O29" s="415"/>
    </row>
    <row r="30" spans="1:16" ht="13.5" customHeight="1" x14ac:dyDescent="0.2">
      <c r="A30" s="355" t="s">
        <v>45</v>
      </c>
      <c r="B30" s="408">
        <f>T_09b!C29</f>
        <v>12</v>
      </c>
      <c r="C30" s="408">
        <f>T_09b!D29</f>
        <v>135</v>
      </c>
      <c r="D30" s="408">
        <f>T_09b!E29</f>
        <v>2</v>
      </c>
      <c r="E30" s="408">
        <f>T_09b!F29</f>
        <v>22</v>
      </c>
      <c r="F30" s="408">
        <f>T_09b!G29</f>
        <v>1</v>
      </c>
      <c r="G30" s="1315">
        <f>T_09b!H29</f>
        <v>73</v>
      </c>
      <c r="H30" s="408">
        <f>T_09b!I29</f>
        <v>114</v>
      </c>
      <c r="I30" s="408">
        <f>T_09b!J29</f>
        <v>13</v>
      </c>
      <c r="J30" s="408">
        <f>T_09b!K29</f>
        <v>131</v>
      </c>
      <c r="K30" s="1132">
        <f t="shared" si="0"/>
        <v>258</v>
      </c>
      <c r="L30" s="975">
        <f t="shared" si="1"/>
        <v>503</v>
      </c>
      <c r="M30" s="34"/>
      <c r="N30" s="416">
        <f>L30/T_09b!B29*100000</f>
        <v>284.45399536277779</v>
      </c>
      <c r="O30" s="415"/>
    </row>
    <row r="31" spans="1:16" ht="13.5" customHeight="1" x14ac:dyDescent="0.2">
      <c r="A31" s="30" t="s">
        <v>46</v>
      </c>
      <c r="B31" s="1311">
        <f>T_09b!C30</f>
        <v>3</v>
      </c>
      <c r="C31" s="1311">
        <f>T_09b!D30</f>
        <v>57</v>
      </c>
      <c r="D31" s="1311">
        <f>T_09b!E30</f>
        <v>3</v>
      </c>
      <c r="E31" s="1311">
        <f>T_09b!F30</f>
        <v>6</v>
      </c>
      <c r="F31" s="1311">
        <f>T_09b!G30</f>
        <v>0</v>
      </c>
      <c r="G31" s="1314">
        <f>T_09b!H30</f>
        <v>30</v>
      </c>
      <c r="H31" s="1311">
        <f>T_09b!I30</f>
        <v>18</v>
      </c>
      <c r="I31" s="1311">
        <f>T_09b!J30</f>
        <v>3</v>
      </c>
      <c r="J31" s="1311">
        <f>T_09b!K30</f>
        <v>13</v>
      </c>
      <c r="K31" s="1131">
        <f t="shared" si="0"/>
        <v>34</v>
      </c>
      <c r="L31" s="976">
        <f t="shared" si="1"/>
        <v>133</v>
      </c>
      <c r="M31" s="34"/>
      <c r="N31" s="276">
        <f>L31/T_09b!B30*100000</f>
        <v>115.63206398887151</v>
      </c>
      <c r="O31" s="415"/>
    </row>
    <row r="32" spans="1:16" ht="13.5" customHeight="1" x14ac:dyDescent="0.2">
      <c r="A32" s="355" t="s">
        <v>47</v>
      </c>
      <c r="B32" s="408">
        <f>T_09b!C31</f>
        <v>1</v>
      </c>
      <c r="C32" s="408">
        <f>T_09b!D31</f>
        <v>7</v>
      </c>
      <c r="D32" s="408">
        <f>T_09b!E31</f>
        <v>0</v>
      </c>
      <c r="E32" s="408">
        <f>T_09b!F31</f>
        <v>1</v>
      </c>
      <c r="F32" s="408">
        <f>T_09b!G31</f>
        <v>0</v>
      </c>
      <c r="G32" s="1315">
        <f>T_09b!H31</f>
        <v>0</v>
      </c>
      <c r="H32" s="408">
        <f>T_09b!I31</f>
        <v>0</v>
      </c>
      <c r="I32" s="408">
        <f>T_09b!J31</f>
        <v>1</v>
      </c>
      <c r="J32" s="408">
        <f>T_09b!K31</f>
        <v>1</v>
      </c>
      <c r="K32" s="1132">
        <f t="shared" si="0"/>
        <v>2</v>
      </c>
      <c r="L32" s="975">
        <f t="shared" si="1"/>
        <v>11</v>
      </c>
      <c r="M32" s="34"/>
      <c r="N32" s="416">
        <f>L32/T_09b!B31*100000</f>
        <v>47.660311958405551</v>
      </c>
      <c r="O32" s="415"/>
    </row>
    <row r="33" spans="1:15" ht="13.5" customHeight="1" x14ac:dyDescent="0.2">
      <c r="A33" s="5" t="s">
        <v>48</v>
      </c>
      <c r="B33" s="1311">
        <f>T_09b!C32</f>
        <v>4</v>
      </c>
      <c r="C33" s="1311">
        <f>T_09b!D32</f>
        <v>107</v>
      </c>
      <c r="D33" s="1311">
        <f>T_09b!E32</f>
        <v>1</v>
      </c>
      <c r="E33" s="1311">
        <f>T_09b!F32</f>
        <v>5</v>
      </c>
      <c r="F33" s="1311">
        <f>T_09b!G32</f>
        <v>2</v>
      </c>
      <c r="G33" s="1314">
        <f>T_09b!H32</f>
        <v>46</v>
      </c>
      <c r="H33" s="1311">
        <f>T_09b!I32</f>
        <v>54</v>
      </c>
      <c r="I33" s="1311">
        <f>T_09b!J32</f>
        <v>2</v>
      </c>
      <c r="J33" s="1311">
        <f>T_09b!K32</f>
        <v>29</v>
      </c>
      <c r="K33" s="1131">
        <f t="shared" si="0"/>
        <v>85</v>
      </c>
      <c r="L33" s="976">
        <f t="shared" si="1"/>
        <v>250</v>
      </c>
      <c r="M33" s="34"/>
      <c r="N33" s="276">
        <f>L33/T_09b!B32*100000</f>
        <v>221.86723464678735</v>
      </c>
      <c r="O33" s="415"/>
    </row>
    <row r="34" spans="1:15" ht="13.5" customHeight="1" x14ac:dyDescent="0.2">
      <c r="A34" s="355" t="s">
        <v>49</v>
      </c>
      <c r="B34" s="408">
        <f>T_09b!C33</f>
        <v>20</v>
      </c>
      <c r="C34" s="408">
        <f>T_09b!D33</f>
        <v>209</v>
      </c>
      <c r="D34" s="408">
        <f>T_09b!E33</f>
        <v>6</v>
      </c>
      <c r="E34" s="408">
        <f>T_09b!F33</f>
        <v>13</v>
      </c>
      <c r="F34" s="408">
        <f>T_09b!G33</f>
        <v>4</v>
      </c>
      <c r="G34" s="1315">
        <f>T_09b!H33</f>
        <v>73</v>
      </c>
      <c r="H34" s="408">
        <f>T_09b!I33</f>
        <v>187</v>
      </c>
      <c r="I34" s="408">
        <f>T_09b!J33</f>
        <v>28</v>
      </c>
      <c r="J34" s="408">
        <f>T_09b!K33</f>
        <v>256</v>
      </c>
      <c r="K34" s="1132">
        <f t="shared" si="0"/>
        <v>471</v>
      </c>
      <c r="L34" s="975">
        <f t="shared" si="1"/>
        <v>796</v>
      </c>
      <c r="M34" s="34"/>
      <c r="N34" s="416">
        <f>L34/T_09b!B33*100000</f>
        <v>250.1807209982085</v>
      </c>
      <c r="O34" s="415"/>
    </row>
    <row r="35" spans="1:15" ht="13.5" customHeight="1" x14ac:dyDescent="0.2">
      <c r="A35" s="5" t="s">
        <v>50</v>
      </c>
      <c r="B35" s="1311">
        <f>T_09b!C34</f>
        <v>2</v>
      </c>
      <c r="C35" s="1311">
        <f>T_09b!D34</f>
        <v>79</v>
      </c>
      <c r="D35" s="1311">
        <f>T_09b!E34</f>
        <v>1</v>
      </c>
      <c r="E35" s="1311">
        <f>T_09b!F34</f>
        <v>7</v>
      </c>
      <c r="F35" s="1311">
        <f>T_09b!G34</f>
        <v>0</v>
      </c>
      <c r="G35" s="1314">
        <f>T_09b!H34</f>
        <v>17</v>
      </c>
      <c r="H35" s="1311">
        <f>T_09b!I34</f>
        <v>34</v>
      </c>
      <c r="I35" s="1311">
        <f>T_09b!J34</f>
        <v>4</v>
      </c>
      <c r="J35" s="1311">
        <f>T_09b!K34</f>
        <v>23</v>
      </c>
      <c r="K35" s="1131">
        <f t="shared" si="0"/>
        <v>61</v>
      </c>
      <c r="L35" s="976">
        <f t="shared" si="1"/>
        <v>167</v>
      </c>
      <c r="M35" s="34"/>
      <c r="N35" s="276">
        <f>L35/T_09b!B34*100000</f>
        <v>177.65957446808511</v>
      </c>
      <c r="O35" s="415"/>
    </row>
    <row r="36" spans="1:15" ht="13.5" customHeight="1" x14ac:dyDescent="0.2">
      <c r="A36" s="355" t="s">
        <v>51</v>
      </c>
      <c r="B36" s="408">
        <f>T_09b!C35</f>
        <v>3</v>
      </c>
      <c r="C36" s="408">
        <f>T_09b!D35</f>
        <v>69</v>
      </c>
      <c r="D36" s="408">
        <f>T_09b!E35</f>
        <v>2</v>
      </c>
      <c r="E36" s="408">
        <f>T_09b!F35</f>
        <v>2</v>
      </c>
      <c r="F36" s="408">
        <f>T_09b!G35</f>
        <v>1</v>
      </c>
      <c r="G36" s="1315">
        <f>T_09b!H35</f>
        <v>35</v>
      </c>
      <c r="H36" s="408">
        <f>T_09b!I35</f>
        <v>57</v>
      </c>
      <c r="I36" s="408">
        <f>T_09b!J35</f>
        <v>6</v>
      </c>
      <c r="J36" s="408">
        <f>T_09b!K35</f>
        <v>66</v>
      </c>
      <c r="K36" s="1132">
        <f t="shared" si="0"/>
        <v>129</v>
      </c>
      <c r="L36" s="975">
        <f t="shared" si="1"/>
        <v>241</v>
      </c>
      <c r="M36" s="34"/>
      <c r="N36" s="416">
        <f>L36/T_09b!B35*100000</f>
        <v>268.94319830376077</v>
      </c>
      <c r="O36" s="415"/>
    </row>
    <row r="37" spans="1:15" ht="13.5" customHeight="1" x14ac:dyDescent="0.2">
      <c r="A37" s="5" t="s">
        <v>52</v>
      </c>
      <c r="B37" s="1311">
        <f>T_09b!C36</f>
        <v>4</v>
      </c>
      <c r="C37" s="1311">
        <f>T_09b!D36</f>
        <v>338</v>
      </c>
      <c r="D37" s="1311">
        <f>T_09b!E36</f>
        <v>1</v>
      </c>
      <c r="E37" s="1311">
        <f>T_09b!F36</f>
        <v>13</v>
      </c>
      <c r="F37" s="1311">
        <f>T_09b!G36</f>
        <v>5</v>
      </c>
      <c r="G37" s="1314">
        <f>T_09b!H36</f>
        <v>74</v>
      </c>
      <c r="H37" s="1311">
        <f>T_09b!I36</f>
        <v>161</v>
      </c>
      <c r="I37" s="1311">
        <f>T_09b!J36</f>
        <v>22</v>
      </c>
      <c r="J37" s="1311">
        <f>T_09b!K36</f>
        <v>100</v>
      </c>
      <c r="K37" s="1131">
        <f t="shared" si="0"/>
        <v>283</v>
      </c>
      <c r="L37" s="976">
        <f t="shared" si="1"/>
        <v>718</v>
      </c>
      <c r="M37" s="34"/>
      <c r="N37" s="276">
        <f>L37/T_09b!B36*100000</f>
        <v>396.00683911532735</v>
      </c>
      <c r="O37" s="415"/>
    </row>
    <row r="38" spans="1:15" ht="13.5" customHeight="1" x14ac:dyDescent="0.2">
      <c r="A38" s="718"/>
      <c r="B38" s="420"/>
      <c r="C38" s="420"/>
      <c r="D38" s="420"/>
      <c r="E38" s="420"/>
      <c r="F38" s="420"/>
      <c r="G38" s="420"/>
      <c r="H38" s="419"/>
      <c r="I38" s="420"/>
      <c r="J38" s="420"/>
      <c r="K38" s="977"/>
      <c r="L38" s="978"/>
      <c r="M38" s="34"/>
      <c r="N38" s="416"/>
      <c r="O38" s="415"/>
    </row>
    <row r="39" spans="1:15" ht="30" customHeight="1" x14ac:dyDescent="0.2">
      <c r="A39" s="232" t="s">
        <v>159</v>
      </c>
      <c r="B39" s="97">
        <f>SUM(B6:B38)</f>
        <v>304</v>
      </c>
      <c r="C39" s="98">
        <f t="shared" ref="C39:K39" si="2">SUM(C6:C38)</f>
        <v>5063</v>
      </c>
      <c r="D39" s="98">
        <f t="shared" si="2"/>
        <v>69</v>
      </c>
      <c r="E39" s="98">
        <f t="shared" si="2"/>
        <v>393</v>
      </c>
      <c r="F39" s="98">
        <f t="shared" si="2"/>
        <v>60</v>
      </c>
      <c r="G39" s="99">
        <f t="shared" si="2"/>
        <v>1921</v>
      </c>
      <c r="H39" s="97">
        <f t="shared" si="2"/>
        <v>3440</v>
      </c>
      <c r="I39" s="98">
        <f t="shared" si="2"/>
        <v>504</v>
      </c>
      <c r="J39" s="99">
        <f t="shared" si="2"/>
        <v>2944</v>
      </c>
      <c r="K39" s="100">
        <f t="shared" si="2"/>
        <v>6888</v>
      </c>
      <c r="L39" s="100">
        <f>SUM(L6:L38)</f>
        <v>14698</v>
      </c>
      <c r="M39" s="34"/>
      <c r="N39" s="417">
        <f>L39/T_09!B37*100000</f>
        <v>270.94086417932459</v>
      </c>
      <c r="O39" s="415"/>
    </row>
    <row r="40" spans="1:15" x14ac:dyDescent="0.2">
      <c r="A40" s="2"/>
      <c r="B40" s="34"/>
      <c r="C40" s="34"/>
      <c r="D40" s="34"/>
      <c r="E40" s="34"/>
      <c r="F40" s="34"/>
      <c r="G40" s="34"/>
      <c r="H40" s="34"/>
      <c r="I40" s="106"/>
      <c r="J40" s="34"/>
      <c r="K40" s="34"/>
      <c r="L40" s="34"/>
    </row>
    <row r="41" spans="1:15" x14ac:dyDescent="0.2">
      <c r="A41" s="68" t="s">
        <v>162</v>
      </c>
    </row>
    <row r="42" spans="1:15" x14ac:dyDescent="0.2">
      <c r="A42" s="1649" t="s">
        <v>963</v>
      </c>
      <c r="B42" s="1649"/>
      <c r="C42" s="1649"/>
      <c r="D42" s="1649"/>
      <c r="E42" s="1649"/>
      <c r="F42" s="1649"/>
      <c r="G42" s="1649"/>
      <c r="H42" s="1649"/>
      <c r="I42" s="1649"/>
      <c r="J42" s="1649"/>
      <c r="K42" s="1649"/>
    </row>
    <row r="43" spans="1:15" x14ac:dyDescent="0.2">
      <c r="A43" s="122"/>
    </row>
    <row r="44" spans="1:15" x14ac:dyDescent="0.2">
      <c r="A44" s="51" t="s">
        <v>136</v>
      </c>
    </row>
  </sheetData>
  <sheetProtection algorithmName="SHA-512" hashValue="Jchf1HKGh60UCVH59dWIRztuUzGITTi/P1qy4rcpOyW18cAlvjMfY2ZoPl2jL50qYyHp+NDyO13txvVqly2bFA==" saltValue="2q/zXfbTBK9PEImkg1UC6A==" spinCount="100000" sheet="1" objects="1" scenarios="1"/>
  <mergeCells count="8">
    <mergeCell ref="A42:K42"/>
    <mergeCell ref="A3:A5"/>
    <mergeCell ref="L3:L5"/>
    <mergeCell ref="N3:N5"/>
    <mergeCell ref="A1:E1"/>
    <mergeCell ref="B3:K3"/>
    <mergeCell ref="B4:G4"/>
    <mergeCell ref="H4:K4"/>
  </mergeCells>
  <hyperlinks>
    <hyperlink ref="A44" location="Contents!A1" display="Return to contents " xr:uid="{00000000-0004-0000-2D00-000000000000}"/>
  </hyperlinks>
  <pageMargins left="0.70866141732283472" right="0.70866141732283472" top="0.74803149606299213" bottom="0.74803149606299213" header="0.31496062992125984" footer="0.31496062992125984"/>
  <pageSetup paperSize="9" scale="66" orientation="landscape"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8"/>
  <dimension ref="A2:L37"/>
  <sheetViews>
    <sheetView workbookViewId="0">
      <selection activeCell="A2" sqref="A2"/>
    </sheetView>
  </sheetViews>
  <sheetFormatPr defaultRowHeight="12.75" x14ac:dyDescent="0.2"/>
  <cols>
    <col min="1" max="1" width="20.28515625" bestFit="1" customWidth="1"/>
    <col min="2" max="2" width="11.42578125" bestFit="1" customWidth="1"/>
    <col min="3" max="3" width="26.28515625" bestFit="1" customWidth="1"/>
    <col min="4" max="4" width="19.85546875" bestFit="1" customWidth="1"/>
    <col min="5" max="5" width="36.140625" bestFit="1" customWidth="1"/>
    <col min="6" max="6" width="27.7109375" bestFit="1" customWidth="1"/>
    <col min="7" max="7" width="25.5703125" bestFit="1" customWidth="1"/>
    <col min="8" max="8" width="39.7109375" bestFit="1" customWidth="1"/>
    <col min="9" max="9" width="40.7109375" bestFit="1" customWidth="1"/>
    <col min="10" max="10" width="40.5703125" bestFit="1" customWidth="1"/>
    <col min="11" max="11" width="34.28515625" bestFit="1" customWidth="1"/>
    <col min="12" max="12" width="38" bestFit="1" customWidth="1"/>
  </cols>
  <sheetData>
    <row r="2" spans="1:12" x14ac:dyDescent="0.2">
      <c r="A2" s="1300" t="s">
        <v>4</v>
      </c>
      <c r="B2" t="s">
        <v>603</v>
      </c>
    </row>
    <row r="4" spans="1:12" x14ac:dyDescent="0.2">
      <c r="A4" s="1300" t="s">
        <v>658</v>
      </c>
      <c r="B4" t="s">
        <v>669</v>
      </c>
      <c r="C4" t="s">
        <v>746</v>
      </c>
      <c r="D4" t="s">
        <v>747</v>
      </c>
      <c r="E4" t="s">
        <v>748</v>
      </c>
      <c r="F4" t="s">
        <v>749</v>
      </c>
      <c r="G4" t="s">
        <v>750</v>
      </c>
      <c r="H4" t="s">
        <v>739</v>
      </c>
      <c r="I4" t="s">
        <v>751</v>
      </c>
      <c r="J4" t="s">
        <v>752</v>
      </c>
      <c r="K4" t="s">
        <v>753</v>
      </c>
      <c r="L4" t="s">
        <v>754</v>
      </c>
    </row>
    <row r="5" spans="1:12" x14ac:dyDescent="0.2">
      <c r="A5" s="1301" t="s">
        <v>23</v>
      </c>
      <c r="B5">
        <v>228800</v>
      </c>
      <c r="C5">
        <v>4</v>
      </c>
      <c r="D5">
        <v>107</v>
      </c>
      <c r="F5">
        <v>13</v>
      </c>
      <c r="G5">
        <v>1</v>
      </c>
      <c r="H5">
        <v>11</v>
      </c>
      <c r="I5">
        <v>126</v>
      </c>
      <c r="J5">
        <v>14</v>
      </c>
      <c r="K5">
        <v>66</v>
      </c>
      <c r="L5">
        <v>342</v>
      </c>
    </row>
    <row r="6" spans="1:12" x14ac:dyDescent="0.2">
      <c r="A6" s="1301" t="s">
        <v>24</v>
      </c>
      <c r="B6">
        <v>261800</v>
      </c>
      <c r="C6">
        <v>8</v>
      </c>
      <c r="D6">
        <v>106</v>
      </c>
      <c r="E6">
        <v>1</v>
      </c>
      <c r="F6">
        <v>5</v>
      </c>
      <c r="G6">
        <v>1</v>
      </c>
      <c r="H6">
        <v>17</v>
      </c>
      <c r="I6">
        <v>26</v>
      </c>
      <c r="J6">
        <v>6</v>
      </c>
      <c r="K6">
        <v>44</v>
      </c>
      <c r="L6">
        <v>214</v>
      </c>
    </row>
    <row r="7" spans="1:12" x14ac:dyDescent="0.2">
      <c r="A7" s="1301" t="s">
        <v>25</v>
      </c>
      <c r="B7">
        <v>116280</v>
      </c>
      <c r="C7">
        <v>8</v>
      </c>
      <c r="D7">
        <v>74</v>
      </c>
      <c r="E7">
        <v>3</v>
      </c>
      <c r="F7">
        <v>5</v>
      </c>
      <c r="H7">
        <v>27</v>
      </c>
      <c r="I7">
        <v>34</v>
      </c>
      <c r="J7">
        <v>5</v>
      </c>
      <c r="K7">
        <v>25</v>
      </c>
      <c r="L7">
        <v>181</v>
      </c>
    </row>
    <row r="8" spans="1:12" x14ac:dyDescent="0.2">
      <c r="A8" s="1301" t="s">
        <v>26</v>
      </c>
      <c r="B8">
        <v>86810</v>
      </c>
      <c r="C8">
        <v>6</v>
      </c>
      <c r="D8">
        <v>42</v>
      </c>
      <c r="E8">
        <v>1</v>
      </c>
      <c r="F8">
        <v>5</v>
      </c>
      <c r="G8">
        <v>3</v>
      </c>
      <c r="H8">
        <v>4</v>
      </c>
      <c r="I8">
        <v>14</v>
      </c>
      <c r="J8">
        <v>2</v>
      </c>
      <c r="K8">
        <v>4</v>
      </c>
      <c r="L8">
        <v>81</v>
      </c>
    </row>
    <row r="9" spans="1:12" x14ac:dyDescent="0.2">
      <c r="A9" s="1301" t="s">
        <v>27</v>
      </c>
      <c r="B9">
        <v>51450</v>
      </c>
      <c r="C9">
        <v>5</v>
      </c>
      <c r="D9">
        <v>56</v>
      </c>
      <c r="E9">
        <v>2</v>
      </c>
      <c r="F9">
        <v>3</v>
      </c>
      <c r="H9">
        <v>14</v>
      </c>
      <c r="I9">
        <v>9</v>
      </c>
      <c r="J9">
        <v>1</v>
      </c>
      <c r="K9">
        <v>19</v>
      </c>
      <c r="L9">
        <v>109</v>
      </c>
    </row>
    <row r="10" spans="1:12" x14ac:dyDescent="0.2">
      <c r="A10" s="1301" t="s">
        <v>28</v>
      </c>
      <c r="B10">
        <v>149200</v>
      </c>
      <c r="C10">
        <v>4</v>
      </c>
      <c r="D10">
        <v>74</v>
      </c>
      <c r="E10">
        <v>2</v>
      </c>
      <c r="F10">
        <v>5</v>
      </c>
      <c r="G10">
        <v>1</v>
      </c>
      <c r="H10">
        <v>24</v>
      </c>
      <c r="I10">
        <v>27</v>
      </c>
      <c r="J10">
        <v>3</v>
      </c>
      <c r="K10">
        <v>38</v>
      </c>
      <c r="L10">
        <v>178</v>
      </c>
    </row>
    <row r="11" spans="1:12" x14ac:dyDescent="0.2">
      <c r="A11" s="1301" t="s">
        <v>29</v>
      </c>
      <c r="B11">
        <v>148710</v>
      </c>
      <c r="C11">
        <v>13</v>
      </c>
      <c r="D11">
        <v>270</v>
      </c>
      <c r="E11">
        <v>1</v>
      </c>
      <c r="F11">
        <v>19</v>
      </c>
      <c r="G11">
        <v>3</v>
      </c>
      <c r="H11">
        <v>78</v>
      </c>
      <c r="I11">
        <v>262</v>
      </c>
      <c r="J11">
        <v>53</v>
      </c>
      <c r="K11">
        <v>74</v>
      </c>
      <c r="L11">
        <v>773</v>
      </c>
    </row>
    <row r="12" spans="1:12" x14ac:dyDescent="0.2">
      <c r="A12" s="1301" t="s">
        <v>30</v>
      </c>
      <c r="B12">
        <v>121940</v>
      </c>
      <c r="C12">
        <v>10</v>
      </c>
      <c r="D12">
        <v>224</v>
      </c>
      <c r="E12">
        <v>1</v>
      </c>
      <c r="F12">
        <v>17</v>
      </c>
      <c r="G12">
        <v>3</v>
      </c>
      <c r="H12">
        <v>65</v>
      </c>
      <c r="I12">
        <v>132</v>
      </c>
      <c r="J12">
        <v>15</v>
      </c>
      <c r="K12">
        <v>125</v>
      </c>
      <c r="L12">
        <v>592</v>
      </c>
    </row>
    <row r="13" spans="1:12" x14ac:dyDescent="0.2">
      <c r="A13" s="1301" t="s">
        <v>31</v>
      </c>
      <c r="B13">
        <v>108130</v>
      </c>
      <c r="C13">
        <v>4</v>
      </c>
      <c r="D13">
        <v>58</v>
      </c>
      <c r="E13">
        <v>2</v>
      </c>
      <c r="F13">
        <v>5</v>
      </c>
      <c r="H13">
        <v>16</v>
      </c>
      <c r="I13">
        <v>39</v>
      </c>
      <c r="J13">
        <v>11</v>
      </c>
      <c r="K13">
        <v>40</v>
      </c>
      <c r="L13">
        <v>175</v>
      </c>
    </row>
    <row r="14" spans="1:12" x14ac:dyDescent="0.2">
      <c r="A14" s="1301" t="s">
        <v>32</v>
      </c>
      <c r="B14">
        <v>104840</v>
      </c>
      <c r="C14">
        <v>2</v>
      </c>
      <c r="D14">
        <v>118</v>
      </c>
      <c r="E14">
        <v>2</v>
      </c>
      <c r="F14">
        <v>5</v>
      </c>
      <c r="G14">
        <v>1</v>
      </c>
      <c r="H14">
        <v>53</v>
      </c>
      <c r="I14">
        <v>25</v>
      </c>
      <c r="J14">
        <v>13</v>
      </c>
      <c r="K14">
        <v>24</v>
      </c>
      <c r="L14">
        <v>243</v>
      </c>
    </row>
    <row r="15" spans="1:12" x14ac:dyDescent="0.2">
      <c r="A15" s="1301" t="s">
        <v>33</v>
      </c>
      <c r="B15">
        <v>94760</v>
      </c>
      <c r="C15">
        <v>6</v>
      </c>
      <c r="D15">
        <v>37</v>
      </c>
      <c r="E15">
        <v>1</v>
      </c>
      <c r="F15">
        <v>8</v>
      </c>
      <c r="H15">
        <v>24</v>
      </c>
      <c r="I15">
        <v>40</v>
      </c>
      <c r="J15">
        <v>6</v>
      </c>
      <c r="K15">
        <v>43</v>
      </c>
      <c r="L15">
        <v>165</v>
      </c>
    </row>
    <row r="16" spans="1:12" x14ac:dyDescent="0.2">
      <c r="A16" s="1301" t="s">
        <v>665</v>
      </c>
      <c r="B16">
        <v>513210</v>
      </c>
      <c r="C16">
        <v>17</v>
      </c>
      <c r="D16">
        <v>452</v>
      </c>
      <c r="F16">
        <v>41</v>
      </c>
      <c r="G16">
        <v>3</v>
      </c>
      <c r="H16">
        <v>303</v>
      </c>
      <c r="I16">
        <v>610</v>
      </c>
      <c r="J16">
        <v>122</v>
      </c>
      <c r="K16">
        <v>238</v>
      </c>
      <c r="L16">
        <v>1786</v>
      </c>
    </row>
    <row r="17" spans="1:12" x14ac:dyDescent="0.2">
      <c r="A17" s="1301" t="s">
        <v>34</v>
      </c>
      <c r="B17">
        <v>160130</v>
      </c>
      <c r="C17">
        <v>18</v>
      </c>
      <c r="D17">
        <v>221</v>
      </c>
      <c r="E17">
        <v>3</v>
      </c>
      <c r="F17">
        <v>11</v>
      </c>
      <c r="G17">
        <v>2</v>
      </c>
      <c r="H17">
        <v>47</v>
      </c>
      <c r="I17">
        <v>57</v>
      </c>
      <c r="J17">
        <v>14</v>
      </c>
      <c r="K17">
        <v>55</v>
      </c>
      <c r="L17">
        <v>428</v>
      </c>
    </row>
    <row r="18" spans="1:12" x14ac:dyDescent="0.2">
      <c r="A18" s="1301" t="s">
        <v>35</v>
      </c>
      <c r="B18">
        <v>371410</v>
      </c>
      <c r="C18">
        <v>31</v>
      </c>
      <c r="D18">
        <v>345</v>
      </c>
      <c r="E18">
        <v>11</v>
      </c>
      <c r="F18">
        <v>38</v>
      </c>
      <c r="G18">
        <v>7</v>
      </c>
      <c r="H18">
        <v>132</v>
      </c>
      <c r="I18">
        <v>133</v>
      </c>
      <c r="J18">
        <v>24</v>
      </c>
      <c r="K18">
        <v>223</v>
      </c>
      <c r="L18">
        <v>944</v>
      </c>
    </row>
    <row r="19" spans="1:12" x14ac:dyDescent="0.2">
      <c r="A19" s="1301" t="s">
        <v>36</v>
      </c>
      <c r="B19">
        <v>621020</v>
      </c>
      <c r="C19">
        <v>49</v>
      </c>
      <c r="D19">
        <v>419</v>
      </c>
      <c r="E19">
        <v>7</v>
      </c>
      <c r="F19">
        <v>55</v>
      </c>
      <c r="G19">
        <v>4</v>
      </c>
      <c r="H19">
        <v>287</v>
      </c>
      <c r="I19">
        <v>829</v>
      </c>
      <c r="J19">
        <v>71</v>
      </c>
      <c r="K19">
        <v>629</v>
      </c>
      <c r="L19">
        <v>2350</v>
      </c>
    </row>
    <row r="20" spans="1:12" x14ac:dyDescent="0.2">
      <c r="A20" s="1301" t="s">
        <v>37</v>
      </c>
      <c r="B20">
        <v>235180</v>
      </c>
      <c r="C20">
        <v>11</v>
      </c>
      <c r="D20">
        <v>321</v>
      </c>
      <c r="E20">
        <v>2</v>
      </c>
      <c r="F20">
        <v>10</v>
      </c>
      <c r="G20">
        <v>6</v>
      </c>
      <c r="H20">
        <v>36</v>
      </c>
      <c r="I20">
        <v>48</v>
      </c>
      <c r="J20">
        <v>8</v>
      </c>
      <c r="K20">
        <v>29</v>
      </c>
      <c r="L20">
        <v>471</v>
      </c>
    </row>
    <row r="21" spans="1:12" x14ac:dyDescent="0.2">
      <c r="A21" s="1301" t="s">
        <v>38</v>
      </c>
      <c r="B21">
        <v>78760</v>
      </c>
      <c r="C21">
        <v>5</v>
      </c>
      <c r="D21">
        <v>197</v>
      </c>
      <c r="E21">
        <v>1</v>
      </c>
      <c r="F21">
        <v>3</v>
      </c>
      <c r="G21">
        <v>1</v>
      </c>
      <c r="H21">
        <v>29</v>
      </c>
      <c r="I21">
        <v>42</v>
      </c>
      <c r="J21">
        <v>2</v>
      </c>
      <c r="K21">
        <v>68</v>
      </c>
      <c r="L21">
        <v>348</v>
      </c>
    </row>
    <row r="22" spans="1:12" x14ac:dyDescent="0.2">
      <c r="A22" s="1301" t="s">
        <v>39</v>
      </c>
      <c r="B22">
        <v>90090</v>
      </c>
      <c r="C22">
        <v>6</v>
      </c>
      <c r="D22">
        <v>171</v>
      </c>
      <c r="E22">
        <v>5</v>
      </c>
      <c r="F22">
        <v>11</v>
      </c>
      <c r="G22">
        <v>1</v>
      </c>
      <c r="H22">
        <v>84</v>
      </c>
      <c r="I22">
        <v>46</v>
      </c>
      <c r="J22">
        <v>13</v>
      </c>
      <c r="K22">
        <v>53</v>
      </c>
      <c r="L22">
        <v>390</v>
      </c>
    </row>
    <row r="23" spans="1:12" x14ac:dyDescent="0.2">
      <c r="A23" s="1301" t="s">
        <v>40</v>
      </c>
      <c r="B23">
        <v>95780</v>
      </c>
      <c r="C23">
        <v>5</v>
      </c>
      <c r="D23">
        <v>48</v>
      </c>
      <c r="E23">
        <v>1</v>
      </c>
      <c r="F23">
        <v>4</v>
      </c>
      <c r="H23">
        <v>9</v>
      </c>
      <c r="I23">
        <v>9</v>
      </c>
      <c r="K23">
        <v>7</v>
      </c>
      <c r="L23">
        <v>83</v>
      </c>
    </row>
    <row r="24" spans="1:12" x14ac:dyDescent="0.2">
      <c r="A24" s="1301" t="s">
        <v>393</v>
      </c>
      <c r="B24">
        <v>26950</v>
      </c>
      <c r="D24">
        <v>61</v>
      </c>
      <c r="F24">
        <v>1</v>
      </c>
      <c r="H24">
        <v>1</v>
      </c>
      <c r="I24">
        <v>1</v>
      </c>
      <c r="K24">
        <v>1</v>
      </c>
      <c r="L24">
        <v>65</v>
      </c>
    </row>
    <row r="25" spans="1:12" x14ac:dyDescent="0.2">
      <c r="A25" s="1301" t="s">
        <v>41</v>
      </c>
      <c r="B25">
        <v>135790</v>
      </c>
      <c r="C25">
        <v>16</v>
      </c>
      <c r="D25">
        <v>218</v>
      </c>
      <c r="E25">
        <v>3</v>
      </c>
      <c r="F25">
        <v>7</v>
      </c>
      <c r="G25">
        <v>1</v>
      </c>
      <c r="H25">
        <v>124</v>
      </c>
      <c r="I25">
        <v>89</v>
      </c>
      <c r="J25">
        <v>11</v>
      </c>
      <c r="K25">
        <v>100</v>
      </c>
      <c r="L25">
        <v>569</v>
      </c>
    </row>
    <row r="26" spans="1:12" x14ac:dyDescent="0.2">
      <c r="A26" s="1301" t="s">
        <v>42</v>
      </c>
      <c r="B26">
        <v>339960</v>
      </c>
      <c r="C26">
        <v>22</v>
      </c>
      <c r="D26">
        <v>364</v>
      </c>
      <c r="E26">
        <v>4</v>
      </c>
      <c r="F26">
        <v>43</v>
      </c>
      <c r="G26">
        <v>7</v>
      </c>
      <c r="H26">
        <v>168</v>
      </c>
      <c r="I26">
        <v>188</v>
      </c>
      <c r="J26">
        <v>27</v>
      </c>
      <c r="K26">
        <v>383</v>
      </c>
      <c r="L26">
        <v>1206</v>
      </c>
    </row>
    <row r="27" spans="1:12" x14ac:dyDescent="0.2">
      <c r="A27" s="1301" t="s">
        <v>43</v>
      </c>
      <c r="B27">
        <v>22000</v>
      </c>
      <c r="D27">
        <v>4</v>
      </c>
      <c r="G27">
        <v>1</v>
      </c>
      <c r="H27">
        <v>2</v>
      </c>
      <c r="I27">
        <v>2</v>
      </c>
      <c r="L27">
        <v>9</v>
      </c>
    </row>
    <row r="28" spans="1:12" x14ac:dyDescent="0.2">
      <c r="A28" s="1301" t="s">
        <v>44</v>
      </c>
      <c r="B28">
        <v>151100</v>
      </c>
      <c r="C28">
        <v>5</v>
      </c>
      <c r="D28">
        <v>75</v>
      </c>
      <c r="F28">
        <v>10</v>
      </c>
      <c r="G28">
        <v>1</v>
      </c>
      <c r="H28">
        <v>18</v>
      </c>
      <c r="I28">
        <v>27</v>
      </c>
      <c r="J28">
        <v>4</v>
      </c>
      <c r="K28">
        <v>37</v>
      </c>
      <c r="L28">
        <v>177</v>
      </c>
    </row>
    <row r="29" spans="1:12" x14ac:dyDescent="0.2">
      <c r="A29" s="1301" t="s">
        <v>45</v>
      </c>
      <c r="B29">
        <v>176830</v>
      </c>
      <c r="C29">
        <v>12</v>
      </c>
      <c r="D29">
        <v>135</v>
      </c>
      <c r="E29">
        <v>2</v>
      </c>
      <c r="F29">
        <v>22</v>
      </c>
      <c r="G29">
        <v>1</v>
      </c>
      <c r="H29">
        <v>73</v>
      </c>
      <c r="I29">
        <v>114</v>
      </c>
      <c r="J29">
        <v>13</v>
      </c>
      <c r="K29">
        <v>131</v>
      </c>
      <c r="L29">
        <v>503</v>
      </c>
    </row>
    <row r="30" spans="1:12" x14ac:dyDescent="0.2">
      <c r="A30" s="1301" t="s">
        <v>46</v>
      </c>
      <c r="B30">
        <v>115020</v>
      </c>
      <c r="C30">
        <v>3</v>
      </c>
      <c r="D30">
        <v>57</v>
      </c>
      <c r="E30">
        <v>3</v>
      </c>
      <c r="F30">
        <v>6</v>
      </c>
      <c r="H30">
        <v>30</v>
      </c>
      <c r="I30">
        <v>18</v>
      </c>
      <c r="J30">
        <v>3</v>
      </c>
      <c r="K30">
        <v>13</v>
      </c>
      <c r="L30">
        <v>133</v>
      </c>
    </row>
    <row r="31" spans="1:12" x14ac:dyDescent="0.2">
      <c r="A31" s="1301" t="s">
        <v>47</v>
      </c>
      <c r="B31">
        <v>23080</v>
      </c>
      <c r="C31">
        <v>1</v>
      </c>
      <c r="D31">
        <v>7</v>
      </c>
      <c r="F31">
        <v>1</v>
      </c>
      <c r="J31">
        <v>1</v>
      </c>
      <c r="K31">
        <v>1</v>
      </c>
      <c r="L31">
        <v>11</v>
      </c>
    </row>
    <row r="32" spans="1:12" x14ac:dyDescent="0.2">
      <c r="A32" s="1301" t="s">
        <v>48</v>
      </c>
      <c r="B32">
        <v>112680</v>
      </c>
      <c r="C32">
        <v>4</v>
      </c>
      <c r="D32">
        <v>107</v>
      </c>
      <c r="E32">
        <v>1</v>
      </c>
      <c r="F32">
        <v>5</v>
      </c>
      <c r="G32">
        <v>2</v>
      </c>
      <c r="H32">
        <v>46</v>
      </c>
      <c r="I32">
        <v>54</v>
      </c>
      <c r="J32">
        <v>2</v>
      </c>
      <c r="K32">
        <v>29</v>
      </c>
      <c r="L32">
        <v>250</v>
      </c>
    </row>
    <row r="33" spans="1:12" x14ac:dyDescent="0.2">
      <c r="A33" s="1301" t="s">
        <v>49</v>
      </c>
      <c r="B33">
        <v>318170</v>
      </c>
      <c r="C33">
        <v>20</v>
      </c>
      <c r="D33">
        <v>209</v>
      </c>
      <c r="E33">
        <v>6</v>
      </c>
      <c r="F33">
        <v>13</v>
      </c>
      <c r="G33">
        <v>4</v>
      </c>
      <c r="H33">
        <v>73</v>
      </c>
      <c r="I33">
        <v>187</v>
      </c>
      <c r="J33">
        <v>28</v>
      </c>
      <c r="K33">
        <v>256</v>
      </c>
      <c r="L33">
        <v>796</v>
      </c>
    </row>
    <row r="34" spans="1:12" x14ac:dyDescent="0.2">
      <c r="A34" s="1301" t="s">
        <v>50</v>
      </c>
      <c r="B34">
        <v>94000</v>
      </c>
      <c r="C34">
        <v>2</v>
      </c>
      <c r="D34">
        <v>79</v>
      </c>
      <c r="E34">
        <v>1</v>
      </c>
      <c r="F34">
        <v>7</v>
      </c>
      <c r="H34">
        <v>17</v>
      </c>
      <c r="I34">
        <v>34</v>
      </c>
      <c r="J34">
        <v>4</v>
      </c>
      <c r="K34">
        <v>23</v>
      </c>
      <c r="L34">
        <v>167</v>
      </c>
    </row>
    <row r="35" spans="1:12" x14ac:dyDescent="0.2">
      <c r="A35" s="1301" t="s">
        <v>51</v>
      </c>
      <c r="B35">
        <v>89610</v>
      </c>
      <c r="C35">
        <v>3</v>
      </c>
      <c r="D35">
        <v>69</v>
      </c>
      <c r="E35">
        <v>2</v>
      </c>
      <c r="F35">
        <v>2</v>
      </c>
      <c r="G35">
        <v>1</v>
      </c>
      <c r="H35">
        <v>35</v>
      </c>
      <c r="I35">
        <v>57</v>
      </c>
      <c r="J35">
        <v>6</v>
      </c>
      <c r="K35">
        <v>66</v>
      </c>
      <c r="L35">
        <v>241</v>
      </c>
    </row>
    <row r="36" spans="1:12" x14ac:dyDescent="0.2">
      <c r="A36" s="1301" t="s">
        <v>52</v>
      </c>
      <c r="B36">
        <v>181310</v>
      </c>
      <c r="C36">
        <v>4</v>
      </c>
      <c r="D36">
        <v>338</v>
      </c>
      <c r="E36">
        <v>1</v>
      </c>
      <c r="F36">
        <v>13</v>
      </c>
      <c r="G36">
        <v>5</v>
      </c>
      <c r="H36">
        <v>74</v>
      </c>
      <c r="I36">
        <v>161</v>
      </c>
      <c r="J36">
        <v>22</v>
      </c>
      <c r="K36">
        <v>100</v>
      </c>
      <c r="L36">
        <v>718</v>
      </c>
    </row>
    <row r="37" spans="1:12" x14ac:dyDescent="0.2">
      <c r="A37" s="1301" t="s">
        <v>666</v>
      </c>
      <c r="B37">
        <v>5424800</v>
      </c>
      <c r="C37">
        <v>304</v>
      </c>
      <c r="D37">
        <v>5063</v>
      </c>
      <c r="E37">
        <v>69</v>
      </c>
      <c r="F37">
        <v>393</v>
      </c>
      <c r="G37">
        <v>60</v>
      </c>
      <c r="H37">
        <v>1921</v>
      </c>
      <c r="I37">
        <v>3440</v>
      </c>
      <c r="J37">
        <v>504</v>
      </c>
      <c r="K37">
        <v>2944</v>
      </c>
      <c r="L37">
        <v>14698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tabColor rgb="FF960000"/>
    <pageSetUpPr fitToPage="1"/>
  </sheetPr>
  <dimension ref="A1:H13"/>
  <sheetViews>
    <sheetView showGridLines="0" workbookViewId="0"/>
  </sheetViews>
  <sheetFormatPr defaultRowHeight="12.75" x14ac:dyDescent="0.2"/>
  <cols>
    <col min="1" max="1" width="20.7109375" customWidth="1"/>
  </cols>
  <sheetData>
    <row r="1" spans="1:8" ht="38.25" customHeight="1" x14ac:dyDescent="0.35">
      <c r="A1" s="1259" t="str">
        <f>"Refuse Fires, Long-term Trend"</f>
        <v>Refuse Fires, Long-term Trend</v>
      </c>
    </row>
    <row r="3" spans="1:8" x14ac:dyDescent="0.2">
      <c r="A3" s="386"/>
    </row>
    <row r="4" spans="1:8" x14ac:dyDescent="0.2">
      <c r="C4" t="s">
        <v>117</v>
      </c>
      <c r="D4" t="s">
        <v>897</v>
      </c>
      <c r="E4" t="s">
        <v>898</v>
      </c>
      <c r="F4" t="s">
        <v>899</v>
      </c>
      <c r="G4" t="s">
        <v>900</v>
      </c>
      <c r="H4" t="s">
        <v>901</v>
      </c>
    </row>
    <row r="5" spans="1:8" x14ac:dyDescent="0.2">
      <c r="B5" t="str">
        <f>'9'!A24</f>
        <v>2009-10</v>
      </c>
      <c r="C5" s="768">
        <f>'9'!K24</f>
        <v>11824</v>
      </c>
      <c r="D5" s="768">
        <f>'9'!L24-'9'!K24</f>
        <v>11157</v>
      </c>
    </row>
    <row r="6" spans="1:8" x14ac:dyDescent="0.2">
      <c r="B6" t="str">
        <f>'9'!A25</f>
        <v>2010-11</v>
      </c>
      <c r="C6" s="768">
        <f>'9'!K25</f>
        <v>11070</v>
      </c>
      <c r="D6" s="768">
        <f>'9'!L25-'9'!K25</f>
        <v>13137</v>
      </c>
      <c r="E6" s="768">
        <f>'13'!K5</f>
        <v>908</v>
      </c>
      <c r="F6" s="768">
        <f>'13'!K17</f>
        <v>10162</v>
      </c>
      <c r="G6" s="768">
        <f>'13'!L5-'13'!K5</f>
        <v>1698</v>
      </c>
      <c r="H6" s="768">
        <f>'13'!L17-'13'!K17</f>
        <v>11439</v>
      </c>
    </row>
    <row r="7" spans="1:8" x14ac:dyDescent="0.2">
      <c r="B7" t="str">
        <f>'9'!A26</f>
        <v>2011-12</v>
      </c>
      <c r="C7" s="768">
        <f>'9'!K26</f>
        <v>9927</v>
      </c>
      <c r="D7" s="768">
        <f>'9'!L26-'9'!K26</f>
        <v>8754</v>
      </c>
      <c r="E7" s="768">
        <f>'13'!K6</f>
        <v>956</v>
      </c>
      <c r="F7" s="768">
        <f>'13'!K18</f>
        <v>8971</v>
      </c>
      <c r="G7" s="768">
        <f>'13'!L6-'13'!K6</f>
        <v>1528</v>
      </c>
      <c r="H7" s="768">
        <f>'13'!L18-'13'!K18</f>
        <v>7226</v>
      </c>
    </row>
    <row r="8" spans="1:8" x14ac:dyDescent="0.2">
      <c r="B8" t="str">
        <f>'9'!A27</f>
        <v>2012-13</v>
      </c>
      <c r="C8" s="768">
        <f>'9'!K27</f>
        <v>7946</v>
      </c>
      <c r="D8" s="768">
        <f>'9'!L27-'9'!K27</f>
        <v>6332</v>
      </c>
      <c r="E8" s="768">
        <f>'13'!K7</f>
        <v>853</v>
      </c>
      <c r="F8" s="768">
        <f>'13'!K19</f>
        <v>7093</v>
      </c>
      <c r="G8" s="768">
        <f>'13'!L7-'13'!K7</f>
        <v>1173</v>
      </c>
      <c r="H8" s="768">
        <f>'13'!L19-'13'!K19</f>
        <v>5159</v>
      </c>
    </row>
    <row r="9" spans="1:8" x14ac:dyDescent="0.2">
      <c r="B9" t="str">
        <f>'9'!A28</f>
        <v>2013-14</v>
      </c>
      <c r="C9" s="768">
        <f>'9'!K28</f>
        <v>7555</v>
      </c>
      <c r="D9" s="768">
        <f>'9'!L28-'9'!K28</f>
        <v>8805</v>
      </c>
      <c r="E9" s="768">
        <f>'13'!K8</f>
        <v>1065</v>
      </c>
      <c r="F9" s="768">
        <f>'13'!K20</f>
        <v>6490</v>
      </c>
      <c r="G9" s="768">
        <f>'13'!L8-'13'!K8</f>
        <v>1849</v>
      </c>
      <c r="H9" s="768">
        <f>'13'!L20-'13'!K20</f>
        <v>6956</v>
      </c>
    </row>
    <row r="10" spans="1:8" x14ac:dyDescent="0.2">
      <c r="B10" t="str">
        <f>'9'!A29</f>
        <v>2014-15</v>
      </c>
      <c r="C10" s="768">
        <f>'9'!K29</f>
        <v>7142</v>
      </c>
      <c r="D10" s="768">
        <f>'9'!L29-'9'!K29</f>
        <v>6264</v>
      </c>
      <c r="E10" s="768">
        <f>'13'!K9</f>
        <v>1094</v>
      </c>
      <c r="F10" s="768">
        <f>'13'!K21</f>
        <v>6048</v>
      </c>
      <c r="G10" s="768">
        <f>'13'!L9-'13'!K9</f>
        <v>1145</v>
      </c>
      <c r="H10" s="768">
        <f>'13'!L21-'13'!K21</f>
        <v>5119</v>
      </c>
    </row>
    <row r="11" spans="1:8" x14ac:dyDescent="0.2">
      <c r="B11" t="str">
        <f>'9'!A30</f>
        <v>2015-16</v>
      </c>
      <c r="C11" s="768">
        <f>'9'!K30</f>
        <v>7434</v>
      </c>
      <c r="D11" s="768">
        <f>'9'!L30-'9'!K30</f>
        <v>7298</v>
      </c>
      <c r="E11" s="768">
        <f>'13'!K10</f>
        <v>1200</v>
      </c>
      <c r="F11" s="768">
        <f>'13'!K22</f>
        <v>6234</v>
      </c>
      <c r="G11" s="768">
        <f>'13'!L10-'13'!K10</f>
        <v>1254</v>
      </c>
      <c r="H11" s="768">
        <f>'13'!L22-'13'!K22</f>
        <v>6044</v>
      </c>
    </row>
    <row r="12" spans="1:8" x14ac:dyDescent="0.2">
      <c r="B12" t="str">
        <f>'9'!A31</f>
        <v>2016-17</v>
      </c>
      <c r="C12" s="768">
        <f>'9'!K31</f>
        <v>7934</v>
      </c>
      <c r="D12" s="768">
        <f>'9'!L31-'9'!K31</f>
        <v>7723</v>
      </c>
      <c r="E12" s="768">
        <f>'13'!K11</f>
        <v>1139</v>
      </c>
      <c r="F12" s="768">
        <f>'13'!K23</f>
        <v>6795</v>
      </c>
      <c r="G12" s="768">
        <f>'13'!L11-'13'!K11</f>
        <v>1327</v>
      </c>
      <c r="H12" s="768">
        <f>'13'!L23-'13'!K23</f>
        <v>6396</v>
      </c>
    </row>
    <row r="13" spans="1:8" x14ac:dyDescent="0.2">
      <c r="B13" t="str">
        <f>'9'!A32</f>
        <v>2017-18</v>
      </c>
      <c r="C13" s="768">
        <f>'9'!K32</f>
        <v>6888</v>
      </c>
      <c r="D13" s="768">
        <f>'9'!L32-'9'!K32</f>
        <v>7810</v>
      </c>
      <c r="E13" s="768">
        <f>'13'!K12</f>
        <v>1038</v>
      </c>
      <c r="F13" s="768">
        <f>'13'!K24</f>
        <v>5850</v>
      </c>
      <c r="G13" s="768">
        <f>'13'!L12-'13'!K12</f>
        <v>1557</v>
      </c>
      <c r="H13" s="768">
        <f>'13'!L24-'13'!K24</f>
        <v>6253</v>
      </c>
    </row>
  </sheetData>
  <sheetProtection algorithmName="SHA-512" hashValue="W51nIlfdTr+D/RyxYySaOfcKxltDl+70MV4e0irsfAuoPrWB3TI33bNSVEj3C8sQoqcdxV61y6bVL//gmX4Ngg==" saltValue="YpmxYAem3qwdICxF6iGyrg==" spinCount="100000" sheet="1" objects="1" scenarios="1"/>
  <pageMargins left="0.7" right="0.7" top="0.75" bottom="0.75" header="0.3" footer="0.3"/>
  <pageSetup paperSize="9" scale="9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theme="4"/>
    <pageSetUpPr fitToPage="1"/>
  </sheetPr>
  <dimension ref="A1:R44"/>
  <sheetViews>
    <sheetView showGridLines="0" zoomScaleNormal="100" workbookViewId="0">
      <selection sqref="A1:K1"/>
    </sheetView>
  </sheetViews>
  <sheetFormatPr defaultRowHeight="12.75" x14ac:dyDescent="0.2"/>
  <cols>
    <col min="1" max="1" width="11.28515625" customWidth="1"/>
    <col min="2" max="3" width="10.85546875" customWidth="1"/>
    <col min="5" max="6" width="11.7109375" customWidth="1"/>
    <col min="8" max="9" width="11" customWidth="1"/>
    <col min="11" max="11" width="19.5703125" customWidth="1"/>
    <col min="247" max="247" width="11.7109375" customWidth="1"/>
    <col min="248" max="249" width="10.85546875" customWidth="1"/>
    <col min="251" max="252" width="11.7109375" customWidth="1"/>
    <col min="254" max="255" width="11" customWidth="1"/>
    <col min="503" max="503" width="11.7109375" customWidth="1"/>
    <col min="504" max="505" width="10.85546875" customWidth="1"/>
    <col min="507" max="508" width="11.7109375" customWidth="1"/>
    <col min="510" max="511" width="11" customWidth="1"/>
    <col min="759" max="759" width="11.7109375" customWidth="1"/>
    <col min="760" max="761" width="10.85546875" customWidth="1"/>
    <col min="763" max="764" width="11.7109375" customWidth="1"/>
    <col min="766" max="767" width="11" customWidth="1"/>
    <col min="1015" max="1015" width="11.7109375" customWidth="1"/>
    <col min="1016" max="1017" width="10.85546875" customWidth="1"/>
    <col min="1019" max="1020" width="11.7109375" customWidth="1"/>
    <col min="1022" max="1023" width="11" customWidth="1"/>
    <col min="1271" max="1271" width="11.7109375" customWidth="1"/>
    <col min="1272" max="1273" width="10.85546875" customWidth="1"/>
    <col min="1275" max="1276" width="11.7109375" customWidth="1"/>
    <col min="1278" max="1279" width="11" customWidth="1"/>
    <col min="1527" max="1527" width="11.7109375" customWidth="1"/>
    <col min="1528" max="1529" width="10.85546875" customWidth="1"/>
    <col min="1531" max="1532" width="11.7109375" customWidth="1"/>
    <col min="1534" max="1535" width="11" customWidth="1"/>
    <col min="1783" max="1783" width="11.7109375" customWidth="1"/>
    <col min="1784" max="1785" width="10.85546875" customWidth="1"/>
    <col min="1787" max="1788" width="11.7109375" customWidth="1"/>
    <col min="1790" max="1791" width="11" customWidth="1"/>
    <col min="2039" max="2039" width="11.7109375" customWidth="1"/>
    <col min="2040" max="2041" width="10.85546875" customWidth="1"/>
    <col min="2043" max="2044" width="11.7109375" customWidth="1"/>
    <col min="2046" max="2047" width="11" customWidth="1"/>
    <col min="2295" max="2295" width="11.7109375" customWidth="1"/>
    <col min="2296" max="2297" width="10.85546875" customWidth="1"/>
    <col min="2299" max="2300" width="11.7109375" customWidth="1"/>
    <col min="2302" max="2303" width="11" customWidth="1"/>
    <col min="2551" max="2551" width="11.7109375" customWidth="1"/>
    <col min="2552" max="2553" width="10.85546875" customWidth="1"/>
    <col min="2555" max="2556" width="11.7109375" customWidth="1"/>
    <col min="2558" max="2559" width="11" customWidth="1"/>
    <col min="2807" max="2807" width="11.7109375" customWidth="1"/>
    <col min="2808" max="2809" width="10.85546875" customWidth="1"/>
    <col min="2811" max="2812" width="11.7109375" customWidth="1"/>
    <col min="2814" max="2815" width="11" customWidth="1"/>
    <col min="3063" max="3063" width="11.7109375" customWidth="1"/>
    <col min="3064" max="3065" width="10.85546875" customWidth="1"/>
    <col min="3067" max="3068" width="11.7109375" customWidth="1"/>
    <col min="3070" max="3071" width="11" customWidth="1"/>
    <col min="3319" max="3319" width="11.7109375" customWidth="1"/>
    <col min="3320" max="3321" width="10.85546875" customWidth="1"/>
    <col min="3323" max="3324" width="11.7109375" customWidth="1"/>
    <col min="3326" max="3327" width="11" customWidth="1"/>
    <col min="3575" max="3575" width="11.7109375" customWidth="1"/>
    <col min="3576" max="3577" width="10.85546875" customWidth="1"/>
    <col min="3579" max="3580" width="11.7109375" customWidth="1"/>
    <col min="3582" max="3583" width="11" customWidth="1"/>
    <col min="3831" max="3831" width="11.7109375" customWidth="1"/>
    <col min="3832" max="3833" width="10.85546875" customWidth="1"/>
    <col min="3835" max="3836" width="11.7109375" customWidth="1"/>
    <col min="3838" max="3839" width="11" customWidth="1"/>
    <col min="4087" max="4087" width="11.7109375" customWidth="1"/>
    <col min="4088" max="4089" width="10.85546875" customWidth="1"/>
    <col min="4091" max="4092" width="11.7109375" customWidth="1"/>
    <col min="4094" max="4095" width="11" customWidth="1"/>
    <col min="4343" max="4343" width="11.7109375" customWidth="1"/>
    <col min="4344" max="4345" width="10.85546875" customWidth="1"/>
    <col min="4347" max="4348" width="11.7109375" customWidth="1"/>
    <col min="4350" max="4351" width="11" customWidth="1"/>
    <col min="4599" max="4599" width="11.7109375" customWidth="1"/>
    <col min="4600" max="4601" width="10.85546875" customWidth="1"/>
    <col min="4603" max="4604" width="11.7109375" customWidth="1"/>
    <col min="4606" max="4607" width="11" customWidth="1"/>
    <col min="4855" max="4855" width="11.7109375" customWidth="1"/>
    <col min="4856" max="4857" width="10.85546875" customWidth="1"/>
    <col min="4859" max="4860" width="11.7109375" customWidth="1"/>
    <col min="4862" max="4863" width="11" customWidth="1"/>
    <col min="5111" max="5111" width="11.7109375" customWidth="1"/>
    <col min="5112" max="5113" width="10.85546875" customWidth="1"/>
    <col min="5115" max="5116" width="11.7109375" customWidth="1"/>
    <col min="5118" max="5119" width="11" customWidth="1"/>
    <col min="5367" max="5367" width="11.7109375" customWidth="1"/>
    <col min="5368" max="5369" width="10.85546875" customWidth="1"/>
    <col min="5371" max="5372" width="11.7109375" customWidth="1"/>
    <col min="5374" max="5375" width="11" customWidth="1"/>
    <col min="5623" max="5623" width="11.7109375" customWidth="1"/>
    <col min="5624" max="5625" width="10.85546875" customWidth="1"/>
    <col min="5627" max="5628" width="11.7109375" customWidth="1"/>
    <col min="5630" max="5631" width="11" customWidth="1"/>
    <col min="5879" max="5879" width="11.7109375" customWidth="1"/>
    <col min="5880" max="5881" width="10.85546875" customWidth="1"/>
    <col min="5883" max="5884" width="11.7109375" customWidth="1"/>
    <col min="5886" max="5887" width="11" customWidth="1"/>
    <col min="6135" max="6135" width="11.7109375" customWidth="1"/>
    <col min="6136" max="6137" width="10.85546875" customWidth="1"/>
    <col min="6139" max="6140" width="11.7109375" customWidth="1"/>
    <col min="6142" max="6143" width="11" customWidth="1"/>
    <col min="6391" max="6391" width="11.7109375" customWidth="1"/>
    <col min="6392" max="6393" width="10.85546875" customWidth="1"/>
    <col min="6395" max="6396" width="11.7109375" customWidth="1"/>
    <col min="6398" max="6399" width="11" customWidth="1"/>
    <col min="6647" max="6647" width="11.7109375" customWidth="1"/>
    <col min="6648" max="6649" width="10.85546875" customWidth="1"/>
    <col min="6651" max="6652" width="11.7109375" customWidth="1"/>
    <col min="6654" max="6655" width="11" customWidth="1"/>
    <col min="6903" max="6903" width="11.7109375" customWidth="1"/>
    <col min="6904" max="6905" width="10.85546875" customWidth="1"/>
    <col min="6907" max="6908" width="11.7109375" customWidth="1"/>
    <col min="6910" max="6911" width="11" customWidth="1"/>
    <col min="7159" max="7159" width="11.7109375" customWidth="1"/>
    <col min="7160" max="7161" width="10.85546875" customWidth="1"/>
    <col min="7163" max="7164" width="11.7109375" customWidth="1"/>
    <col min="7166" max="7167" width="11" customWidth="1"/>
    <col min="7415" max="7415" width="11.7109375" customWidth="1"/>
    <col min="7416" max="7417" width="10.85546875" customWidth="1"/>
    <col min="7419" max="7420" width="11.7109375" customWidth="1"/>
    <col min="7422" max="7423" width="11" customWidth="1"/>
    <col min="7671" max="7671" width="11.7109375" customWidth="1"/>
    <col min="7672" max="7673" width="10.85546875" customWidth="1"/>
    <col min="7675" max="7676" width="11.7109375" customWidth="1"/>
    <col min="7678" max="7679" width="11" customWidth="1"/>
    <col min="7927" max="7927" width="11.7109375" customWidth="1"/>
    <col min="7928" max="7929" width="10.85546875" customWidth="1"/>
    <col min="7931" max="7932" width="11.7109375" customWidth="1"/>
    <col min="7934" max="7935" width="11" customWidth="1"/>
    <col min="8183" max="8183" width="11.7109375" customWidth="1"/>
    <col min="8184" max="8185" width="10.85546875" customWidth="1"/>
    <col min="8187" max="8188" width="11.7109375" customWidth="1"/>
    <col min="8190" max="8191" width="11" customWidth="1"/>
    <col min="8439" max="8439" width="11.7109375" customWidth="1"/>
    <col min="8440" max="8441" width="10.85546875" customWidth="1"/>
    <col min="8443" max="8444" width="11.7109375" customWidth="1"/>
    <col min="8446" max="8447" width="11" customWidth="1"/>
    <col min="8695" max="8695" width="11.7109375" customWidth="1"/>
    <col min="8696" max="8697" width="10.85546875" customWidth="1"/>
    <col min="8699" max="8700" width="11.7109375" customWidth="1"/>
    <col min="8702" max="8703" width="11" customWidth="1"/>
    <col min="8951" max="8951" width="11.7109375" customWidth="1"/>
    <col min="8952" max="8953" width="10.85546875" customWidth="1"/>
    <col min="8955" max="8956" width="11.7109375" customWidth="1"/>
    <col min="8958" max="8959" width="11" customWidth="1"/>
    <col min="9207" max="9207" width="11.7109375" customWidth="1"/>
    <col min="9208" max="9209" width="10.85546875" customWidth="1"/>
    <col min="9211" max="9212" width="11.7109375" customWidth="1"/>
    <col min="9214" max="9215" width="11" customWidth="1"/>
    <col min="9463" max="9463" width="11.7109375" customWidth="1"/>
    <col min="9464" max="9465" width="10.85546875" customWidth="1"/>
    <col min="9467" max="9468" width="11.7109375" customWidth="1"/>
    <col min="9470" max="9471" width="11" customWidth="1"/>
    <col min="9719" max="9719" width="11.7109375" customWidth="1"/>
    <col min="9720" max="9721" width="10.85546875" customWidth="1"/>
    <col min="9723" max="9724" width="11.7109375" customWidth="1"/>
    <col min="9726" max="9727" width="11" customWidth="1"/>
    <col min="9975" max="9975" width="11.7109375" customWidth="1"/>
    <col min="9976" max="9977" width="10.85546875" customWidth="1"/>
    <col min="9979" max="9980" width="11.7109375" customWidth="1"/>
    <col min="9982" max="9983" width="11" customWidth="1"/>
    <col min="10231" max="10231" width="11.7109375" customWidth="1"/>
    <col min="10232" max="10233" width="10.85546875" customWidth="1"/>
    <col min="10235" max="10236" width="11.7109375" customWidth="1"/>
    <col min="10238" max="10239" width="11" customWidth="1"/>
    <col min="10487" max="10487" width="11.7109375" customWidth="1"/>
    <col min="10488" max="10489" width="10.85546875" customWidth="1"/>
    <col min="10491" max="10492" width="11.7109375" customWidth="1"/>
    <col min="10494" max="10495" width="11" customWidth="1"/>
    <col min="10743" max="10743" width="11.7109375" customWidth="1"/>
    <col min="10744" max="10745" width="10.85546875" customWidth="1"/>
    <col min="10747" max="10748" width="11.7109375" customWidth="1"/>
    <col min="10750" max="10751" width="11" customWidth="1"/>
    <col min="10999" max="10999" width="11.7109375" customWidth="1"/>
    <col min="11000" max="11001" width="10.85546875" customWidth="1"/>
    <col min="11003" max="11004" width="11.7109375" customWidth="1"/>
    <col min="11006" max="11007" width="11" customWidth="1"/>
    <col min="11255" max="11255" width="11.7109375" customWidth="1"/>
    <col min="11256" max="11257" width="10.85546875" customWidth="1"/>
    <col min="11259" max="11260" width="11.7109375" customWidth="1"/>
    <col min="11262" max="11263" width="11" customWidth="1"/>
    <col min="11511" max="11511" width="11.7109375" customWidth="1"/>
    <col min="11512" max="11513" width="10.85546875" customWidth="1"/>
    <col min="11515" max="11516" width="11.7109375" customWidth="1"/>
    <col min="11518" max="11519" width="11" customWidth="1"/>
    <col min="11767" max="11767" width="11.7109375" customWidth="1"/>
    <col min="11768" max="11769" width="10.85546875" customWidth="1"/>
    <col min="11771" max="11772" width="11.7109375" customWidth="1"/>
    <col min="11774" max="11775" width="11" customWidth="1"/>
    <col min="12023" max="12023" width="11.7109375" customWidth="1"/>
    <col min="12024" max="12025" width="10.85546875" customWidth="1"/>
    <col min="12027" max="12028" width="11.7109375" customWidth="1"/>
    <col min="12030" max="12031" width="11" customWidth="1"/>
    <col min="12279" max="12279" width="11.7109375" customWidth="1"/>
    <col min="12280" max="12281" width="10.85546875" customWidth="1"/>
    <col min="12283" max="12284" width="11.7109375" customWidth="1"/>
    <col min="12286" max="12287" width="11" customWidth="1"/>
    <col min="12535" max="12535" width="11.7109375" customWidth="1"/>
    <col min="12536" max="12537" width="10.85546875" customWidth="1"/>
    <col min="12539" max="12540" width="11.7109375" customWidth="1"/>
    <col min="12542" max="12543" width="11" customWidth="1"/>
    <col min="12791" max="12791" width="11.7109375" customWidth="1"/>
    <col min="12792" max="12793" width="10.85546875" customWidth="1"/>
    <col min="12795" max="12796" width="11.7109375" customWidth="1"/>
    <col min="12798" max="12799" width="11" customWidth="1"/>
    <col min="13047" max="13047" width="11.7109375" customWidth="1"/>
    <col min="13048" max="13049" width="10.85546875" customWidth="1"/>
    <col min="13051" max="13052" width="11.7109375" customWidth="1"/>
    <col min="13054" max="13055" width="11" customWidth="1"/>
    <col min="13303" max="13303" width="11.7109375" customWidth="1"/>
    <col min="13304" max="13305" width="10.85546875" customWidth="1"/>
    <col min="13307" max="13308" width="11.7109375" customWidth="1"/>
    <col min="13310" max="13311" width="11" customWidth="1"/>
    <col min="13559" max="13559" width="11.7109375" customWidth="1"/>
    <col min="13560" max="13561" width="10.85546875" customWidth="1"/>
    <col min="13563" max="13564" width="11.7109375" customWidth="1"/>
    <col min="13566" max="13567" width="11" customWidth="1"/>
    <col min="13815" max="13815" width="11.7109375" customWidth="1"/>
    <col min="13816" max="13817" width="10.85546875" customWidth="1"/>
    <col min="13819" max="13820" width="11.7109375" customWidth="1"/>
    <col min="13822" max="13823" width="11" customWidth="1"/>
    <col min="14071" max="14071" width="11.7109375" customWidth="1"/>
    <col min="14072" max="14073" width="10.85546875" customWidth="1"/>
    <col min="14075" max="14076" width="11.7109375" customWidth="1"/>
    <col min="14078" max="14079" width="11" customWidth="1"/>
    <col min="14327" max="14327" width="11.7109375" customWidth="1"/>
    <col min="14328" max="14329" width="10.85546875" customWidth="1"/>
    <col min="14331" max="14332" width="11.7109375" customWidth="1"/>
    <col min="14334" max="14335" width="11" customWidth="1"/>
    <col min="14583" max="14583" width="11.7109375" customWidth="1"/>
    <col min="14584" max="14585" width="10.85546875" customWidth="1"/>
    <col min="14587" max="14588" width="11.7109375" customWidth="1"/>
    <col min="14590" max="14591" width="11" customWidth="1"/>
    <col min="14839" max="14839" width="11.7109375" customWidth="1"/>
    <col min="14840" max="14841" width="10.85546875" customWidth="1"/>
    <col min="14843" max="14844" width="11.7109375" customWidth="1"/>
    <col min="14846" max="14847" width="11" customWidth="1"/>
    <col min="15095" max="15095" width="11.7109375" customWidth="1"/>
    <col min="15096" max="15097" width="10.85546875" customWidth="1"/>
    <col min="15099" max="15100" width="11.7109375" customWidth="1"/>
    <col min="15102" max="15103" width="11" customWidth="1"/>
    <col min="15351" max="15351" width="11.7109375" customWidth="1"/>
    <col min="15352" max="15353" width="10.85546875" customWidth="1"/>
    <col min="15355" max="15356" width="11.7109375" customWidth="1"/>
    <col min="15358" max="15359" width="11" customWidth="1"/>
    <col min="15607" max="15607" width="11.7109375" customWidth="1"/>
    <col min="15608" max="15609" width="10.85546875" customWidth="1"/>
    <col min="15611" max="15612" width="11.7109375" customWidth="1"/>
    <col min="15614" max="15615" width="11" customWidth="1"/>
    <col min="15863" max="15863" width="11.7109375" customWidth="1"/>
    <col min="15864" max="15865" width="10.85546875" customWidth="1"/>
    <col min="15867" max="15868" width="11.7109375" customWidth="1"/>
    <col min="15870" max="15871" width="11" customWidth="1"/>
    <col min="16119" max="16119" width="11.7109375" customWidth="1"/>
    <col min="16120" max="16121" width="10.85546875" customWidth="1"/>
    <col min="16123" max="16124" width="11.7109375" customWidth="1"/>
    <col min="16126" max="16127" width="11" customWidth="1"/>
  </cols>
  <sheetData>
    <row r="1" spans="1:11" ht="38.25" customHeight="1" x14ac:dyDescent="0.2">
      <c r="A1" s="1698" t="s">
        <v>622</v>
      </c>
      <c r="B1" s="1698"/>
      <c r="C1" s="1698"/>
      <c r="D1" s="1698"/>
      <c r="E1" s="1698"/>
      <c r="F1" s="1698"/>
      <c r="G1" s="1698"/>
      <c r="H1" s="1698"/>
      <c r="I1" s="1698"/>
      <c r="J1" s="1698"/>
      <c r="K1" s="1698"/>
    </row>
    <row r="3" spans="1:11" x14ac:dyDescent="0.2">
      <c r="A3" s="1543"/>
      <c r="B3" s="1695" t="s">
        <v>126</v>
      </c>
      <c r="C3" s="1696"/>
      <c r="E3" s="1695" t="s">
        <v>53</v>
      </c>
      <c r="F3" s="1696"/>
      <c r="H3" s="1695" t="s">
        <v>127</v>
      </c>
      <c r="I3" s="1696"/>
    </row>
    <row r="4" spans="1:11" ht="38.25" x14ac:dyDescent="0.2">
      <c r="A4" s="1481" t="s">
        <v>4</v>
      </c>
      <c r="B4" s="1477" t="s">
        <v>0</v>
      </c>
      <c r="C4" s="1480" t="s">
        <v>98</v>
      </c>
      <c r="D4" s="1443"/>
      <c r="E4" s="1477" t="s">
        <v>0</v>
      </c>
      <c r="F4" s="1480" t="s">
        <v>98</v>
      </c>
      <c r="G4" s="1443"/>
      <c r="H4" s="1477" t="s">
        <v>0</v>
      </c>
      <c r="I4" s="1480" t="s">
        <v>98</v>
      </c>
    </row>
    <row r="5" spans="1:11" ht="18.75" customHeight="1" x14ac:dyDescent="0.2">
      <c r="A5" s="1481" t="s">
        <v>16</v>
      </c>
      <c r="B5" s="136">
        <f>'T10'!C5</f>
        <v>358</v>
      </c>
      <c r="C5" s="1544">
        <f>B5/'T10'!$K5*1000000</f>
        <v>6.9675425399611921</v>
      </c>
      <c r="E5" s="1545">
        <f>'2 2a 2b'!F5</f>
        <v>72</v>
      </c>
      <c r="F5" s="1544">
        <f>E5/Tref!B16*1000000</f>
        <v>13.926499032882012</v>
      </c>
      <c r="H5" s="1545">
        <f>'T10'!C16</f>
        <v>28</v>
      </c>
      <c r="I5" s="1544">
        <f>H5/'T10'!$K16*1000000</f>
        <v>9.3137744070784692</v>
      </c>
    </row>
    <row r="6" spans="1:11" ht="13.5" customHeight="1" x14ac:dyDescent="0.2">
      <c r="A6" s="435" t="s">
        <v>18</v>
      </c>
      <c r="B6" s="136">
        <f>'T10'!C6</f>
        <v>323</v>
      </c>
      <c r="C6" s="1544">
        <f>B6/'T10'!$K6*1000000</f>
        <v>6.2336078308009704</v>
      </c>
      <c r="E6" s="1545">
        <f>'2 2a 2b'!F6</f>
        <v>64</v>
      </c>
      <c r="F6" s="1544">
        <f>E6/Tref!B17*1000000</f>
        <v>12.300832228180438</v>
      </c>
      <c r="H6" s="1545">
        <f>'T10'!C17</f>
        <v>17</v>
      </c>
      <c r="I6" s="1544">
        <f>H6/'T10'!$K17*1000000</f>
        <v>5.6181631911166923</v>
      </c>
    </row>
    <row r="7" spans="1:11" ht="13.5" customHeight="1" x14ac:dyDescent="0.2">
      <c r="A7" s="218" t="s">
        <v>19</v>
      </c>
      <c r="B7" s="136">
        <f>'T10'!C7</f>
        <v>340</v>
      </c>
      <c r="C7" s="1544">
        <f>B7/'T10'!$K7*1000000</f>
        <v>6.5138591933543308</v>
      </c>
      <c r="E7" s="1545">
        <f>'2 2a 2b'!F7</f>
        <v>62</v>
      </c>
      <c r="F7" s="1544">
        <f>E7/Tref!B18*1000000</f>
        <v>11.850379403276056</v>
      </c>
      <c r="H7" s="1545">
        <f>'T10'!C18</f>
        <v>23</v>
      </c>
      <c r="I7" s="1544">
        <f>H7/'T10'!$K18*1000000</f>
        <v>7.5685280858205273</v>
      </c>
    </row>
    <row r="8" spans="1:11" ht="13.5" customHeight="1" x14ac:dyDescent="0.2">
      <c r="A8" s="218" t="s">
        <v>20</v>
      </c>
      <c r="B8" s="136">
        <f>'T10'!C8</f>
        <v>335</v>
      </c>
      <c r="C8" s="1544">
        <f>B8/'T10'!$K8*1000000</f>
        <v>6.3636795364961767</v>
      </c>
      <c r="E8" s="1545">
        <f>'2 2a 2b'!F8</f>
        <v>52</v>
      </c>
      <c r="F8" s="1544">
        <f>E8/Tref!B19*1000000</f>
        <v>9.8817984873246925</v>
      </c>
      <c r="H8" s="1545">
        <f>'T10'!C19</f>
        <v>21</v>
      </c>
      <c r="I8" s="1544">
        <f>H8/'T10'!$K19*1000000</f>
        <v>6.8852459016393439</v>
      </c>
    </row>
    <row r="9" spans="1:11" ht="13.5" customHeight="1" x14ac:dyDescent="0.2">
      <c r="A9" s="218" t="s">
        <v>13</v>
      </c>
      <c r="B9" s="136">
        <f>'T10'!C9</f>
        <v>315</v>
      </c>
      <c r="C9" s="1544">
        <f>B9/'T10'!$K9*1000000</f>
        <v>5.9313991323210411</v>
      </c>
      <c r="D9" t="s">
        <v>145</v>
      </c>
      <c r="E9" s="1545">
        <f>'2 2a 2b'!F9</f>
        <v>59</v>
      </c>
      <c r="F9" s="1544">
        <f>E9/Tref!B20*1000000</f>
        <v>11.132285514821033</v>
      </c>
      <c r="H9" s="1545">
        <f>'T10'!C20</f>
        <v>23</v>
      </c>
      <c r="I9" s="1544">
        <f>H9/'T10'!$K20*1000000</f>
        <v>7.5070174293361189</v>
      </c>
    </row>
    <row r="10" spans="1:11" ht="13.5" customHeight="1" x14ac:dyDescent="0.2">
      <c r="A10" s="218" t="s">
        <v>15</v>
      </c>
      <c r="B10" s="136">
        <f>'T10'!C10</f>
        <v>286</v>
      </c>
      <c r="C10" s="1544">
        <f>B10/'T10'!$K10*1000000</f>
        <v>5.3464239714209336</v>
      </c>
      <c r="D10" t="s">
        <v>145</v>
      </c>
      <c r="E10" s="1545">
        <f>'2 2a 2b'!F10</f>
        <v>46</v>
      </c>
      <c r="F10" s="1544">
        <f>E10/Tref!B21*1000000</f>
        <v>8.6570310147545921</v>
      </c>
      <c r="H10" s="1545">
        <f>'T10'!C21</f>
        <v>17</v>
      </c>
      <c r="I10" s="1544">
        <f>H10/'T10'!$K21*1000000</f>
        <v>5.5300738427507241</v>
      </c>
    </row>
    <row r="11" spans="1:11" ht="13.5" customHeight="1" x14ac:dyDescent="0.2">
      <c r="A11" s="218" t="s">
        <v>17</v>
      </c>
      <c r="B11" s="136">
        <f>'T10'!C11</f>
        <v>276</v>
      </c>
      <c r="C11" s="1544">
        <f>B11/'T10'!$K11*1000000</f>
        <v>5.123844814334884</v>
      </c>
      <c r="D11" t="s">
        <v>145</v>
      </c>
      <c r="E11" s="1545">
        <f>'2 2a 2b'!F11</f>
        <v>31</v>
      </c>
      <c r="F11" s="1544">
        <f>E11/Tref!B22*1000000</f>
        <v>5.8186459447791732</v>
      </c>
      <c r="H11" s="1545">
        <f>'T10'!C22</f>
        <v>17</v>
      </c>
      <c r="I11" s="1544">
        <f>H11/'T10'!$K22*1000000</f>
        <v>5.5151829743057359</v>
      </c>
    </row>
    <row r="12" spans="1:11" ht="13.5" customHeight="1" x14ac:dyDescent="0.2">
      <c r="A12" s="218" t="s">
        <v>147</v>
      </c>
      <c r="B12" s="136">
        <f>'T10'!C12</f>
        <v>263</v>
      </c>
      <c r="C12" s="1544">
        <f>B12/'T10'!$K12*1000000</f>
        <v>4.8419820091831962</v>
      </c>
      <c r="D12" t="s">
        <v>145</v>
      </c>
      <c r="E12" s="1545">
        <f>'2 2a 2b'!F12</f>
        <v>40</v>
      </c>
      <c r="F12" s="1544">
        <f>E12/Tref!B23*1000000</f>
        <v>7.4799910240107712</v>
      </c>
      <c r="G12" t="s">
        <v>145</v>
      </c>
      <c r="H12" s="1545">
        <f>'T10'!C23</f>
        <v>20</v>
      </c>
      <c r="I12" s="1544">
        <f>H12/'T10'!$K23*1000000</f>
        <v>6.4683053040103493</v>
      </c>
    </row>
    <row r="13" spans="1:11" ht="13.5" customHeight="1" x14ac:dyDescent="0.2">
      <c r="A13" s="218" t="s">
        <v>160</v>
      </c>
      <c r="B13" s="136">
        <f>'T10'!C13</f>
        <v>303</v>
      </c>
      <c r="C13" s="1544">
        <f>B13/'T10'!$K13*1000000</f>
        <v>5.5305797252232765</v>
      </c>
      <c r="E13" s="1545">
        <f>'2 2a 2b'!F13</f>
        <v>45</v>
      </c>
      <c r="F13" s="1544">
        <f>E13/Tref!B24*1000000</f>
        <v>8.3752093802345069</v>
      </c>
      <c r="H13" s="1545">
        <f>'T10'!C24</f>
        <v>19</v>
      </c>
      <c r="I13" s="1544">
        <f>H13/'T10'!$K24*1000000</f>
        <v>6.1308121712755312</v>
      </c>
    </row>
    <row r="14" spans="1:11" ht="13.5" customHeight="1" x14ac:dyDescent="0.2">
      <c r="A14" s="218" t="s">
        <v>379</v>
      </c>
      <c r="B14" s="136">
        <f>'T10'!C14</f>
        <v>263</v>
      </c>
      <c r="C14" s="1544">
        <f>B14/'T10'!$K14*1000000</f>
        <v>4.7586220622746209</v>
      </c>
      <c r="D14" t="s">
        <v>145</v>
      </c>
      <c r="E14" s="1545">
        <f>'2 2a 2b'!F14</f>
        <v>44</v>
      </c>
      <c r="F14" s="1544">
        <f>E14/Tref!B25*1000000</f>
        <v>8.1410624086443288</v>
      </c>
      <c r="H14" s="1545">
        <f>'T10'!C25</f>
        <v>19</v>
      </c>
      <c r="I14" s="1544">
        <f>H14/'T10'!$K25*1000000</f>
        <v>6.1030450982911466</v>
      </c>
    </row>
    <row r="15" spans="1:11" ht="13.5" customHeight="1" x14ac:dyDescent="0.2">
      <c r="A15" s="1482" t="s">
        <v>603</v>
      </c>
      <c r="B15" s="1546">
        <f>'T10'!C15</f>
        <v>334</v>
      </c>
      <c r="C15" s="1547">
        <f>B15/'T10'!$K15*1000000</f>
        <v>6.0050989402978097</v>
      </c>
      <c r="D15" t="s">
        <v>143</v>
      </c>
      <c r="E15" s="1548">
        <f>'2 2a 2b'!F15</f>
        <v>44</v>
      </c>
      <c r="F15" s="1547">
        <f>E15/Tref!B26*1000000</f>
        <v>8.1108980976257197</v>
      </c>
      <c r="G15" t="s">
        <v>143</v>
      </c>
      <c r="H15" s="1548">
        <f>'T10'!C26</f>
        <v>15</v>
      </c>
      <c r="I15" s="1547">
        <f>H15/'T10'!$K26*1000000</f>
        <v>4.7996928196595414</v>
      </c>
      <c r="J15" t="s">
        <v>143</v>
      </c>
    </row>
    <row r="16" spans="1:11" ht="13.5" customHeight="1" x14ac:dyDescent="0.2">
      <c r="A16" s="1549"/>
      <c r="C16" s="188"/>
      <c r="F16" s="188"/>
      <c r="I16" s="188"/>
    </row>
    <row r="17" spans="1:18" ht="13.5" customHeight="1" x14ac:dyDescent="0.2">
      <c r="A17" s="1549" t="s">
        <v>162</v>
      </c>
    </row>
    <row r="18" spans="1:18" ht="13.5" customHeight="1" x14ac:dyDescent="0.2">
      <c r="A18" s="136" t="s">
        <v>967</v>
      </c>
      <c r="B18" s="136"/>
      <c r="C18" s="136"/>
      <c r="D18" s="136"/>
      <c r="E18" s="136"/>
      <c r="F18" s="136"/>
      <c r="G18" s="136"/>
      <c r="H18" s="136"/>
      <c r="I18" s="136"/>
      <c r="J18" s="136"/>
    </row>
    <row r="19" spans="1:18" ht="13.5" customHeight="1" x14ac:dyDescent="0.2">
      <c r="A19" s="136" t="s">
        <v>968</v>
      </c>
      <c r="B19" s="136"/>
      <c r="C19" s="136"/>
      <c r="D19" s="136"/>
      <c r="E19" s="136"/>
      <c r="F19" s="136"/>
      <c r="G19" s="136"/>
      <c r="H19" s="136"/>
      <c r="I19" s="136"/>
      <c r="J19" s="136"/>
    </row>
    <row r="20" spans="1:18" ht="38.25" customHeight="1" x14ac:dyDescent="0.2">
      <c r="A20" s="1654" t="s">
        <v>1011</v>
      </c>
      <c r="B20" s="1654"/>
      <c r="C20" s="1654"/>
      <c r="D20" s="1654"/>
      <c r="E20" s="1654"/>
      <c r="F20" s="1654"/>
      <c r="G20" s="1654"/>
      <c r="H20" s="1654"/>
      <c r="I20" s="1654"/>
      <c r="J20" s="136"/>
      <c r="K20" s="1537"/>
      <c r="L20" s="1537"/>
      <c r="M20" s="1537"/>
      <c r="N20" s="1537"/>
      <c r="O20" s="1537"/>
      <c r="P20" s="1537"/>
      <c r="Q20" s="1537"/>
      <c r="R20" s="1537"/>
    </row>
    <row r="21" spans="1:18" ht="116.25" customHeight="1" x14ac:dyDescent="0.2">
      <c r="A21" s="1697" t="s">
        <v>1010</v>
      </c>
      <c r="B21" s="1697"/>
      <c r="C21" s="1697"/>
      <c r="D21" s="1697"/>
      <c r="E21" s="1697"/>
      <c r="F21" s="1697"/>
      <c r="G21" s="1697"/>
      <c r="H21" s="1697"/>
      <c r="I21" s="1697"/>
    </row>
    <row r="22" spans="1:18" ht="13.5" customHeight="1" x14ac:dyDescent="0.2">
      <c r="A22" s="1550"/>
      <c r="B22" s="1515"/>
      <c r="C22" s="1515"/>
      <c r="D22" s="1515"/>
      <c r="E22" s="1515"/>
      <c r="F22" s="1515"/>
      <c r="G22" s="1515"/>
      <c r="H22" s="1515"/>
      <c r="I22" s="1551"/>
      <c r="J22" s="1515"/>
    </row>
    <row r="23" spans="1:18" ht="38.25" customHeight="1" x14ac:dyDescent="0.2">
      <c r="A23" s="1698" t="s">
        <v>623</v>
      </c>
      <c r="B23" s="1698"/>
      <c r="C23" s="1698"/>
      <c r="D23" s="1698"/>
      <c r="E23" s="1698"/>
      <c r="F23" s="1698"/>
      <c r="G23" s="1698"/>
      <c r="H23" s="1698"/>
      <c r="I23" s="1698"/>
      <c r="J23" s="1698"/>
      <c r="K23" s="1698"/>
    </row>
    <row r="24" spans="1:18" x14ac:dyDescent="0.2">
      <c r="A24" s="1552"/>
    </row>
    <row r="25" spans="1:18" x14ac:dyDescent="0.2">
      <c r="B25" s="1695" t="s">
        <v>126</v>
      </c>
      <c r="C25" s="1696"/>
      <c r="E25" s="1695" t="s">
        <v>53</v>
      </c>
      <c r="F25" s="1696"/>
      <c r="H25" s="1695" t="s">
        <v>127</v>
      </c>
      <c r="I25" s="1696"/>
    </row>
    <row r="26" spans="1:18" ht="38.25" x14ac:dyDescent="0.2">
      <c r="A26" s="1481" t="s">
        <v>4</v>
      </c>
      <c r="B26" s="1477" t="s">
        <v>0</v>
      </c>
      <c r="C26" s="1480" t="s">
        <v>98</v>
      </c>
      <c r="D26" s="1443"/>
      <c r="E26" s="1477" t="s">
        <v>0</v>
      </c>
      <c r="F26" s="1480" t="s">
        <v>98</v>
      </c>
      <c r="G26" s="1443"/>
      <c r="H26" s="1477" t="s">
        <v>0</v>
      </c>
      <c r="I26" s="1480" t="s">
        <v>98</v>
      </c>
    </row>
    <row r="27" spans="1:18" ht="18.75" customHeight="1" x14ac:dyDescent="0.2">
      <c r="A27" s="1506" t="s">
        <v>16</v>
      </c>
      <c r="B27" s="1553">
        <f>'T10'!E5</f>
        <v>10319</v>
      </c>
      <c r="C27" s="1554">
        <f>B27/'T10'!$K5*1000000</f>
        <v>200.83260187111603</v>
      </c>
      <c r="E27" s="1555">
        <f>'2 2a 2b'!L5</f>
        <v>1719</v>
      </c>
      <c r="F27" s="1554">
        <f>E27/Tref!B16*1000000</f>
        <v>332.49516441005801</v>
      </c>
      <c r="H27" s="1556">
        <f>'T10'!$E$16</f>
        <v>632</v>
      </c>
      <c r="I27" s="1554">
        <f>H27/'T10'!$K16*1000000</f>
        <v>210.22519375977114</v>
      </c>
    </row>
    <row r="28" spans="1:18" ht="13.5" customHeight="1" thickBot="1" x14ac:dyDescent="0.25">
      <c r="A28" s="375" t="s">
        <v>18</v>
      </c>
      <c r="B28" s="1557">
        <f>'T10'!E6</f>
        <v>9227</v>
      </c>
      <c r="C28" s="1558">
        <f>B28/'T10'!$K6*1000000</f>
        <v>178.07275373003267</v>
      </c>
      <c r="E28" s="1557">
        <f>'2 2a 2b'!L6</f>
        <v>1648</v>
      </c>
      <c r="F28" s="1558">
        <f>E28/Tref!B17*1000000</f>
        <v>316.7464298756463</v>
      </c>
      <c r="H28" s="1557">
        <f>'T10'!$E$17</f>
        <v>657</v>
      </c>
      <c r="I28" s="1558">
        <f>H28/'T10'!$K17*1000000</f>
        <v>217.12548332727454</v>
      </c>
    </row>
    <row r="29" spans="1:18" ht="13.5" customHeight="1" x14ac:dyDescent="0.2">
      <c r="A29" s="379" t="s">
        <v>19</v>
      </c>
      <c r="B29" s="1559">
        <f>'T10'!E7</f>
        <v>8864</v>
      </c>
      <c r="C29" s="1544">
        <f>B29/'T10'!$K7*1000000</f>
        <v>169.82014085262583</v>
      </c>
      <c r="D29" t="s">
        <v>145</v>
      </c>
      <c r="E29" s="1037">
        <f>'2 2a 2b'!L7</f>
        <v>1214</v>
      </c>
      <c r="F29" s="1544">
        <f>E29/Tref!B18*1000000</f>
        <v>232.03807412221181</v>
      </c>
      <c r="H29" s="1560">
        <f>'T10'!$E$18</f>
        <v>575</v>
      </c>
      <c r="I29" s="1544">
        <f>H29/'T10'!$K18*1000000</f>
        <v>189.21320214551318</v>
      </c>
    </row>
    <row r="30" spans="1:18" ht="13.5" customHeight="1" x14ac:dyDescent="0.2">
      <c r="A30" s="379" t="s">
        <v>20</v>
      </c>
      <c r="B30" s="1545">
        <f>'T10'!E8</f>
        <v>9397</v>
      </c>
      <c r="C30" s="1544">
        <f>B30/'T10'!$K8*1000000</f>
        <v>178.50596001329723</v>
      </c>
      <c r="D30" t="s">
        <v>145</v>
      </c>
      <c r="E30" s="1037">
        <f>'2 2a 2b'!L8</f>
        <v>1328</v>
      </c>
      <c r="F30" s="1544">
        <f>E30/Tref!B19*1000000</f>
        <v>252.36593059936911</v>
      </c>
      <c r="H30" s="400">
        <f>'T10'!E19</f>
        <v>607</v>
      </c>
      <c r="I30" s="1544">
        <f>H30/'T10'!$K19*1000000</f>
        <v>199.01639344262296</v>
      </c>
    </row>
    <row r="31" spans="1:18" ht="13.5" customHeight="1" x14ac:dyDescent="0.2">
      <c r="A31" s="379" t="s">
        <v>13</v>
      </c>
      <c r="B31" s="1545">
        <f>'T10'!E9</f>
        <v>9375</v>
      </c>
      <c r="C31" s="1544">
        <f>B31/'T10'!$K9*1000000</f>
        <v>176.52973608098335</v>
      </c>
      <c r="D31" t="s">
        <v>145</v>
      </c>
      <c r="E31" s="1037">
        <f>'2 2a 2b'!L9</f>
        <v>1416</v>
      </c>
      <c r="F31" s="1544">
        <f>E31/Tref!B20*1000000</f>
        <v>267.17485235570479</v>
      </c>
      <c r="H31" s="400">
        <f>'T10'!E20</f>
        <v>592</v>
      </c>
      <c r="I31" s="1544">
        <f>H31/'T10'!$K20*1000000</f>
        <v>193.22410078986877</v>
      </c>
    </row>
    <row r="32" spans="1:18" ht="13.5" customHeight="1" x14ac:dyDescent="0.2">
      <c r="A32" s="379" t="s">
        <v>15</v>
      </c>
      <c r="B32" s="1545">
        <f>'T10'!E10</f>
        <v>8429</v>
      </c>
      <c r="C32" s="1544">
        <f>B32/'T10'!$K10*1000000</f>
        <v>157.56995683603864</v>
      </c>
      <c r="D32" t="s">
        <v>145</v>
      </c>
      <c r="E32" s="1037">
        <f>'2 2a 2b'!L10</f>
        <v>1319</v>
      </c>
      <c r="F32" s="1544">
        <f>E32/Tref!B21*1000000</f>
        <v>248.23095453176754</v>
      </c>
      <c r="H32" s="400">
        <f>'T10'!E21</f>
        <v>541</v>
      </c>
      <c r="I32" s="1544">
        <f>H32/'T10'!$K21*1000000</f>
        <v>175.98646758400832</v>
      </c>
    </row>
    <row r="33" spans="1:10" ht="13.5" customHeight="1" x14ac:dyDescent="0.2">
      <c r="A33" s="379" t="s">
        <v>17</v>
      </c>
      <c r="B33" s="1545">
        <f>'T10'!E11</f>
        <v>7816</v>
      </c>
      <c r="C33" s="1544">
        <f>B33/'T10'!$K11*1000000</f>
        <v>145.1013444523241</v>
      </c>
      <c r="D33" t="s">
        <v>145</v>
      </c>
      <c r="E33" s="1037">
        <f>'2 2a 2b'!L11</f>
        <v>1311</v>
      </c>
      <c r="F33" s="1544">
        <f>E33/Tref!B22*1000000</f>
        <v>246.07241398727405</v>
      </c>
      <c r="H33" s="400">
        <f>'T10'!E22</f>
        <v>626</v>
      </c>
      <c r="I33" s="1544">
        <f>H33/'T10'!$K22*1000000</f>
        <v>203.08850246561121</v>
      </c>
    </row>
    <row r="34" spans="1:10" ht="13.5" customHeight="1" x14ac:dyDescent="0.2">
      <c r="A34" s="379" t="s">
        <v>147</v>
      </c>
      <c r="B34" s="1545">
        <f>'T10'!E12</f>
        <v>7588</v>
      </c>
      <c r="C34" s="1544">
        <f>B34/'T10'!$K12*1000000</f>
        <v>139.69946572502698</v>
      </c>
      <c r="E34" s="1037">
        <f>'2 2a 2b'!L12</f>
        <v>1101</v>
      </c>
      <c r="F34" s="1544">
        <f>E34/Tref!B23*1000000</f>
        <v>205.88675293589648</v>
      </c>
      <c r="H34" s="400">
        <f>'T10'!E23</f>
        <v>543</v>
      </c>
      <c r="I34" s="1544">
        <f>H34/'T10'!$K23*1000000</f>
        <v>175.61448900388098</v>
      </c>
    </row>
    <row r="35" spans="1:10" ht="13.5" customHeight="1" x14ac:dyDescent="0.2">
      <c r="A35" s="375" t="s">
        <v>160</v>
      </c>
      <c r="B35" s="1545">
        <f>'T10'!E13</f>
        <v>7664</v>
      </c>
      <c r="C35" s="1544">
        <f>B35/'T10'!$K13*1000000</f>
        <v>139.88898684525148</v>
      </c>
      <c r="E35" s="1037">
        <f>'2 2a 2b'!L13</f>
        <v>1276</v>
      </c>
      <c r="F35" s="1544">
        <f>E35/Tref!B24*1000000</f>
        <v>237.48371487064955</v>
      </c>
      <c r="H35" s="400">
        <f>'T10'!E24</f>
        <v>592</v>
      </c>
      <c r="I35" s="1544">
        <f>H35/'T10'!$K24*1000000</f>
        <v>191.0232002839534</v>
      </c>
      <c r="J35" t="s">
        <v>145</v>
      </c>
    </row>
    <row r="36" spans="1:10" ht="13.5" customHeight="1" x14ac:dyDescent="0.2">
      <c r="A36" s="375" t="s">
        <v>379</v>
      </c>
      <c r="B36" s="1545">
        <f>'T10'!E14</f>
        <v>7092</v>
      </c>
      <c r="C36" s="1544">
        <f>B36/'T10'!$K14*1000000</f>
        <v>128.31995310133695</v>
      </c>
      <c r="D36" t="s">
        <v>145</v>
      </c>
      <c r="E36" s="1037">
        <f>'2 2a 2b'!L14</f>
        <v>1266</v>
      </c>
      <c r="F36" s="1544">
        <f>E36/Tref!B25*1000000</f>
        <v>234.24056839417543</v>
      </c>
      <c r="G36" t="s">
        <v>145</v>
      </c>
      <c r="H36" s="400">
        <f>'T10'!E25</f>
        <v>621</v>
      </c>
      <c r="I36" s="1544">
        <f>H36/'T10'!$K25*1000000</f>
        <v>199.4732108441475</v>
      </c>
    </row>
    <row r="37" spans="1:10" ht="13.5" customHeight="1" x14ac:dyDescent="0.2">
      <c r="A37" s="1482" t="s">
        <v>603</v>
      </c>
      <c r="B37" s="1548">
        <f>'T10'!E15</f>
        <v>7290</v>
      </c>
      <c r="C37" s="1547">
        <f>B37/'T10'!$K15*1000000</f>
        <v>131.06937507416478</v>
      </c>
      <c r="D37" s="136" t="s">
        <v>143</v>
      </c>
      <c r="E37" s="1509">
        <f>'2 2a 2b'!L15</f>
        <v>1113</v>
      </c>
      <c r="F37" s="1547">
        <f>E37/Tref!B26*1000000</f>
        <v>205.16885415130511</v>
      </c>
      <c r="G37" s="136" t="s">
        <v>143</v>
      </c>
      <c r="H37" s="1561">
        <f>'T10'!E26</f>
        <v>526</v>
      </c>
      <c r="I37" s="1547">
        <f>H37/'T10'!$K26*1000000</f>
        <v>168.3092282093946</v>
      </c>
      <c r="J37" s="136" t="s">
        <v>143</v>
      </c>
    </row>
    <row r="38" spans="1:10" x14ac:dyDescent="0.2">
      <c r="A38" s="1562"/>
      <c r="B38" s="1562"/>
      <c r="C38" s="1562"/>
      <c r="D38" s="1562"/>
      <c r="E38" s="1602"/>
      <c r="F38" s="1562"/>
      <c r="G38" s="1562"/>
      <c r="H38" s="1562"/>
      <c r="I38" s="1562"/>
      <c r="J38" s="1562"/>
    </row>
    <row r="39" spans="1:10" x14ac:dyDescent="0.2">
      <c r="A39" s="1549" t="s">
        <v>162</v>
      </c>
    </row>
    <row r="40" spans="1:10" x14ac:dyDescent="0.2">
      <c r="A40" s="136" t="s">
        <v>967</v>
      </c>
      <c r="B40" s="1483"/>
      <c r="C40" s="1483"/>
      <c r="D40" s="1483"/>
      <c r="E40" s="1483"/>
      <c r="F40" s="1483"/>
      <c r="G40" s="1483"/>
      <c r="H40" s="1483"/>
      <c r="I40" s="1483"/>
      <c r="J40" s="1483"/>
    </row>
    <row r="41" spans="1:10" x14ac:dyDescent="0.2">
      <c r="A41" s="136" t="s">
        <v>971</v>
      </c>
      <c r="B41" s="1483"/>
      <c r="C41" s="1483"/>
      <c r="D41" s="1483"/>
      <c r="E41" s="1483"/>
      <c r="F41" s="1483"/>
      <c r="G41" s="1483"/>
      <c r="H41" s="1483"/>
      <c r="I41" s="1483"/>
      <c r="J41" s="1483"/>
    </row>
    <row r="42" spans="1:10" ht="13.5" customHeight="1" x14ac:dyDescent="0.2">
      <c r="A42" t="s">
        <v>1012</v>
      </c>
    </row>
    <row r="43" spans="1:10" ht="13.5" customHeight="1" x14ac:dyDescent="0.2"/>
    <row r="44" spans="1:10" ht="13.5" customHeight="1" x14ac:dyDescent="0.2">
      <c r="A44" s="1543" t="s">
        <v>171</v>
      </c>
    </row>
  </sheetData>
  <sheetProtection algorithmName="SHA-512" hashValue="UH/kE5Kfvm1eNNhM/EWschuE8kRGh9UAM5OIHETjKBL4FvmLC1sZaUeZIaQ0ahOgoNV64emdRVPL1T46rWa6qw==" saltValue="5cCf3ke5J7Hu/IBy4+rYSg==" spinCount="100000" sheet="1" objects="1" scenarios="1"/>
  <mergeCells count="10">
    <mergeCell ref="B25:C25"/>
    <mergeCell ref="E25:F25"/>
    <mergeCell ref="H25:I25"/>
    <mergeCell ref="A21:I21"/>
    <mergeCell ref="A1:K1"/>
    <mergeCell ref="A23:K23"/>
    <mergeCell ref="B3:C3"/>
    <mergeCell ref="E3:F3"/>
    <mergeCell ref="H3:I3"/>
    <mergeCell ref="A20:I20"/>
  </mergeCells>
  <hyperlinks>
    <hyperlink ref="A44" location="Contents!A1" display="Back to contents" xr:uid="{00000000-0004-0000-3000-000000000000}"/>
  </hyperlinks>
  <pageMargins left="0.70866141732283472" right="0.70866141732283472" top="0.74803149606299213" bottom="0.74803149606299213" header="0.31496062992125984" footer="0.31496062992125984"/>
  <pageSetup paperSize="9" scale="71" orientation="portrait" r:id="rId1"/>
  <headerFooter>
    <oddFooter>&amp;L&amp;P&amp;C&amp;A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60000"/>
  </sheetPr>
  <dimension ref="A1:M32"/>
  <sheetViews>
    <sheetView showGridLines="0" zoomScaleNormal="100" workbookViewId="0"/>
  </sheetViews>
  <sheetFormatPr defaultRowHeight="12.75" x14ac:dyDescent="0.2"/>
  <cols>
    <col min="2" max="2" width="16.140625" bestFit="1" customWidth="1"/>
  </cols>
  <sheetData>
    <row r="1" spans="1:13" ht="38.25" customHeight="1" x14ac:dyDescent="0.35">
      <c r="A1" s="1259" t="s">
        <v>399</v>
      </c>
      <c r="L1" s="1"/>
      <c r="M1" s="1"/>
    </row>
    <row r="2" spans="1:13" x14ac:dyDescent="0.2">
      <c r="L2" s="1"/>
      <c r="M2" s="1"/>
    </row>
    <row r="3" spans="1:13" x14ac:dyDescent="0.2">
      <c r="A3" s="386"/>
      <c r="L3" s="1"/>
      <c r="M3" s="1"/>
    </row>
    <row r="4" spans="1:13" x14ac:dyDescent="0.2">
      <c r="B4" t="s">
        <v>4</v>
      </c>
      <c r="C4" t="s">
        <v>351</v>
      </c>
      <c r="L4" s="1"/>
      <c r="M4" s="1"/>
    </row>
    <row r="5" spans="1:13" x14ac:dyDescent="0.2">
      <c r="B5" s="768" t="str">
        <f>LEFT('Long-Term Trend'!A9, 7)</f>
        <v>1994-95</v>
      </c>
      <c r="C5" s="768">
        <f>'Long-Term Trend'!K9</f>
        <v>84</v>
      </c>
      <c r="L5" s="1"/>
      <c r="M5" s="1"/>
    </row>
    <row r="6" spans="1:13" x14ac:dyDescent="0.2">
      <c r="B6" s="768" t="str">
        <f>LEFT('Long-Term Trend'!A10, 7)</f>
        <v>1995-96</v>
      </c>
      <c r="C6" s="768">
        <f>'Long-Term Trend'!K10</f>
        <v>90</v>
      </c>
    </row>
    <row r="7" spans="1:13" x14ac:dyDescent="0.2">
      <c r="B7" s="768" t="str">
        <f>LEFT('Long-Term Trend'!A11, 7)</f>
        <v>1996-97</v>
      </c>
      <c r="C7" s="768">
        <f>'Long-Term Trend'!K11</f>
        <v>101</v>
      </c>
    </row>
    <row r="8" spans="1:13" x14ac:dyDescent="0.2">
      <c r="B8" s="768" t="str">
        <f>LEFT('Long-Term Trend'!A12, 7)</f>
        <v>1997-98</v>
      </c>
      <c r="C8" s="768">
        <f>'Long-Term Trend'!K12</f>
        <v>89</v>
      </c>
    </row>
    <row r="9" spans="1:13" x14ac:dyDescent="0.2">
      <c r="B9" s="768" t="str">
        <f>LEFT('Long-Term Trend'!A13, 7)</f>
        <v>1998-99</v>
      </c>
      <c r="C9" s="768">
        <f>'Long-Term Trend'!K13</f>
        <v>98</v>
      </c>
    </row>
    <row r="10" spans="1:13" x14ac:dyDescent="0.2">
      <c r="B10" s="768" t="str">
        <f>LEFT('Long-Term Trend'!A14, 7)</f>
        <v>1999-00</v>
      </c>
      <c r="C10" s="768">
        <f>'Long-Term Trend'!K14</f>
        <v>111</v>
      </c>
    </row>
    <row r="11" spans="1:13" x14ac:dyDescent="0.2">
      <c r="B11" s="768" t="str">
        <f>LEFT('Long-Term Trend'!A15, 7)</f>
        <v>2000-01</v>
      </c>
      <c r="C11" s="768">
        <f>'Long-Term Trend'!K15</f>
        <v>74</v>
      </c>
    </row>
    <row r="12" spans="1:13" x14ac:dyDescent="0.2">
      <c r="B12" s="768" t="str">
        <f>LEFT('Long-Term Trend'!A16, 7)</f>
        <v>2001-02</v>
      </c>
      <c r="C12" s="768">
        <f>'Long-Term Trend'!K16</f>
        <v>87</v>
      </c>
    </row>
    <row r="13" spans="1:13" x14ac:dyDescent="0.2">
      <c r="B13" s="768" t="str">
        <f>LEFT('Long-Term Trend'!A17, 7)</f>
        <v>2002-03</v>
      </c>
      <c r="C13" s="768">
        <f>'Long-Term Trend'!K17</f>
        <v>80</v>
      </c>
    </row>
    <row r="14" spans="1:13" x14ac:dyDescent="0.2">
      <c r="B14" s="768" t="str">
        <f>LEFT('Long-Term Trend'!A18, 7)</f>
        <v>2003-04</v>
      </c>
      <c r="C14" s="768">
        <f>'Long-Term Trend'!K18</f>
        <v>89</v>
      </c>
    </row>
    <row r="15" spans="1:13" x14ac:dyDescent="0.2">
      <c r="B15" s="768" t="str">
        <f>LEFT('Long-Term Trend'!A19, 7)</f>
        <v>2004-05</v>
      </c>
      <c r="C15" s="768">
        <f>'Long-Term Trend'!K19</f>
        <v>85</v>
      </c>
    </row>
    <row r="16" spans="1:13" x14ac:dyDescent="0.2">
      <c r="B16" s="768" t="str">
        <f>LEFT('Long-Term Trend'!A20, 7)</f>
        <v>2005-06</v>
      </c>
      <c r="C16" s="768">
        <f>'Long-Term Trend'!K20</f>
        <v>60</v>
      </c>
    </row>
    <row r="17" spans="1:12" x14ac:dyDescent="0.2">
      <c r="B17" s="768" t="str">
        <f>LEFT('Long-Term Trend'!A21, 7)</f>
        <v>2006-07</v>
      </c>
      <c r="C17" s="768">
        <f>'Long-Term Trend'!K21</f>
        <v>46</v>
      </c>
    </row>
    <row r="18" spans="1:12" x14ac:dyDescent="0.2">
      <c r="B18" s="768" t="str">
        <f>LEFT('Long-Term Trend'!A22, 7)</f>
        <v>2007-08</v>
      </c>
      <c r="C18" s="768">
        <f>'Long-Term Trend'!K22</f>
        <v>72</v>
      </c>
    </row>
    <row r="19" spans="1:12" x14ac:dyDescent="0.2">
      <c r="B19" s="768" t="str">
        <f>LEFT('Long-Term Trend'!A23, 7)</f>
        <v>2008-09</v>
      </c>
      <c r="C19" s="768">
        <f>'Long-Term Trend'!K23</f>
        <v>64</v>
      </c>
    </row>
    <row r="20" spans="1:12" x14ac:dyDescent="0.2">
      <c r="B20" s="768" t="str">
        <f>LEFT('Long-Term Trend'!A24, 7)</f>
        <v>2009-10</v>
      </c>
      <c r="C20" s="768">
        <f>'Long-Term Trend'!K24</f>
        <v>62</v>
      </c>
    </row>
    <row r="21" spans="1:12" x14ac:dyDescent="0.2">
      <c r="B21" s="768" t="str">
        <f>LEFT('Long-Term Trend'!A25, 7)</f>
        <v>2010-11</v>
      </c>
      <c r="C21" s="768">
        <f>'Long-Term Trend'!K25</f>
        <v>52</v>
      </c>
    </row>
    <row r="22" spans="1:12" x14ac:dyDescent="0.2">
      <c r="B22" s="768" t="str">
        <f>LEFT('Long-Term Trend'!A26, 7)</f>
        <v>2011-12</v>
      </c>
      <c r="C22" s="768">
        <f>'Long-Term Trend'!K26</f>
        <v>59</v>
      </c>
    </row>
    <row r="23" spans="1:12" x14ac:dyDescent="0.2">
      <c r="B23" s="768" t="str">
        <f>LEFT('Long-Term Trend'!A27, 7)</f>
        <v>2012-13</v>
      </c>
      <c r="C23" s="768">
        <f>'Long-Term Trend'!K27</f>
        <v>46</v>
      </c>
    </row>
    <row r="24" spans="1:12" x14ac:dyDescent="0.2">
      <c r="B24" s="768" t="str">
        <f>LEFT('Long-Term Trend'!A28, 7)</f>
        <v>2013-14</v>
      </c>
      <c r="C24" s="768">
        <f>'Long-Term Trend'!K28</f>
        <v>31</v>
      </c>
    </row>
    <row r="25" spans="1:12" x14ac:dyDescent="0.2">
      <c r="B25" s="768" t="str">
        <f>LEFT('Long-Term Trend'!A29, 7)</f>
        <v>2014-15</v>
      </c>
      <c r="C25" s="768">
        <f>'Long-Term Trend'!K29</f>
        <v>40</v>
      </c>
    </row>
    <row r="26" spans="1:12" x14ac:dyDescent="0.2">
      <c r="B26" s="768" t="str">
        <f>LEFT('Long-Term Trend'!A30, 7)</f>
        <v>2015-16</v>
      </c>
      <c r="C26" s="768">
        <f>'Long-Term Trend'!K30</f>
        <v>45</v>
      </c>
    </row>
    <row r="27" spans="1:12" x14ac:dyDescent="0.2">
      <c r="B27" s="768" t="str">
        <f>LEFT('Long-Term Trend'!A31, 7)</f>
        <v>2016-17</v>
      </c>
      <c r="C27" s="768">
        <f>'Long-Term Trend'!K31</f>
        <v>44</v>
      </c>
    </row>
    <row r="28" spans="1:12" x14ac:dyDescent="0.2">
      <c r="B28" s="768" t="str">
        <f>LEFT('Long-Term Trend'!A32, 7)</f>
        <v>2017-18</v>
      </c>
      <c r="C28" s="768">
        <f>'Long-Term Trend'!K32</f>
        <v>44</v>
      </c>
    </row>
    <row r="30" spans="1:12" ht="36.75" customHeight="1" x14ac:dyDescent="0.2">
      <c r="A30" s="1632" t="s">
        <v>401</v>
      </c>
      <c r="B30" s="1632"/>
      <c r="C30" s="1632"/>
      <c r="D30" s="1632"/>
      <c r="E30" s="1632"/>
      <c r="F30" s="1632"/>
      <c r="G30" s="1632"/>
      <c r="H30" s="1632"/>
      <c r="I30" s="1632"/>
      <c r="J30" s="1260"/>
      <c r="K30" s="1260"/>
      <c r="L30" s="1260"/>
    </row>
    <row r="31" spans="1:12" ht="29.25" customHeight="1" x14ac:dyDescent="0.2">
      <c r="A31" s="1632" t="s">
        <v>400</v>
      </c>
      <c r="B31" s="1632"/>
      <c r="C31" s="1632"/>
      <c r="D31" s="1632"/>
      <c r="E31" s="1632"/>
      <c r="F31" s="1632"/>
      <c r="G31" s="1632"/>
      <c r="H31" s="1632"/>
      <c r="I31" s="1632"/>
      <c r="J31" s="1260"/>
      <c r="K31" s="1260"/>
      <c r="L31" s="1260"/>
    </row>
    <row r="32" spans="1:12" x14ac:dyDescent="0.2">
      <c r="A32" s="1260"/>
      <c r="B32" s="1260"/>
      <c r="C32" s="1260"/>
      <c r="D32" s="1260"/>
      <c r="E32" s="1260"/>
      <c r="F32" s="1260"/>
      <c r="G32" s="1260"/>
      <c r="H32" s="1260"/>
      <c r="I32" s="1260"/>
    </row>
  </sheetData>
  <sheetProtection algorithmName="SHA-512" hashValue="VsBubYSifR2h8QzWkilNOIWP/bY6O4apO/QxITyfoFdkkNBzM+ttO8Mkf+/ZLOx/D0nbVY5UEe0p2fLHqoJWzA==" saltValue="WPIRMjUP5sNeGPO7SPwSjw==" spinCount="100000" sheet="1" objects="1" scenarios="1"/>
  <mergeCells count="2">
    <mergeCell ref="A30:I30"/>
    <mergeCell ref="A31:I31"/>
  </mergeCells>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1">
    <tabColor theme="4"/>
    <pageSetUpPr fitToPage="1"/>
  </sheetPr>
  <dimension ref="A1:P67"/>
  <sheetViews>
    <sheetView showGridLines="0" zoomScaleNormal="100" workbookViewId="0">
      <selection sqref="A1:J1"/>
    </sheetView>
  </sheetViews>
  <sheetFormatPr defaultRowHeight="12.75" x14ac:dyDescent="0.2"/>
  <cols>
    <col min="1" max="1" width="13.7109375" customWidth="1"/>
    <col min="2" max="2" width="12.140625" customWidth="1"/>
    <col min="3" max="3" width="12.85546875" customWidth="1"/>
    <col min="4" max="4" width="5.7109375" customWidth="1"/>
    <col min="5" max="5" width="12.140625" customWidth="1"/>
    <col min="6" max="6" width="12.85546875" customWidth="1"/>
    <col min="7" max="7" width="6.7109375" customWidth="1"/>
    <col min="8" max="8" width="12.140625" customWidth="1"/>
    <col min="9" max="9" width="12.85546875" customWidth="1"/>
  </cols>
  <sheetData>
    <row r="1" spans="1:16" ht="38.25" customHeight="1" x14ac:dyDescent="0.2">
      <c r="A1" s="1669" t="s">
        <v>624</v>
      </c>
      <c r="B1" s="1669"/>
      <c r="C1" s="1669"/>
      <c r="D1" s="1669"/>
      <c r="E1" s="1669"/>
      <c r="F1" s="1669"/>
      <c r="G1" s="1669"/>
      <c r="H1" s="1669"/>
      <c r="I1" s="1669"/>
      <c r="J1" s="1669"/>
    </row>
    <row r="3" spans="1:16" ht="13.5" customHeight="1" x14ac:dyDescent="0.2">
      <c r="A3" s="51"/>
      <c r="B3" s="1635" t="s">
        <v>126</v>
      </c>
      <c r="C3" s="1681"/>
      <c r="D3" s="101"/>
      <c r="E3" s="1635" t="s">
        <v>53</v>
      </c>
      <c r="F3" s="1681"/>
      <c r="G3" s="101"/>
      <c r="H3" s="1635" t="s">
        <v>127</v>
      </c>
      <c r="I3" s="1681"/>
      <c r="J3" s="1"/>
      <c r="K3" s="1"/>
      <c r="L3" s="1"/>
      <c r="M3" s="1"/>
      <c r="N3" s="1"/>
      <c r="O3" s="1"/>
      <c r="P3" s="1"/>
    </row>
    <row r="4" spans="1:16" ht="26.25" customHeight="1" x14ac:dyDescent="0.2">
      <c r="A4" s="597" t="s">
        <v>4</v>
      </c>
      <c r="B4" s="1121" t="s">
        <v>0</v>
      </c>
      <c r="C4" s="1208" t="s">
        <v>369</v>
      </c>
      <c r="D4" s="67"/>
      <c r="E4" s="1121" t="s">
        <v>0</v>
      </c>
      <c r="F4" s="1208" t="s">
        <v>369</v>
      </c>
      <c r="G4" s="67"/>
      <c r="H4" s="1121" t="s">
        <v>0</v>
      </c>
      <c r="I4" s="1208" t="s">
        <v>369</v>
      </c>
      <c r="O4" s="1"/>
      <c r="P4" s="1"/>
    </row>
    <row r="5" spans="1:16" ht="18.75" customHeight="1" x14ac:dyDescent="0.2">
      <c r="A5" s="17" t="s">
        <v>16</v>
      </c>
      <c r="B5" s="854">
        <f>'T10'!$G5</f>
        <v>293920</v>
      </c>
      <c r="C5" s="1209">
        <f>B5/'T10'!$K5*1000000</f>
        <v>5720.3913501267971</v>
      </c>
      <c r="E5" s="854">
        <f>'1 1a 1b'!K5</f>
        <v>45636</v>
      </c>
      <c r="F5" s="1209">
        <f>E5/Tref!B16*1000000</f>
        <v>8827.0793036750492</v>
      </c>
      <c r="H5" s="854">
        <f>'T10'!$G16</f>
        <v>24661</v>
      </c>
      <c r="I5" s="1209">
        <f>H5/'T10'!$K16*1000000</f>
        <v>8203.1068090343615</v>
      </c>
      <c r="O5" s="768"/>
      <c r="P5" s="768"/>
    </row>
    <row r="6" spans="1:16" ht="13.5" customHeight="1" x14ac:dyDescent="0.2">
      <c r="A6" s="5" t="s">
        <v>18</v>
      </c>
      <c r="B6" s="854">
        <f>'T10'!$G6</f>
        <v>249237</v>
      </c>
      <c r="C6" s="1209">
        <f>B6/'T10'!$K6*1000000</f>
        <v>4810.0486530196331</v>
      </c>
      <c r="E6" s="854">
        <f>'1 1a 1b'!K6</f>
        <v>40570</v>
      </c>
      <c r="F6" s="1209">
        <f>E6/Tref!B17*1000000</f>
        <v>7797.5744296450057</v>
      </c>
      <c r="H6" s="854">
        <f>'T10'!$G17</f>
        <v>19521</v>
      </c>
      <c r="I6" s="1209">
        <f>H6/'T10'!$K17*1000000</f>
        <v>6451.3037443405274</v>
      </c>
      <c r="O6" s="768"/>
      <c r="P6" s="768"/>
    </row>
    <row r="7" spans="1:16" ht="13.5" customHeight="1" x14ac:dyDescent="0.2">
      <c r="A7" s="30" t="s">
        <v>19</v>
      </c>
      <c r="B7" s="854">
        <f>'T10'!$G7</f>
        <v>241462</v>
      </c>
      <c r="C7" s="1209">
        <f>B7/'T10'!$K7*1000000</f>
        <v>4626.0278486638927</v>
      </c>
      <c r="E7" s="854">
        <f>'1 1a 1b'!K7</f>
        <v>38737</v>
      </c>
      <c r="F7" s="1209">
        <f>E7/Tref!B18*1000000</f>
        <v>7404.0023700758802</v>
      </c>
      <c r="H7" s="854">
        <f>'T10'!$G18</f>
        <v>19152</v>
      </c>
      <c r="I7" s="1209">
        <f>H7/'T10'!$K18*1000000</f>
        <v>6302.2804304189012</v>
      </c>
      <c r="O7" s="768"/>
      <c r="P7" s="768"/>
    </row>
    <row r="8" spans="1:16" ht="13.5" customHeight="1" x14ac:dyDescent="0.2">
      <c r="A8" s="30" t="s">
        <v>20</v>
      </c>
      <c r="B8" s="854">
        <f>'T10'!$G8</f>
        <v>228407</v>
      </c>
      <c r="C8" s="1209">
        <f>B8/'T10'!$K8*1000000</f>
        <v>4338.8326922163651</v>
      </c>
      <c r="D8" t="s">
        <v>145</v>
      </c>
      <c r="E8" s="854">
        <f>'1 1a 1b'!K8</f>
        <v>38970</v>
      </c>
      <c r="F8" s="1209">
        <f>E8/Tref!B19*1000000</f>
        <v>7405.6478279046787</v>
      </c>
      <c r="H8" s="854">
        <f>'T10'!$G19</f>
        <v>20688</v>
      </c>
      <c r="I8" s="1209">
        <f>H8/'T10'!$K19*1000000</f>
        <v>6782.9508196721308</v>
      </c>
      <c r="O8" s="768"/>
      <c r="P8" s="768"/>
    </row>
    <row r="9" spans="1:16" ht="13.5" customHeight="1" x14ac:dyDescent="0.2">
      <c r="A9" s="30" t="s">
        <v>13</v>
      </c>
      <c r="B9" s="854">
        <f>'T10'!$G9</f>
        <v>223937</v>
      </c>
      <c r="C9" s="1209">
        <f>B9/'T10'!$K9*1000000</f>
        <v>4216.6975476018324</v>
      </c>
      <c r="D9" t="s">
        <v>145</v>
      </c>
      <c r="E9" s="854">
        <f>'1 1a 1b'!K9</f>
        <v>32338</v>
      </c>
      <c r="F9" s="1209">
        <f>E9/Tref!B20*1000000</f>
        <v>6101.6245589539421</v>
      </c>
      <c r="H9" s="854">
        <f>'T10'!$G20</f>
        <v>16464</v>
      </c>
      <c r="I9" s="1209">
        <f>H9/'T10'!$K20*1000000</f>
        <v>5373.718911156081</v>
      </c>
      <c r="O9" s="768"/>
      <c r="P9" s="768"/>
    </row>
    <row r="10" spans="1:16" ht="13.5" customHeight="1" x14ac:dyDescent="0.2">
      <c r="A10" s="30" t="s">
        <v>15</v>
      </c>
      <c r="B10" s="854">
        <f>'T10'!$G10</f>
        <v>154456</v>
      </c>
      <c r="C10" s="1209">
        <f>B10/'T10'!$K10*1000000</f>
        <v>2887.3680452090621</v>
      </c>
      <c r="D10" t="s">
        <v>145</v>
      </c>
      <c r="E10" s="854">
        <f>'1 1a 1b'!K10</f>
        <v>26746</v>
      </c>
      <c r="F10" s="1209">
        <f>E10/Tref!B21*1000000</f>
        <v>5033.4989461005716</v>
      </c>
      <c r="H10" s="854">
        <f>'T10'!$G21</f>
        <v>11438</v>
      </c>
      <c r="I10" s="1209">
        <f>H10/'T10'!$K21*1000000</f>
        <v>3720.7638007872224</v>
      </c>
      <c r="O10" s="768"/>
      <c r="P10" s="768"/>
    </row>
    <row r="11" spans="1:16" ht="13.5" customHeight="1" x14ac:dyDescent="0.2">
      <c r="A11" s="30" t="s">
        <v>17</v>
      </c>
      <c r="B11" s="854">
        <f>'T10'!$G11</f>
        <v>171343</v>
      </c>
      <c r="C11" s="1209">
        <f>B11/'T10'!$K11*1000000</f>
        <v>3180.9237029803699</v>
      </c>
      <c r="D11" t="s">
        <v>145</v>
      </c>
      <c r="E11" s="854">
        <f>'1 1a 1b'!K11</f>
        <v>27992</v>
      </c>
      <c r="F11" s="1209">
        <f>E11/Tref!B22*1000000</f>
        <v>5254.0495898793097</v>
      </c>
      <c r="H11" s="854">
        <f>'T10'!$G22</f>
        <v>13169</v>
      </c>
      <c r="I11" s="1209">
        <f>H11/'T10'!$K22*1000000</f>
        <v>4272.3202699195426</v>
      </c>
      <c r="O11" s="768"/>
      <c r="P11" s="768"/>
    </row>
    <row r="12" spans="1:16" ht="13.5" customHeight="1" x14ac:dyDescent="0.2">
      <c r="A12" s="30" t="s">
        <v>147</v>
      </c>
      <c r="B12" s="854">
        <f>'T10'!$G12</f>
        <v>155037</v>
      </c>
      <c r="C12" s="1209">
        <f>B12/'T10'!$K12*1000000</f>
        <v>2854.3207785465215</v>
      </c>
      <c r="D12" t="s">
        <v>145</v>
      </c>
      <c r="E12" s="854">
        <f>'1 1a 1b'!K12</f>
        <v>25026</v>
      </c>
      <c r="F12" s="1209">
        <f>E12/Tref!B23*1000000</f>
        <v>4679.8563841723389</v>
      </c>
      <c r="H12" s="854">
        <f>'T10'!$G23</f>
        <v>11651</v>
      </c>
      <c r="I12" s="1209">
        <f>H12/'T10'!$K23*1000000</f>
        <v>3768.1112548512288</v>
      </c>
      <c r="O12" s="768"/>
      <c r="P12" s="768"/>
    </row>
    <row r="13" spans="1:16" ht="13.5" customHeight="1" x14ac:dyDescent="0.2">
      <c r="A13" s="30" t="s">
        <v>160</v>
      </c>
      <c r="B13" s="854">
        <f>'T10'!$G13</f>
        <v>162247</v>
      </c>
      <c r="C13" s="1209">
        <f>B13/'T10'!$K13*1000000</f>
        <v>2961.4520418425773</v>
      </c>
      <c r="D13" t="s">
        <v>145</v>
      </c>
      <c r="E13" s="854">
        <f>'1 1a 1b'!K13</f>
        <v>26628</v>
      </c>
      <c r="F13" s="1209">
        <f>E13/Tref!B24*1000000</f>
        <v>4955.890563930765</v>
      </c>
      <c r="H13" s="854">
        <f>'T10'!$G24</f>
        <v>12108</v>
      </c>
      <c r="I13" s="1209">
        <f>H13/'T10'!$K24*1000000</f>
        <v>3906.9407247265335</v>
      </c>
      <c r="J13" t="s">
        <v>145</v>
      </c>
      <c r="O13" s="768"/>
      <c r="P13" s="768"/>
    </row>
    <row r="14" spans="1:16" ht="13.5" customHeight="1" x14ac:dyDescent="0.2">
      <c r="A14" s="30" t="s">
        <v>379</v>
      </c>
      <c r="B14" s="854">
        <f>'T10'!$G14</f>
        <v>161997</v>
      </c>
      <c r="C14" s="1209">
        <f>B14/'T10'!$K14*1000000</f>
        <v>2931.1121605410717</v>
      </c>
      <c r="D14" t="s">
        <v>145</v>
      </c>
      <c r="E14" s="854">
        <f>'1 1a 1b'!K14</f>
        <v>27271</v>
      </c>
      <c r="F14" s="1209">
        <f>E14/Tref!B25*1000000</f>
        <v>5045.7934760486241</v>
      </c>
      <c r="G14" t="s">
        <v>145</v>
      </c>
      <c r="H14" s="854">
        <f>'T10'!$G25</f>
        <v>10750</v>
      </c>
      <c r="I14" s="1209">
        <f>H14/'T10'!$K25*1000000</f>
        <v>3453.0386740331492</v>
      </c>
      <c r="J14" t="s">
        <v>145</v>
      </c>
      <c r="O14" s="768"/>
      <c r="P14" s="768"/>
    </row>
    <row r="15" spans="1:16" ht="13.5" customHeight="1" x14ac:dyDescent="0.2">
      <c r="A15" s="1261" t="s">
        <v>603</v>
      </c>
      <c r="B15" s="1059">
        <f>'T10'!$G15</f>
        <v>167150</v>
      </c>
      <c r="C15" s="1210">
        <f>B15/'T10'!$K15*1000000</f>
        <v>3005.2463708705955</v>
      </c>
      <c r="D15" t="s">
        <v>143</v>
      </c>
      <c r="E15" s="1059">
        <f>'1 1a 1b'!K15</f>
        <v>26115</v>
      </c>
      <c r="F15" s="1210">
        <f>E15/Tref!B26*1000000</f>
        <v>4814.0023595339926</v>
      </c>
      <c r="G15" t="s">
        <v>143</v>
      </c>
      <c r="H15" s="1059">
        <f>'T10'!$G26</f>
        <v>11020</v>
      </c>
      <c r="I15" s="1210">
        <f>H15/'T10'!$K26*1000000</f>
        <v>3526.1743248432099</v>
      </c>
      <c r="J15" t="s">
        <v>143</v>
      </c>
      <c r="O15" s="768"/>
      <c r="P15" s="768"/>
    </row>
    <row r="16" spans="1:16" x14ac:dyDescent="0.2">
      <c r="A16" s="68"/>
      <c r="B16" s="1"/>
      <c r="C16" s="710"/>
      <c r="D16" s="1"/>
      <c r="E16" s="1"/>
      <c r="F16" s="710"/>
      <c r="G16" s="1"/>
      <c r="H16" s="1"/>
      <c r="I16" s="710"/>
      <c r="J16" s="1"/>
      <c r="K16" s="1"/>
      <c r="L16" s="1"/>
      <c r="M16" s="1"/>
      <c r="N16" s="1"/>
      <c r="O16" s="1"/>
      <c r="P16" s="1"/>
    </row>
    <row r="17" spans="1:16" x14ac:dyDescent="0.2">
      <c r="A17" s="68" t="s">
        <v>162</v>
      </c>
      <c r="B17" s="1"/>
      <c r="C17" s="710"/>
      <c r="D17" s="1"/>
      <c r="E17" s="1"/>
      <c r="F17" s="710"/>
      <c r="G17" s="1"/>
      <c r="H17" s="1"/>
      <c r="I17" s="710"/>
      <c r="J17" s="1"/>
      <c r="K17" s="1"/>
      <c r="L17" s="1"/>
      <c r="M17" s="1"/>
      <c r="N17" s="1"/>
      <c r="O17" s="1"/>
      <c r="P17" s="1"/>
    </row>
    <row r="18" spans="1:16" x14ac:dyDescent="0.2">
      <c r="A18" s="71" t="s">
        <v>967</v>
      </c>
      <c r="B18" s="71"/>
      <c r="C18" s="71"/>
      <c r="D18" s="71"/>
      <c r="E18" s="71"/>
      <c r="F18" s="71"/>
      <c r="G18" s="71"/>
      <c r="H18" s="71"/>
      <c r="I18" s="71"/>
      <c r="J18" s="21"/>
      <c r="K18" s="1"/>
      <c r="L18" s="1"/>
      <c r="M18" s="1"/>
      <c r="N18" s="1"/>
      <c r="O18" s="1"/>
      <c r="P18" s="1"/>
    </row>
    <row r="19" spans="1:16" x14ac:dyDescent="0.2">
      <c r="A19" s="71" t="s">
        <v>968</v>
      </c>
      <c r="B19" s="71"/>
      <c r="C19" s="71"/>
      <c r="D19" s="71"/>
      <c r="E19" s="71"/>
      <c r="F19" s="71"/>
      <c r="G19" s="71"/>
      <c r="H19" s="71"/>
      <c r="I19" s="71"/>
      <c r="J19" s="21"/>
      <c r="K19" s="1"/>
      <c r="L19" s="1"/>
      <c r="M19" s="1"/>
      <c r="N19" s="1"/>
      <c r="O19" s="1"/>
      <c r="P19" s="1"/>
    </row>
    <row r="20" spans="1:16" x14ac:dyDescent="0.2">
      <c r="A20" s="1654" t="s">
        <v>1014</v>
      </c>
      <c r="B20" s="1654"/>
      <c r="C20" s="1654"/>
      <c r="D20" s="1654"/>
      <c r="E20" s="1654"/>
      <c r="F20" s="1654"/>
      <c r="G20" s="1654"/>
      <c r="H20" s="1654"/>
      <c r="I20" s="1654"/>
      <c r="J20" s="21"/>
      <c r="K20" s="1"/>
      <c r="L20" s="1"/>
      <c r="M20" s="1"/>
      <c r="N20" s="1"/>
      <c r="O20" s="1"/>
      <c r="P20" s="1"/>
    </row>
    <row r="21" spans="1:16" s="913" customFormat="1" ht="116.25" customHeight="1" x14ac:dyDescent="0.2">
      <c r="A21" s="1697" t="s">
        <v>1010</v>
      </c>
      <c r="B21" s="1697"/>
      <c r="C21" s="1697"/>
      <c r="D21" s="1697"/>
      <c r="E21" s="1697"/>
      <c r="F21" s="1697"/>
      <c r="G21" s="1697"/>
      <c r="H21" s="1697"/>
      <c r="I21" s="1697"/>
      <c r="J21" s="1"/>
    </row>
    <row r="22" spans="1:16" ht="13.5" customHeight="1" x14ac:dyDescent="0.2">
      <c r="A22" s="394"/>
      <c r="B22" s="1"/>
      <c r="C22" s="710"/>
      <c r="D22" s="1"/>
      <c r="E22" s="1"/>
      <c r="F22" s="710"/>
      <c r="G22" s="1"/>
      <c r="H22" s="1"/>
      <c r="I22" s="710"/>
      <c r="J22" s="1"/>
      <c r="K22" s="1"/>
      <c r="L22" s="1"/>
      <c r="M22" s="1"/>
      <c r="N22" s="1"/>
      <c r="O22" s="1"/>
      <c r="P22" s="1"/>
    </row>
    <row r="23" spans="1:16" ht="38.25" customHeight="1" x14ac:dyDescent="0.2">
      <c r="A23" s="1671" t="s">
        <v>625</v>
      </c>
      <c r="B23" s="1671"/>
      <c r="C23" s="1671"/>
      <c r="D23" s="1671"/>
      <c r="E23" s="1671"/>
      <c r="F23" s="1671"/>
      <c r="G23" s="1671"/>
      <c r="H23" s="1671"/>
      <c r="I23" s="1671"/>
      <c r="J23" s="1671"/>
      <c r="K23" s="201"/>
      <c r="L23" s="201"/>
      <c r="M23" s="201"/>
      <c r="N23" s="201"/>
      <c r="O23" s="201"/>
      <c r="P23" s="201"/>
    </row>
    <row r="24" spans="1:16" ht="13.5" customHeight="1" x14ac:dyDescent="0.2">
      <c r="A24" s="804"/>
      <c r="B24" s="804"/>
      <c r="C24" s="804"/>
      <c r="D24" s="804"/>
      <c r="E24" s="804"/>
      <c r="F24" s="804"/>
      <c r="G24" s="804"/>
      <c r="H24" s="804"/>
      <c r="I24" s="804"/>
      <c r="J24" s="804"/>
      <c r="K24" s="804"/>
      <c r="L24" s="804"/>
      <c r="M24" s="804"/>
      <c r="N24" s="804"/>
      <c r="O24" s="804"/>
      <c r="P24" s="804"/>
    </row>
    <row r="25" spans="1:16" ht="13.5" customHeight="1" x14ac:dyDescent="0.2">
      <c r="A25" s="1"/>
      <c r="B25" s="1635" t="s">
        <v>126</v>
      </c>
      <c r="C25" s="1681"/>
      <c r="D25" s="101"/>
      <c r="E25" s="1635" t="s">
        <v>53</v>
      </c>
      <c r="F25" s="1681"/>
      <c r="G25" s="101"/>
      <c r="H25" s="1635" t="s">
        <v>127</v>
      </c>
      <c r="I25" s="1681"/>
      <c r="J25" s="1"/>
      <c r="K25" s="1"/>
      <c r="L25" s="1"/>
      <c r="M25" s="1"/>
      <c r="N25" s="1"/>
      <c r="O25" s="1"/>
      <c r="P25" s="1"/>
    </row>
    <row r="26" spans="1:16" ht="26.25" customHeight="1" x14ac:dyDescent="0.2">
      <c r="A26" s="86" t="s">
        <v>4</v>
      </c>
      <c r="B26" s="1121" t="s">
        <v>0</v>
      </c>
      <c r="C26" s="1208" t="s">
        <v>369</v>
      </c>
      <c r="D26" s="67"/>
      <c r="E26" s="1121" t="s">
        <v>0</v>
      </c>
      <c r="F26" s="1208" t="s">
        <v>369</v>
      </c>
      <c r="G26" s="67"/>
      <c r="H26" s="1121" t="s">
        <v>0</v>
      </c>
      <c r="I26" s="1208" t="s">
        <v>369</v>
      </c>
      <c r="J26" s="1"/>
      <c r="K26" s="1"/>
      <c r="L26" s="1"/>
      <c r="M26" s="1"/>
      <c r="N26" s="1"/>
      <c r="O26" s="1"/>
      <c r="P26" s="1"/>
    </row>
    <row r="27" spans="1:16" ht="18.75" customHeight="1" x14ac:dyDescent="0.2">
      <c r="A27" s="17" t="s">
        <v>16</v>
      </c>
      <c r="B27" s="854">
        <f>'T10'!$I5</f>
        <v>115271</v>
      </c>
      <c r="C27" s="1478">
        <f>B27/'T10'!$K5*1000000</f>
        <v>2243.4513858208561</v>
      </c>
      <c r="E27" s="854">
        <f>'1 1a 1b'!F5</f>
        <v>13618</v>
      </c>
      <c r="F27" s="1478">
        <f>E27/Tref!B16*1000000</f>
        <v>2634.0425531914893</v>
      </c>
      <c r="H27" s="855">
        <f>'T10'!$I16</f>
        <v>7689</v>
      </c>
      <c r="I27" s="1478">
        <f>H27/'T10'!K16*1000000</f>
        <v>2557.628979143798</v>
      </c>
      <c r="P27" s="1"/>
    </row>
    <row r="28" spans="1:16" ht="13.5" customHeight="1" x14ac:dyDescent="0.2">
      <c r="A28" s="5" t="s">
        <v>18</v>
      </c>
      <c r="B28" s="854">
        <f>'T10'!$I6</f>
        <v>104348</v>
      </c>
      <c r="C28" s="1209">
        <f>B28/'T10'!$K6*1000000</f>
        <v>2013.8220121622901</v>
      </c>
      <c r="E28" s="854">
        <f>'1 1a 1b'!F6</f>
        <v>13174</v>
      </c>
      <c r="F28" s="1209">
        <f>E28/Tref!B17*1000000</f>
        <v>2532.0494339695174</v>
      </c>
      <c r="H28" s="855">
        <f>'T10'!$I17</f>
        <v>6985</v>
      </c>
      <c r="I28" s="1209">
        <f>H28/'T10'!K17*1000000</f>
        <v>2308.4041111735351</v>
      </c>
      <c r="P28" s="1"/>
    </row>
    <row r="29" spans="1:16" ht="13.5" customHeight="1" x14ac:dyDescent="0.2">
      <c r="A29" s="30" t="s">
        <v>19</v>
      </c>
      <c r="B29" s="854">
        <f>'T10'!$I7</f>
        <v>101159</v>
      </c>
      <c r="C29" s="1209">
        <f>B29/'T10'!$K7*1000000</f>
        <v>1938.0455357074434</v>
      </c>
      <c r="E29" s="854">
        <f>'1 1a 1b'!F7</f>
        <v>14018</v>
      </c>
      <c r="F29" s="1209">
        <f>E29/Tref!B18*1000000</f>
        <v>2679.3325560503831</v>
      </c>
      <c r="H29" s="855">
        <f>'T10'!$I18</f>
        <v>6800</v>
      </c>
      <c r="I29" s="1209">
        <f>H29/'T10'!K18*1000000</f>
        <v>2237.6517818947646</v>
      </c>
      <c r="P29" s="1"/>
    </row>
    <row r="30" spans="1:16" ht="13.5" customHeight="1" x14ac:dyDescent="0.2">
      <c r="A30" s="30" t="s">
        <v>20</v>
      </c>
      <c r="B30" s="854">
        <f>'T10'!$I8</f>
        <v>92245</v>
      </c>
      <c r="C30" s="1209">
        <f>B30/'T10'!$K8*1000000</f>
        <v>1752.2913995345966</v>
      </c>
      <c r="D30" t="s">
        <v>145</v>
      </c>
      <c r="E30" s="854">
        <f>'1 1a 1b'!F8</f>
        <v>13198</v>
      </c>
      <c r="F30" s="1209">
        <f>E30/Tref!B19*1000000</f>
        <v>2508.0764699175252</v>
      </c>
      <c r="H30" s="855">
        <f>'T10'!$I19</f>
        <v>6414</v>
      </c>
      <c r="I30" s="1209">
        <f>H30/'T10'!K19*1000000</f>
        <v>2102.9508196721313</v>
      </c>
      <c r="P30" s="1"/>
    </row>
    <row r="31" spans="1:16" ht="13.5" customHeight="1" x14ac:dyDescent="0.2">
      <c r="A31" s="30" t="s">
        <v>13</v>
      </c>
      <c r="B31" s="854">
        <f>'T10'!$I9</f>
        <v>86982</v>
      </c>
      <c r="C31" s="1209">
        <f>B31/'T10'!$K9*1000000</f>
        <v>1637.8570137382503</v>
      </c>
      <c r="D31" t="s">
        <v>145</v>
      </c>
      <c r="E31" s="854">
        <f>'1 1a 1b'!F9</f>
        <v>12414</v>
      </c>
      <c r="F31" s="1209">
        <f>E31/Tref!B20*1000000</f>
        <v>2342.30834544048</v>
      </c>
      <c r="H31" s="855">
        <f>'T10'!$I20</f>
        <v>5687</v>
      </c>
      <c r="I31" s="1209">
        <f>H31/'T10'!K20*1000000</f>
        <v>1856.1916574188915</v>
      </c>
      <c r="P31" s="1"/>
    </row>
    <row r="32" spans="1:16" ht="13.5" customHeight="1" x14ac:dyDescent="0.2">
      <c r="A32" s="30" t="s">
        <v>15</v>
      </c>
      <c r="B32" s="854">
        <f>'T10'!$I10</f>
        <v>74709</v>
      </c>
      <c r="C32" s="1209">
        <f>B32/'T10'!$K10*1000000</f>
        <v>1396.5943653177851</v>
      </c>
      <c r="D32" t="s">
        <v>145</v>
      </c>
      <c r="E32" s="854">
        <f>'1 1a 1b'!F10</f>
        <v>11093</v>
      </c>
      <c r="F32" s="1209">
        <f>E32/Tref!B21*1000000</f>
        <v>2087.6618488407107</v>
      </c>
      <c r="H32" s="855">
        <f>'T10'!$I21</f>
        <v>4745</v>
      </c>
      <c r="I32" s="1209">
        <f>H32/'T10'!K21*1000000</f>
        <v>1543.5411990501284</v>
      </c>
      <c r="P32" s="1"/>
    </row>
    <row r="33" spans="1:16" ht="13.5" customHeight="1" x14ac:dyDescent="0.2">
      <c r="A33" s="30" t="s">
        <v>17</v>
      </c>
      <c r="B33" s="854">
        <f>'T10'!$I11</f>
        <v>73225</v>
      </c>
      <c r="C33" s="1209">
        <f>B33/'T10'!$K11*1000000</f>
        <v>1359.3968714843184</v>
      </c>
      <c r="D33" t="s">
        <v>145</v>
      </c>
      <c r="E33" s="854">
        <f>'1 1a 1b'!F11</f>
        <v>10539</v>
      </c>
      <c r="F33" s="1209">
        <f>E33/Tref!B22*1000000</f>
        <v>1978.1519229686355</v>
      </c>
      <c r="H33" s="855">
        <f>'T10'!$I22</f>
        <v>4790</v>
      </c>
      <c r="I33" s="1209">
        <f>H33/'T10'!K22*1000000</f>
        <v>1553.9839086426161</v>
      </c>
      <c r="P33" s="1"/>
    </row>
    <row r="34" spans="1:16" ht="13.5" customHeight="1" x14ac:dyDescent="0.2">
      <c r="A34" s="30" t="s">
        <v>147</v>
      </c>
      <c r="B34" s="854">
        <f>'T10'!$I12</f>
        <v>71112</v>
      </c>
      <c r="C34" s="1209">
        <f>B34/'T10'!$K12*1000000</f>
        <v>1309.213021433595</v>
      </c>
      <c r="D34" t="s">
        <v>145</v>
      </c>
      <c r="E34" s="854">
        <f>'1 1a 1b'!F12</f>
        <v>10643</v>
      </c>
      <c r="F34" s="1209">
        <f>E34/Tref!B23*1000000</f>
        <v>1990.2386117136659</v>
      </c>
      <c r="H34" s="855">
        <f>'T10'!$I23</f>
        <v>4561</v>
      </c>
      <c r="I34" s="1209">
        <f>H34/'T10'!K23*1000000</f>
        <v>1475.0970245795602</v>
      </c>
      <c r="P34" s="1"/>
    </row>
    <row r="35" spans="1:16" ht="13.5" customHeight="1" x14ac:dyDescent="0.2">
      <c r="A35" s="30" t="s">
        <v>160</v>
      </c>
      <c r="B35" s="854">
        <f>'T10'!$I13</f>
        <v>73464</v>
      </c>
      <c r="C35" s="1209">
        <f>B35/'T10'!$K13*1000000</f>
        <v>1340.9191713986893</v>
      </c>
      <c r="D35" t="s">
        <v>145</v>
      </c>
      <c r="E35" s="854">
        <f>'1 1a 1b'!F13</f>
        <v>11013</v>
      </c>
      <c r="F35" s="1209">
        <f>E35/Tref!B24*1000000</f>
        <v>2049.6929089893911</v>
      </c>
      <c r="H35" s="855">
        <f>'T10'!$I24</f>
        <v>4678</v>
      </c>
      <c r="I35" s="1209">
        <f>H35/'T10'!K24*1000000</f>
        <v>1509.4704914329966</v>
      </c>
      <c r="J35" t="s">
        <v>145</v>
      </c>
      <c r="P35" s="1"/>
    </row>
    <row r="36" spans="1:16" ht="13.5" customHeight="1" x14ac:dyDescent="0.2">
      <c r="A36" s="30" t="s">
        <v>379</v>
      </c>
      <c r="B36" s="854">
        <f>'T10'!$I14</f>
        <v>74914</v>
      </c>
      <c r="C36" s="1209">
        <f>B36/'T10'!$K14*1000000</f>
        <v>1355.4654493279124</v>
      </c>
      <c r="D36" t="s">
        <v>145</v>
      </c>
      <c r="E36" s="854">
        <f>'1 1a 1b'!F14</f>
        <v>10904</v>
      </c>
      <c r="F36" s="1209">
        <f>E36/Tref!B25*1000000</f>
        <v>2017.5032841785851</v>
      </c>
      <c r="G36" t="s">
        <v>145</v>
      </c>
      <c r="H36" s="855">
        <f>'T10'!$I25</f>
        <v>4757</v>
      </c>
      <c r="I36" s="1209">
        <f>H36/'T10'!K25*1000000</f>
        <v>1528.0097648721573</v>
      </c>
      <c r="J36" t="s">
        <v>145</v>
      </c>
      <c r="P36" s="1"/>
    </row>
    <row r="37" spans="1:16" ht="13.5" customHeight="1" x14ac:dyDescent="0.2">
      <c r="A37" s="1261" t="s">
        <v>603</v>
      </c>
      <c r="B37" s="1059">
        <f>'T10'!$I15</f>
        <v>74118</v>
      </c>
      <c r="C37" s="1210">
        <f>B37/'T10'!$K15*1000000</f>
        <v>1332.5925846017758</v>
      </c>
      <c r="D37" t="s">
        <v>143</v>
      </c>
      <c r="E37" s="1059">
        <f>'1 1a 1b'!F15</f>
        <v>10654</v>
      </c>
      <c r="F37" s="1210">
        <f>E37/Tref!B26*1000000</f>
        <v>1963.9433711841912</v>
      </c>
      <c r="G37" t="s">
        <v>143</v>
      </c>
      <c r="H37" s="856">
        <f>'T10'!$I26</f>
        <v>4315</v>
      </c>
      <c r="I37" s="1210">
        <f>H37/'T10'!K26*1000000</f>
        <v>1380.7116344553949</v>
      </c>
      <c r="J37" t="s">
        <v>143</v>
      </c>
      <c r="P37" s="1"/>
    </row>
    <row r="39" spans="1:16" x14ac:dyDescent="0.2">
      <c r="A39" s="68" t="s">
        <v>162</v>
      </c>
      <c r="B39" s="1"/>
      <c r="C39" s="710"/>
      <c r="D39" s="1"/>
      <c r="E39" s="1"/>
      <c r="F39" s="710"/>
      <c r="G39" s="1"/>
      <c r="H39" s="1"/>
      <c r="I39" s="710"/>
      <c r="J39" s="1"/>
    </row>
    <row r="40" spans="1:16" x14ac:dyDescent="0.2">
      <c r="A40" s="71" t="s">
        <v>967</v>
      </c>
      <c r="B40" s="71"/>
      <c r="C40" s="71"/>
      <c r="D40" s="71"/>
      <c r="E40" s="71"/>
      <c r="F40" s="71"/>
      <c r="G40" s="71"/>
      <c r="H40" s="71"/>
      <c r="I40" s="71"/>
      <c r="J40" s="21"/>
    </row>
    <row r="41" spans="1:16" x14ac:dyDescent="0.2">
      <c r="A41" s="71" t="s">
        <v>968</v>
      </c>
      <c r="B41" s="71"/>
      <c r="C41" s="71"/>
      <c r="D41" s="71"/>
      <c r="E41" s="71"/>
      <c r="F41" s="71"/>
      <c r="G41" s="71"/>
      <c r="H41" s="71"/>
      <c r="I41" s="71"/>
      <c r="J41" s="21"/>
    </row>
    <row r="42" spans="1:16" x14ac:dyDescent="0.2">
      <c r="A42" s="1654" t="s">
        <v>1014</v>
      </c>
      <c r="B42" s="1654"/>
      <c r="C42" s="1654"/>
      <c r="D42" s="1654"/>
      <c r="E42" s="1654"/>
      <c r="F42" s="1654"/>
      <c r="G42" s="1654"/>
      <c r="H42" s="1654"/>
      <c r="I42" s="1654"/>
      <c r="J42" s="1"/>
    </row>
    <row r="43" spans="1:16" ht="116.25" customHeight="1" x14ac:dyDescent="0.2">
      <c r="A43" s="1697" t="s">
        <v>1010</v>
      </c>
      <c r="B43" s="1697"/>
      <c r="C43" s="1697"/>
      <c r="D43" s="1697"/>
      <c r="E43" s="1697"/>
      <c r="F43" s="1697"/>
      <c r="G43" s="1697"/>
      <c r="H43" s="1697"/>
      <c r="I43" s="1697"/>
    </row>
    <row r="44" spans="1:16" x14ac:dyDescent="0.2">
      <c r="A44" s="1515"/>
      <c r="B44" s="1515"/>
      <c r="C44" s="1515"/>
      <c r="D44" s="1515"/>
      <c r="E44" s="1515"/>
      <c r="F44" s="1515"/>
      <c r="G44" s="1515"/>
      <c r="H44" s="1515"/>
      <c r="I44" s="1515"/>
    </row>
    <row r="45" spans="1:16" ht="38.25" customHeight="1" x14ac:dyDescent="0.2">
      <c r="A45" s="1698" t="s">
        <v>928</v>
      </c>
      <c r="B45" s="1698"/>
      <c r="C45" s="1698"/>
      <c r="D45" s="1698"/>
      <c r="E45" s="1698"/>
      <c r="F45" s="1698"/>
      <c r="G45" s="1698"/>
      <c r="H45" s="1698"/>
      <c r="I45" s="1698"/>
      <c r="J45" s="1698"/>
      <c r="K45" s="1605"/>
      <c r="L45" s="1605"/>
    </row>
    <row r="46" spans="1:16" ht="15.75" x14ac:dyDescent="0.2">
      <c r="A46" s="1476"/>
      <c r="B46" s="1476"/>
      <c r="C46" s="1476"/>
      <c r="D46" s="1476"/>
      <c r="E46" s="1476"/>
      <c r="F46" s="1476"/>
      <c r="G46" s="1476"/>
      <c r="H46" s="1476"/>
      <c r="I46" s="1476"/>
      <c r="J46" s="1476"/>
      <c r="K46" s="1475"/>
      <c r="L46" s="1476"/>
    </row>
    <row r="47" spans="1:16" x14ac:dyDescent="0.2">
      <c r="B47" s="1699" t="s">
        <v>126</v>
      </c>
      <c r="C47" s="1700"/>
      <c r="D47" s="385"/>
      <c r="E47" s="1699" t="s">
        <v>53</v>
      </c>
      <c r="F47" s="1700"/>
      <c r="G47" s="385"/>
      <c r="H47" s="1699" t="s">
        <v>127</v>
      </c>
      <c r="I47" s="1700"/>
    </row>
    <row r="48" spans="1:16" ht="25.5" x14ac:dyDescent="0.2">
      <c r="A48" s="1479" t="s">
        <v>4</v>
      </c>
      <c r="B48" s="1477" t="s">
        <v>0</v>
      </c>
      <c r="C48" s="1480" t="s">
        <v>369</v>
      </c>
      <c r="D48" s="1443"/>
      <c r="E48" s="1477" t="s">
        <v>0</v>
      </c>
      <c r="F48" s="1480" t="s">
        <v>369</v>
      </c>
      <c r="G48" s="1443"/>
      <c r="H48" s="1477" t="s">
        <v>0</v>
      </c>
      <c r="I48" s="1480" t="s">
        <v>369</v>
      </c>
    </row>
    <row r="49" spans="1:12" x14ac:dyDescent="0.2">
      <c r="A49" s="1481" t="s">
        <v>16</v>
      </c>
      <c r="B49" s="854">
        <f>'T10'!$L5</f>
        <v>172306</v>
      </c>
      <c r="C49" s="1478">
        <f>B49/'T10'!$K5*1000000</f>
        <v>3353.4899019289196</v>
      </c>
      <c r="E49" s="854">
        <f>'Long-Term Trend'!G22</f>
        <v>30385</v>
      </c>
      <c r="F49" s="1478">
        <f>E49/Tref!B16*1000000</f>
        <v>5877.1760154738886</v>
      </c>
      <c r="H49" s="854">
        <f>'T10'!$L16</f>
        <v>16352</v>
      </c>
      <c r="I49" s="1478">
        <f>H49/'T10'!K16*1000000</f>
        <v>5439.2442537338256</v>
      </c>
    </row>
    <row r="50" spans="1:12" x14ac:dyDescent="0.2">
      <c r="A50" s="435" t="s">
        <v>18</v>
      </c>
      <c r="B50" s="854">
        <f>'T10'!$L6</f>
        <v>136744</v>
      </c>
      <c r="C50" s="1209">
        <f>B50/'T10'!$K6*1000000</f>
        <v>2639.035508405721</v>
      </c>
      <c r="E50" s="854">
        <f>'Long-Term Trend'!G23</f>
        <v>25651</v>
      </c>
      <c r="F50" s="1209">
        <f>E50/Tref!B17*1000000</f>
        <v>4930.1351169540067</v>
      </c>
      <c r="H50" s="854">
        <f>'T10'!$L17</f>
        <v>11724</v>
      </c>
      <c r="I50" s="1209">
        <f>H50/'T10'!K17*1000000</f>
        <v>3874.5497207442413</v>
      </c>
    </row>
    <row r="51" spans="1:12" x14ac:dyDescent="0.2">
      <c r="A51" s="218" t="s">
        <v>19</v>
      </c>
      <c r="B51" s="854">
        <f>'T10'!$L7</f>
        <v>132941</v>
      </c>
      <c r="C51" s="1209">
        <f>B51/'T10'!$K7*1000000</f>
        <v>2546.9381030109357</v>
      </c>
      <c r="E51" s="854">
        <f>'Long-Term Trend'!G24</f>
        <v>22981</v>
      </c>
      <c r="F51" s="1209">
        <f>E51/Tref!B18*1000000</f>
        <v>4392.4769204304357</v>
      </c>
      <c r="H51" s="854">
        <f>'T10'!$L18</f>
        <v>11562</v>
      </c>
      <c r="I51" s="1209">
        <f>H51/'T10'!K18*1000000</f>
        <v>3804.6661620981272</v>
      </c>
    </row>
    <row r="52" spans="1:12" x14ac:dyDescent="0.2">
      <c r="A52" s="218" t="s">
        <v>20</v>
      </c>
      <c r="B52" s="854">
        <f>'T10'!$L8</f>
        <v>128477</v>
      </c>
      <c r="C52" s="1209">
        <f>B52/'T10'!$K8*1000000</f>
        <v>2440.5565845087144</v>
      </c>
      <c r="E52" s="854">
        <f>'Long-Term Trend'!G25</f>
        <v>24207</v>
      </c>
      <c r="F52" s="1209">
        <f>E52/Tref!B19*1000000</f>
        <v>4600.167230435939</v>
      </c>
      <c r="H52" s="854">
        <f>'T10'!$L19</f>
        <v>13503</v>
      </c>
      <c r="I52" s="1209">
        <f>H52/'T10'!K19*1000000</f>
        <v>4427.2131147540986</v>
      </c>
    </row>
    <row r="53" spans="1:12" x14ac:dyDescent="0.2">
      <c r="A53" s="218" t="s">
        <v>13</v>
      </c>
      <c r="B53" s="854">
        <f>'T10'!$L9</f>
        <v>131124</v>
      </c>
      <c r="C53" s="1209">
        <f>B53/'T10'!$K9*1000000</f>
        <v>2469.0437454808389</v>
      </c>
      <c r="E53" s="854">
        <f>'Long-Term Trend'!G26</f>
        <v>18681</v>
      </c>
      <c r="F53" s="1209">
        <f>E53/Tref!B20*1000000</f>
        <v>3524.7834864808769</v>
      </c>
      <c r="H53" s="854">
        <f>'T10'!$L20</f>
        <v>10162</v>
      </c>
      <c r="I53" s="1209">
        <f>H53/'T10'!K20*1000000</f>
        <v>3316.7961355179841</v>
      </c>
    </row>
    <row r="54" spans="1:12" x14ac:dyDescent="0.2">
      <c r="A54" s="218" t="s">
        <v>15</v>
      </c>
      <c r="B54" s="854">
        <f>'T10'!$L10</f>
        <v>72497</v>
      </c>
      <c r="C54" s="1209">
        <f>B54/'T10'!$K10*1000000</f>
        <v>1355.2437015947671</v>
      </c>
      <c r="E54" s="854">
        <f>'Long-Term Trend'!G27</f>
        <v>14278</v>
      </c>
      <c r="F54" s="1209">
        <f>E54/Tref!B21*1000000</f>
        <v>2687.0671484492623</v>
      </c>
      <c r="H54" s="854">
        <f>'T10'!$L21</f>
        <v>5922</v>
      </c>
      <c r="I54" s="1209">
        <f>H54/'T10'!K21*1000000</f>
        <v>1926.4174880452817</v>
      </c>
    </row>
    <row r="55" spans="1:12" x14ac:dyDescent="0.2">
      <c r="A55" s="218" t="s">
        <v>17</v>
      </c>
      <c r="B55" s="854">
        <f>'T10'!$L11</f>
        <v>92131</v>
      </c>
      <c r="C55" s="1209">
        <f>B55/'T10'!$K11*1000000</f>
        <v>1710.3802412662578</v>
      </c>
      <c r="E55" s="854">
        <f>'Long-Term Trend'!G28</f>
        <v>16360</v>
      </c>
      <c r="F55" s="1209">
        <f>E55/Tref!B22*1000000</f>
        <v>3070.7434727931377</v>
      </c>
      <c r="H55" s="854">
        <f>'T10'!$L22</f>
        <v>7801</v>
      </c>
      <c r="I55" s="1209">
        <f>H55/'T10'!K22*1000000</f>
        <v>2530.8201401505316</v>
      </c>
    </row>
    <row r="56" spans="1:12" x14ac:dyDescent="0.2">
      <c r="A56" s="218" t="s">
        <v>147</v>
      </c>
      <c r="B56" s="854">
        <f>'T10'!$L12</f>
        <v>78740</v>
      </c>
      <c r="C56" s="1209">
        <f>B56/'T10'!$K12*1000000</f>
        <v>1449.6489102778894</v>
      </c>
      <c r="E56" s="854">
        <f>'Long-Term Trend'!G29</f>
        <v>13406</v>
      </c>
      <c r="F56" s="1209">
        <f>E56/Tref!B23*1000000</f>
        <v>2506.91899169721</v>
      </c>
      <c r="H56" s="854">
        <f>'T10'!$L23</f>
        <v>6541</v>
      </c>
      <c r="I56" s="1209">
        <f>H56/'T10'!K23*1000000</f>
        <v>2115.4592496765845</v>
      </c>
    </row>
    <row r="57" spans="1:12" x14ac:dyDescent="0.2">
      <c r="A57" s="218" t="s">
        <v>160</v>
      </c>
      <c r="B57" s="854">
        <f>'T10'!$L13</f>
        <v>84582</v>
      </c>
      <c r="C57" s="1209">
        <f>B57/'T10'!$K13*1000000</f>
        <v>1543.8531165638124</v>
      </c>
      <c r="E57" s="854">
        <f>'Long-Term Trend'!G30</f>
        <v>14732</v>
      </c>
      <c r="F57" s="1209">
        <f>E57/Tref!B24*1000000</f>
        <v>2741.8574353247723</v>
      </c>
      <c r="H57" s="854">
        <f>'T10'!$L24</f>
        <v>6998</v>
      </c>
      <c r="I57" s="1209">
        <f>H57/'T10'!K24*1000000</f>
        <v>2258.0749249782198</v>
      </c>
    </row>
    <row r="58" spans="1:12" x14ac:dyDescent="0.2">
      <c r="A58" s="218" t="s">
        <v>379</v>
      </c>
      <c r="B58" s="854">
        <f>'T10'!$L14</f>
        <v>82842</v>
      </c>
      <c r="C58" s="1209">
        <f>B58/'T10'!$K14*1000000</f>
        <v>1498.9116687564797</v>
      </c>
      <c r="E58" s="854">
        <f>'Long-Term Trend'!G31</f>
        <v>15657</v>
      </c>
      <c r="F58" s="1209">
        <f>E58/Tref!B25*1000000</f>
        <v>2896.9230484578238</v>
      </c>
      <c r="H58" s="854">
        <f>'T10'!$L25</f>
        <v>5576</v>
      </c>
      <c r="I58" s="1209">
        <f>H58/'T10'!K25*1000000</f>
        <v>1791.0831298984967</v>
      </c>
    </row>
    <row r="59" spans="1:12" x14ac:dyDescent="0.2">
      <c r="A59" s="1482" t="s">
        <v>603</v>
      </c>
      <c r="B59" s="1059">
        <f>'T10'!$L15</f>
        <v>89017</v>
      </c>
      <c r="C59" s="1210">
        <f>B59/'T10'!$K15*1000000</f>
        <v>1600.466743618234</v>
      </c>
      <c r="D59" t="s">
        <v>143</v>
      </c>
      <c r="E59" s="1059">
        <f>'Long-Term Trend'!G32</f>
        <v>14698</v>
      </c>
      <c r="F59" s="1210">
        <f>E59/Tref!B26*1000000</f>
        <v>2709.4086417932458</v>
      </c>
      <c r="G59" t="s">
        <v>143</v>
      </c>
      <c r="H59" s="1059">
        <f>'T10'!$L26</f>
        <v>6299</v>
      </c>
      <c r="I59" s="1210">
        <f>H59/'T10'!K26*1000000</f>
        <v>2015.551004735697</v>
      </c>
      <c r="J59" t="s">
        <v>143</v>
      </c>
    </row>
    <row r="61" spans="1:12" x14ac:dyDescent="0.2">
      <c r="A61" s="1549" t="s">
        <v>162</v>
      </c>
      <c r="C61" s="188"/>
      <c r="F61" s="188"/>
      <c r="I61" s="188"/>
    </row>
    <row r="62" spans="1:12" x14ac:dyDescent="0.2">
      <c r="A62" s="136" t="s">
        <v>967</v>
      </c>
      <c r="B62" s="136"/>
      <c r="C62" s="136"/>
      <c r="D62" s="136"/>
      <c r="E62" s="136"/>
      <c r="F62" s="136"/>
      <c r="G62" s="136"/>
      <c r="H62" s="136"/>
      <c r="I62" s="136"/>
      <c r="J62" s="1484"/>
    </row>
    <row r="63" spans="1:12" x14ac:dyDescent="0.2">
      <c r="A63" s="136" t="s">
        <v>968</v>
      </c>
      <c r="B63" s="136"/>
      <c r="C63" s="136"/>
      <c r="D63" s="136"/>
      <c r="E63" s="136"/>
      <c r="F63" s="136"/>
      <c r="G63" s="136"/>
      <c r="H63" s="136"/>
      <c r="I63" s="136"/>
      <c r="J63" s="1484"/>
    </row>
    <row r="64" spans="1:12" ht="116.25" customHeight="1" x14ac:dyDescent="0.2">
      <c r="A64" s="1697" t="s">
        <v>1010</v>
      </c>
      <c r="B64" s="1697"/>
      <c r="C64" s="1697"/>
      <c r="D64" s="1697"/>
      <c r="E64" s="1697"/>
      <c r="F64" s="1697"/>
      <c r="G64" s="1697"/>
      <c r="H64" s="1697"/>
      <c r="I64" s="1697"/>
      <c r="L64" s="190"/>
    </row>
    <row r="65" spans="1:9" x14ac:dyDescent="0.2">
      <c r="A65" t="s">
        <v>1013</v>
      </c>
      <c r="B65" s="710"/>
      <c r="C65" s="1"/>
      <c r="D65" s="1"/>
      <c r="E65" s="710"/>
      <c r="F65" s="1"/>
      <c r="G65" s="1"/>
      <c r="H65" s="710"/>
      <c r="I65" s="1"/>
    </row>
    <row r="67" spans="1:9" x14ac:dyDescent="0.2">
      <c r="A67" s="1668" t="s">
        <v>370</v>
      </c>
      <c r="B67" s="1668"/>
    </row>
  </sheetData>
  <sheetProtection algorithmName="SHA-512" hashValue="xPp28SdQ1zBZmhl9tGypo9ThtWXidZ9MB8aY/FG1utipzNVUdGnK+fTyOejijXi8auCPk9bFkdzxNp0xJNDNhA==" saltValue="2cUvsKTxmdUBueKOhCfwkw==" spinCount="100000" sheet="1" objects="1" scenarios="1"/>
  <mergeCells count="18">
    <mergeCell ref="A43:I43"/>
    <mergeCell ref="E47:F47"/>
    <mergeCell ref="H47:I47"/>
    <mergeCell ref="A67:B67"/>
    <mergeCell ref="A42:I42"/>
    <mergeCell ref="A64:I64"/>
    <mergeCell ref="B47:C47"/>
    <mergeCell ref="A45:J45"/>
    <mergeCell ref="A1:J1"/>
    <mergeCell ref="B3:C3"/>
    <mergeCell ref="E3:F3"/>
    <mergeCell ref="H3:I3"/>
    <mergeCell ref="B25:C25"/>
    <mergeCell ref="E25:F25"/>
    <mergeCell ref="H25:I25"/>
    <mergeCell ref="A21:I21"/>
    <mergeCell ref="A20:I20"/>
    <mergeCell ref="A23:J23"/>
  </mergeCells>
  <hyperlinks>
    <hyperlink ref="A67:B67" location="Contents!A1" display="Returm to contents" xr:uid="{00000000-0004-0000-3100-000000000000}"/>
  </hyperlinks>
  <pageMargins left="0.70866141732283472" right="0.70866141732283472" top="0.74803149606299213" bottom="0.74803149606299213" header="0.31496062992125984" footer="0.31496062992125984"/>
  <pageSetup paperSize="9" scale="58"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0">
    <tabColor rgb="FF960000"/>
  </sheetPr>
  <dimension ref="A1:E27"/>
  <sheetViews>
    <sheetView showGridLines="0" zoomScaleNormal="100" workbookViewId="0"/>
  </sheetViews>
  <sheetFormatPr defaultRowHeight="12.75" x14ac:dyDescent="0.2"/>
  <cols>
    <col min="2" max="2" width="16.140625" bestFit="1" customWidth="1"/>
  </cols>
  <sheetData>
    <row r="1" spans="1:5" ht="38.25" customHeight="1" x14ac:dyDescent="0.35">
      <c r="A1" s="1259" t="str">
        <f>"Primary Fires Per Million Population, Great Britain, 2008-09 to 2017-18"</f>
        <v>Primary Fires Per Million Population, Great Britain, 2008-09 to 2017-18</v>
      </c>
    </row>
    <row r="3" spans="1:5" x14ac:dyDescent="0.2">
      <c r="A3" s="386"/>
    </row>
    <row r="6" spans="1:5" x14ac:dyDescent="0.2">
      <c r="B6" t="s">
        <v>4</v>
      </c>
      <c r="C6" t="s">
        <v>126</v>
      </c>
      <c r="D6" t="s">
        <v>53</v>
      </c>
      <c r="E6" t="s">
        <v>127</v>
      </c>
    </row>
    <row r="7" spans="1:5" x14ac:dyDescent="0.2">
      <c r="B7" s="768" t="str">
        <f>'10b 10c 10d'!A27</f>
        <v>2007-08</v>
      </c>
      <c r="C7" s="768">
        <f>'10b 10c 10d'!C27</f>
        <v>2243.4513858208561</v>
      </c>
      <c r="D7" s="768">
        <f>'10b 10c 10d'!F27</f>
        <v>2634.0425531914893</v>
      </c>
      <c r="E7" s="768">
        <f>'10b 10c 10d'!I27</f>
        <v>2557.628979143798</v>
      </c>
    </row>
    <row r="8" spans="1:5" x14ac:dyDescent="0.2">
      <c r="B8" s="768" t="str">
        <f>'10b 10c 10d'!A28</f>
        <v>2008-09</v>
      </c>
      <c r="C8" s="768">
        <f>'10b 10c 10d'!C28</f>
        <v>2013.8220121622901</v>
      </c>
      <c r="D8" s="768">
        <f>'10b 10c 10d'!F28</f>
        <v>2532.0494339695174</v>
      </c>
      <c r="E8" s="768">
        <f>'10b 10c 10d'!I28</f>
        <v>2308.4041111735351</v>
      </c>
    </row>
    <row r="9" spans="1:5" x14ac:dyDescent="0.2">
      <c r="B9" s="768" t="str">
        <f>'10b 10c 10d'!A29</f>
        <v>2009-10</v>
      </c>
      <c r="C9" s="768">
        <f>'10b 10c 10d'!C29</f>
        <v>1938.0455357074434</v>
      </c>
      <c r="D9" s="768">
        <f>'10b 10c 10d'!F29</f>
        <v>2679.3325560503831</v>
      </c>
      <c r="E9" s="768">
        <f>'10b 10c 10d'!I29</f>
        <v>2237.6517818947646</v>
      </c>
    </row>
    <row r="10" spans="1:5" x14ac:dyDescent="0.2">
      <c r="B10" s="768" t="str">
        <f>'10b 10c 10d'!A30</f>
        <v>2010-11</v>
      </c>
      <c r="C10" s="768">
        <f>'10b 10c 10d'!C30</f>
        <v>1752.2913995345966</v>
      </c>
      <c r="D10" s="768">
        <f>'10b 10c 10d'!F30</f>
        <v>2508.0764699175252</v>
      </c>
      <c r="E10" s="768">
        <f>'10b 10c 10d'!I30</f>
        <v>2102.9508196721313</v>
      </c>
    </row>
    <row r="11" spans="1:5" x14ac:dyDescent="0.2">
      <c r="B11" s="768" t="str">
        <f>'10b 10c 10d'!A31</f>
        <v>2011-12</v>
      </c>
      <c r="C11" s="768">
        <f>'10b 10c 10d'!C31</f>
        <v>1637.8570137382503</v>
      </c>
      <c r="D11" s="768">
        <f>'10b 10c 10d'!F31</f>
        <v>2342.30834544048</v>
      </c>
      <c r="E11" s="768">
        <f>'10b 10c 10d'!I31</f>
        <v>1856.1916574188915</v>
      </c>
    </row>
    <row r="12" spans="1:5" x14ac:dyDescent="0.2">
      <c r="B12" s="768" t="str">
        <f>'10b 10c 10d'!A32</f>
        <v>2012-13</v>
      </c>
      <c r="C12" s="768">
        <f>'10b 10c 10d'!C32</f>
        <v>1396.5943653177851</v>
      </c>
      <c r="D12" s="768">
        <f>'10b 10c 10d'!F32</f>
        <v>2087.6618488407107</v>
      </c>
      <c r="E12" s="768">
        <f>'10b 10c 10d'!I32</f>
        <v>1543.5411990501284</v>
      </c>
    </row>
    <row r="13" spans="1:5" x14ac:dyDescent="0.2">
      <c r="B13" s="768" t="str">
        <f>'10b 10c 10d'!A33</f>
        <v>2013-14</v>
      </c>
      <c r="C13" s="768">
        <f>'10b 10c 10d'!C33</f>
        <v>1359.3968714843184</v>
      </c>
      <c r="D13" s="768">
        <f>'10b 10c 10d'!F33</f>
        <v>1978.1519229686355</v>
      </c>
      <c r="E13" s="768">
        <f>'10b 10c 10d'!I33</f>
        <v>1553.9839086426161</v>
      </c>
    </row>
    <row r="14" spans="1:5" x14ac:dyDescent="0.2">
      <c r="B14" s="768" t="str">
        <f>'10b 10c 10d'!A34</f>
        <v>2014-15</v>
      </c>
      <c r="C14" s="768">
        <f>'10b 10c 10d'!C34</f>
        <v>1309.213021433595</v>
      </c>
      <c r="D14" s="768">
        <f>'10b 10c 10d'!F34</f>
        <v>1990.2386117136659</v>
      </c>
      <c r="E14" s="768">
        <f>'10b 10c 10d'!I34</f>
        <v>1475.0970245795602</v>
      </c>
    </row>
    <row r="15" spans="1:5" x14ac:dyDescent="0.2">
      <c r="B15" s="768" t="str">
        <f>'10b 10c 10d'!A35</f>
        <v>2015-16</v>
      </c>
      <c r="C15" s="768">
        <f>'10b 10c 10d'!C35</f>
        <v>1340.9191713986893</v>
      </c>
      <c r="D15" s="768">
        <f>'10b 10c 10d'!F35</f>
        <v>2049.6929089893911</v>
      </c>
      <c r="E15" s="768">
        <f>'10b 10c 10d'!I35</f>
        <v>1509.4704914329966</v>
      </c>
    </row>
    <row r="16" spans="1:5" x14ac:dyDescent="0.2">
      <c r="B16" s="768" t="str">
        <f>'10b 10c 10d'!A36</f>
        <v>2016-17</v>
      </c>
      <c r="C16" s="768">
        <f>'10b 10c 10d'!C36</f>
        <v>1355.4654493279124</v>
      </c>
      <c r="D16" s="768">
        <f>'10b 10c 10d'!F36</f>
        <v>2017.5032841785851</v>
      </c>
      <c r="E16" s="768">
        <f>'10b 10c 10d'!I36</f>
        <v>1528.0097648721573</v>
      </c>
    </row>
    <row r="17" spans="2:5" x14ac:dyDescent="0.2">
      <c r="B17" s="768" t="str">
        <f>'10b 10c 10d'!A37</f>
        <v>2017-18</v>
      </c>
      <c r="C17" s="768">
        <f>'10b 10c 10d'!C37</f>
        <v>1332.5925846017758</v>
      </c>
      <c r="D17" s="768">
        <f>'10b 10c 10d'!F37</f>
        <v>1963.9433711841912</v>
      </c>
      <c r="E17" s="768">
        <f>'10b 10c 10d'!I37</f>
        <v>1380.7116344553949</v>
      </c>
    </row>
    <row r="19" spans="2:5" x14ac:dyDescent="0.2">
      <c r="B19" s="768"/>
      <c r="C19" s="768"/>
    </row>
    <row r="20" spans="2:5" x14ac:dyDescent="0.2">
      <c r="B20" s="768"/>
      <c r="C20" s="768"/>
    </row>
    <row r="21" spans="2:5" x14ac:dyDescent="0.2">
      <c r="B21" s="768"/>
      <c r="C21" s="768"/>
    </row>
    <row r="22" spans="2:5" x14ac:dyDescent="0.2">
      <c r="B22" s="768"/>
      <c r="C22" s="768"/>
    </row>
    <row r="23" spans="2:5" x14ac:dyDescent="0.2">
      <c r="B23" s="768"/>
      <c r="C23" s="768"/>
    </row>
    <row r="24" spans="2:5" x14ac:dyDescent="0.2">
      <c r="B24" s="768"/>
      <c r="C24" s="768"/>
    </row>
    <row r="25" spans="2:5" x14ac:dyDescent="0.2">
      <c r="B25" s="768"/>
      <c r="C25" s="768"/>
    </row>
    <row r="26" spans="2:5" x14ac:dyDescent="0.2">
      <c r="B26" s="768"/>
      <c r="C26" s="768"/>
    </row>
    <row r="27" spans="2:5" x14ac:dyDescent="0.2">
      <c r="B27" s="768"/>
      <c r="C27" s="768"/>
    </row>
  </sheetData>
  <sheetProtection algorithmName="SHA-512" hashValue="h7heMMRQ0uOGqiD6XT2GM3M2cNnqScqGQRMh4LAk37c0QTy60/JbuPH/hjcxIZUNPtIxwxt0zlzhmUQZ4hA+bQ==" saltValue="ILU80pPbPMR6oR6XTY8Kkw==" spinCount="100000" sheet="1" objects="1" scenarios="1"/>
  <pageMargins left="0.25" right="0.25"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1">
    <tabColor rgb="FF960000"/>
    <pageSetUpPr fitToPage="1"/>
  </sheetPr>
  <dimension ref="A1:E27"/>
  <sheetViews>
    <sheetView showGridLines="0" workbookViewId="0"/>
  </sheetViews>
  <sheetFormatPr defaultRowHeight="12.75" x14ac:dyDescent="0.2"/>
  <sheetData>
    <row r="1" spans="1:5" ht="38.25" customHeight="1" x14ac:dyDescent="0.35">
      <c r="A1" s="1259" t="str">
        <f>"Secondary Fires Per Million Population, Great Britain, 2008-09 to 2017-18"</f>
        <v>Secondary Fires Per Million Population, Great Britain, 2008-09 to 2017-18</v>
      </c>
    </row>
    <row r="3" spans="1:5" x14ac:dyDescent="0.2">
      <c r="A3" s="386"/>
    </row>
    <row r="6" spans="1:5" x14ac:dyDescent="0.2">
      <c r="B6" t="s">
        <v>4</v>
      </c>
      <c r="C6" t="s">
        <v>126</v>
      </c>
      <c r="D6" t="s">
        <v>53</v>
      </c>
      <c r="E6" t="s">
        <v>127</v>
      </c>
    </row>
    <row r="7" spans="1:5" x14ac:dyDescent="0.2">
      <c r="B7" s="768" t="str">
        <f>'10b 10c 10d'!A49</f>
        <v>2007-08</v>
      </c>
      <c r="C7" s="768">
        <f>'10b 10c 10d'!C49</f>
        <v>3353.4899019289196</v>
      </c>
      <c r="D7" s="768">
        <f>'10b 10c 10d'!F49</f>
        <v>5877.1760154738886</v>
      </c>
      <c r="E7" s="768">
        <f>'10b 10c 10d'!I49</f>
        <v>5439.2442537338256</v>
      </c>
    </row>
    <row r="8" spans="1:5" x14ac:dyDescent="0.2">
      <c r="B8" s="768" t="str">
        <f>'10b 10c 10d'!A50</f>
        <v>2008-09</v>
      </c>
      <c r="C8" s="768">
        <f>'10b 10c 10d'!C50</f>
        <v>2639.035508405721</v>
      </c>
      <c r="D8" s="768">
        <f>'10b 10c 10d'!F50</f>
        <v>4930.1351169540067</v>
      </c>
      <c r="E8" s="768">
        <f>'10b 10c 10d'!I50</f>
        <v>3874.5497207442413</v>
      </c>
    </row>
    <row r="9" spans="1:5" x14ac:dyDescent="0.2">
      <c r="B9" s="768" t="str">
        <f>'10b 10c 10d'!A51</f>
        <v>2009-10</v>
      </c>
      <c r="C9" s="768">
        <f>'10b 10c 10d'!C51</f>
        <v>2546.9381030109357</v>
      </c>
      <c r="D9" s="768">
        <f>'10b 10c 10d'!F51</f>
        <v>4392.4769204304357</v>
      </c>
      <c r="E9" s="768">
        <f>'10b 10c 10d'!I51</f>
        <v>3804.6661620981272</v>
      </c>
    </row>
    <row r="10" spans="1:5" x14ac:dyDescent="0.2">
      <c r="B10" s="768" t="str">
        <f>'10b 10c 10d'!A52</f>
        <v>2010-11</v>
      </c>
      <c r="C10" s="768">
        <f>'10b 10c 10d'!C52</f>
        <v>2440.5565845087144</v>
      </c>
      <c r="D10" s="768">
        <f>'10b 10c 10d'!F52</f>
        <v>4600.167230435939</v>
      </c>
      <c r="E10" s="768">
        <f>'10b 10c 10d'!I52</f>
        <v>4427.2131147540986</v>
      </c>
    </row>
    <row r="11" spans="1:5" x14ac:dyDescent="0.2">
      <c r="B11" s="768" t="str">
        <f>'10b 10c 10d'!A53</f>
        <v>2011-12</v>
      </c>
      <c r="C11" s="768">
        <f>'10b 10c 10d'!C53</f>
        <v>2469.0437454808389</v>
      </c>
      <c r="D11" s="768">
        <f>'10b 10c 10d'!F53</f>
        <v>3524.7834864808769</v>
      </c>
      <c r="E11" s="768">
        <f>'10b 10c 10d'!I53</f>
        <v>3316.7961355179841</v>
      </c>
    </row>
    <row r="12" spans="1:5" x14ac:dyDescent="0.2">
      <c r="B12" s="768" t="str">
        <f>'10b 10c 10d'!A54</f>
        <v>2012-13</v>
      </c>
      <c r="C12" s="768">
        <f>'10b 10c 10d'!C54</f>
        <v>1355.2437015947671</v>
      </c>
      <c r="D12" s="768">
        <f>'10b 10c 10d'!F54</f>
        <v>2687.0671484492623</v>
      </c>
      <c r="E12" s="768">
        <f>'10b 10c 10d'!I54</f>
        <v>1926.4174880452817</v>
      </c>
    </row>
    <row r="13" spans="1:5" x14ac:dyDescent="0.2">
      <c r="B13" s="768" t="str">
        <f>'10b 10c 10d'!A55</f>
        <v>2013-14</v>
      </c>
      <c r="C13" s="768">
        <f>'10b 10c 10d'!C55</f>
        <v>1710.3802412662578</v>
      </c>
      <c r="D13" s="768">
        <f>'10b 10c 10d'!F55</f>
        <v>3070.7434727931377</v>
      </c>
      <c r="E13" s="768">
        <f>'10b 10c 10d'!I55</f>
        <v>2530.8201401505316</v>
      </c>
    </row>
    <row r="14" spans="1:5" x14ac:dyDescent="0.2">
      <c r="B14" s="768" t="str">
        <f>'10b 10c 10d'!A56</f>
        <v>2014-15</v>
      </c>
      <c r="C14" s="768">
        <f>'10b 10c 10d'!C56</f>
        <v>1449.6489102778894</v>
      </c>
      <c r="D14" s="768">
        <f>'10b 10c 10d'!F56</f>
        <v>2506.91899169721</v>
      </c>
      <c r="E14" s="768">
        <f>'10b 10c 10d'!I56</f>
        <v>2115.4592496765845</v>
      </c>
    </row>
    <row r="15" spans="1:5" x14ac:dyDescent="0.2">
      <c r="B15" s="768" t="str">
        <f>'10b 10c 10d'!A57</f>
        <v>2015-16</v>
      </c>
      <c r="C15" s="768">
        <f>'10b 10c 10d'!C57</f>
        <v>1543.8531165638124</v>
      </c>
      <c r="D15" s="768">
        <f>'10b 10c 10d'!F57</f>
        <v>2741.8574353247723</v>
      </c>
      <c r="E15" s="768">
        <f>'10b 10c 10d'!I57</f>
        <v>2258.0749249782198</v>
      </c>
    </row>
    <row r="16" spans="1:5" x14ac:dyDescent="0.2">
      <c r="B16" s="768" t="str">
        <f>'10b 10c 10d'!A58</f>
        <v>2016-17</v>
      </c>
      <c r="C16" s="768">
        <f>'10b 10c 10d'!C58</f>
        <v>1498.9116687564797</v>
      </c>
      <c r="D16" s="768">
        <f>'10b 10c 10d'!F58</f>
        <v>2896.9230484578238</v>
      </c>
      <c r="E16" s="768">
        <f>'10b 10c 10d'!I58</f>
        <v>1791.0831298984967</v>
      </c>
    </row>
    <row r="17" spans="2:5" x14ac:dyDescent="0.2">
      <c r="B17" s="768" t="str">
        <f>'10b 10c 10d'!A59</f>
        <v>2017-18</v>
      </c>
      <c r="C17" s="768">
        <f>'10b 10c 10d'!C59</f>
        <v>1600.466743618234</v>
      </c>
      <c r="D17" s="768">
        <f>'10b 10c 10d'!F59</f>
        <v>2709.4086417932458</v>
      </c>
      <c r="E17" s="768">
        <f>'10b 10c 10d'!I59</f>
        <v>2015.551004735697</v>
      </c>
    </row>
    <row r="18" spans="2:5" x14ac:dyDescent="0.2">
      <c r="B18" s="768"/>
      <c r="C18" s="768"/>
      <c r="D18" s="768"/>
      <c r="E18" s="768"/>
    </row>
    <row r="19" spans="2:5" x14ac:dyDescent="0.2">
      <c r="B19" s="768"/>
      <c r="C19" s="768"/>
    </row>
    <row r="20" spans="2:5" x14ac:dyDescent="0.2">
      <c r="B20" s="768"/>
      <c r="C20" s="768"/>
    </row>
    <row r="21" spans="2:5" x14ac:dyDescent="0.2">
      <c r="B21" s="768"/>
      <c r="C21" s="768"/>
    </row>
    <row r="22" spans="2:5" x14ac:dyDescent="0.2">
      <c r="B22" s="768"/>
      <c r="C22" s="768"/>
    </row>
    <row r="23" spans="2:5" x14ac:dyDescent="0.2">
      <c r="B23" s="768"/>
      <c r="C23" s="768"/>
    </row>
    <row r="24" spans="2:5" x14ac:dyDescent="0.2">
      <c r="B24" s="768"/>
      <c r="C24" s="768"/>
    </row>
    <row r="25" spans="2:5" x14ac:dyDescent="0.2">
      <c r="B25" s="768"/>
      <c r="C25" s="768"/>
    </row>
    <row r="26" spans="2:5" x14ac:dyDescent="0.2">
      <c r="B26" s="768"/>
      <c r="C26" s="768"/>
    </row>
    <row r="27" spans="2:5" x14ac:dyDescent="0.2">
      <c r="B27" s="768"/>
      <c r="C27" s="768"/>
    </row>
  </sheetData>
  <sheetProtection algorithmName="SHA-512" hashValue="TV01MGmbOSgUbgzEVIwp1D8z+aKfSu9GVkubXeNdMYMp6qmZcFpcZ50Td0/4XkuTwGptxcdxddjQo0ps95bC0Q==" saltValue="7IYSfDTfvyN9TnzTZDpbFQ==" spinCount="100000" sheet="1" objects="1" scenarios="1"/>
  <pageMargins left="0.7" right="0.7" top="0.75" bottom="0.75" header="0.3" footer="0.3"/>
  <pageSetup paperSize="9" scale="88"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2">
    <tabColor rgb="FF960000"/>
  </sheetPr>
  <dimension ref="A1:E27"/>
  <sheetViews>
    <sheetView showGridLines="0" zoomScaleNormal="100" workbookViewId="0"/>
  </sheetViews>
  <sheetFormatPr defaultRowHeight="12.75" x14ac:dyDescent="0.2"/>
  <cols>
    <col min="2" max="2" width="16.140625" bestFit="1" customWidth="1"/>
  </cols>
  <sheetData>
    <row r="1" spans="1:5" ht="38.25" customHeight="1" x14ac:dyDescent="0.35">
      <c r="A1" s="1259" t="str">
        <f>"Fire Fatalities Per Million Population, Great Britain, 2011-12 to 2017-18"</f>
        <v>Fire Fatalities Per Million Population, Great Britain, 2011-12 to 2017-18</v>
      </c>
    </row>
    <row r="3" spans="1:5" x14ac:dyDescent="0.2">
      <c r="A3" s="386"/>
    </row>
    <row r="4" spans="1:5" x14ac:dyDescent="0.2">
      <c r="B4" t="s">
        <v>4</v>
      </c>
      <c r="C4" t="s">
        <v>126</v>
      </c>
      <c r="D4" t="s">
        <v>53</v>
      </c>
      <c r="E4" t="s">
        <v>127</v>
      </c>
    </row>
    <row r="5" spans="1:5" x14ac:dyDescent="0.2">
      <c r="B5" s="1340" t="str">
        <f>'10 10a'!A9</f>
        <v>2011-12</v>
      </c>
      <c r="C5" s="1258">
        <f>'10 10a'!C9</f>
        <v>5.9313991323210411</v>
      </c>
      <c r="D5" s="1258">
        <f>'10 10a'!F9</f>
        <v>11.132285514821033</v>
      </c>
      <c r="E5" s="1258">
        <f>'10 10a'!I9</f>
        <v>7.5070174293361189</v>
      </c>
    </row>
    <row r="6" spans="1:5" x14ac:dyDescent="0.2">
      <c r="B6" s="1340" t="str">
        <f>'10 10a'!A10</f>
        <v>2012-13</v>
      </c>
      <c r="C6" s="1258">
        <f>'10 10a'!C10</f>
        <v>5.3464239714209336</v>
      </c>
      <c r="D6" s="1258">
        <f>'10 10a'!F10</f>
        <v>8.6570310147545921</v>
      </c>
      <c r="E6" s="1258">
        <f>'10 10a'!I10</f>
        <v>5.5300738427507241</v>
      </c>
    </row>
    <row r="7" spans="1:5" x14ac:dyDescent="0.2">
      <c r="B7" s="1340" t="str">
        <f>'10 10a'!A11</f>
        <v>2013-14</v>
      </c>
      <c r="C7" s="1258">
        <f>'10 10a'!C11</f>
        <v>5.123844814334884</v>
      </c>
      <c r="D7" s="1258">
        <f>'10 10a'!F11</f>
        <v>5.8186459447791732</v>
      </c>
      <c r="E7" s="1258">
        <f>'10 10a'!I11</f>
        <v>5.5151829743057359</v>
      </c>
    </row>
    <row r="8" spans="1:5" x14ac:dyDescent="0.2">
      <c r="B8" s="1340" t="str">
        <f>'10 10a'!A12</f>
        <v>2014-15</v>
      </c>
      <c r="C8" s="1258">
        <f>'10 10a'!C12</f>
        <v>4.8419820091831962</v>
      </c>
      <c r="D8" s="1258">
        <f>'10 10a'!F12</f>
        <v>7.4799910240107712</v>
      </c>
      <c r="E8" s="1258">
        <f>'10 10a'!I12</f>
        <v>6.4683053040103493</v>
      </c>
    </row>
    <row r="9" spans="1:5" x14ac:dyDescent="0.2">
      <c r="B9" s="1340" t="str">
        <f>'10 10a'!A13</f>
        <v>2015-16</v>
      </c>
      <c r="C9" s="1258">
        <f>'10 10a'!C13</f>
        <v>5.5305797252232765</v>
      </c>
      <c r="D9" s="1258">
        <f>'10 10a'!F13</f>
        <v>8.3752093802345069</v>
      </c>
      <c r="E9" s="1258">
        <f>'10 10a'!I13</f>
        <v>6.1308121712755312</v>
      </c>
    </row>
    <row r="10" spans="1:5" x14ac:dyDescent="0.2">
      <c r="B10" s="1340" t="str">
        <f>'10 10a'!A14</f>
        <v>2016-17</v>
      </c>
      <c r="C10" s="1258">
        <f>'10 10a'!C14</f>
        <v>4.7586220622746209</v>
      </c>
      <c r="D10" s="1258">
        <f>'10 10a'!F14</f>
        <v>8.1410624086443288</v>
      </c>
      <c r="E10" s="1258">
        <f>'10 10a'!I14</f>
        <v>6.1030450982911466</v>
      </c>
    </row>
    <row r="11" spans="1:5" x14ac:dyDescent="0.2">
      <c r="B11" s="1340" t="str">
        <f>'10 10a'!A15</f>
        <v>2017-18</v>
      </c>
      <c r="C11" s="1258">
        <f>'10 10a'!C15</f>
        <v>6.0050989402978097</v>
      </c>
      <c r="D11" s="1258">
        <f>'10 10a'!F15</f>
        <v>8.1108980976257197</v>
      </c>
      <c r="E11" s="1258">
        <f>'10 10a'!I15</f>
        <v>4.7996928196595414</v>
      </c>
    </row>
    <row r="12" spans="1:5" x14ac:dyDescent="0.2">
      <c r="B12" s="768"/>
      <c r="C12" s="768"/>
    </row>
    <row r="13" spans="1:5" x14ac:dyDescent="0.2">
      <c r="B13" s="768"/>
      <c r="C13" s="768"/>
    </row>
    <row r="14" spans="1:5" x14ac:dyDescent="0.2">
      <c r="B14" s="768"/>
      <c r="C14" s="768"/>
    </row>
    <row r="15" spans="1:5" x14ac:dyDescent="0.2">
      <c r="B15" s="768"/>
      <c r="C15" s="768"/>
    </row>
    <row r="16" spans="1:5" x14ac:dyDescent="0.2">
      <c r="B16" s="768"/>
      <c r="C16" s="768"/>
    </row>
    <row r="17" spans="2:3" x14ac:dyDescent="0.2">
      <c r="B17" s="768"/>
      <c r="C17" s="768"/>
    </row>
    <row r="18" spans="2:3" x14ac:dyDescent="0.2">
      <c r="B18" s="768"/>
      <c r="C18" s="768"/>
    </row>
    <row r="19" spans="2:3" x14ac:dyDescent="0.2">
      <c r="B19" s="768"/>
      <c r="C19" s="768"/>
    </row>
    <row r="20" spans="2:3" x14ac:dyDescent="0.2">
      <c r="B20" s="768"/>
      <c r="C20" s="768"/>
    </row>
    <row r="21" spans="2:3" x14ac:dyDescent="0.2">
      <c r="B21" s="768"/>
      <c r="C21" s="768"/>
    </row>
    <row r="22" spans="2:3" x14ac:dyDescent="0.2">
      <c r="B22" s="768"/>
      <c r="C22" s="768"/>
    </row>
    <row r="23" spans="2:3" x14ac:dyDescent="0.2">
      <c r="B23" s="768"/>
      <c r="C23" s="768"/>
    </row>
    <row r="24" spans="2:3" x14ac:dyDescent="0.2">
      <c r="B24" s="768"/>
      <c r="C24" s="768"/>
    </row>
    <row r="25" spans="2:3" x14ac:dyDescent="0.2">
      <c r="B25" s="768"/>
      <c r="C25" s="768"/>
    </row>
    <row r="26" spans="2:3" x14ac:dyDescent="0.2">
      <c r="B26" s="768"/>
      <c r="C26" s="768"/>
    </row>
    <row r="27" spans="2:3" x14ac:dyDescent="0.2">
      <c r="B27" s="768"/>
      <c r="C27" s="768"/>
    </row>
  </sheetData>
  <sheetProtection algorithmName="SHA-512" hashValue="waOHLCN4gDdtPIYvu4kVOvnml1s2Hei54fIZ7XmUFOxjVU3DaTNSU4uZ3e44ztU8YuZd7SZAELK9ySwdrnE1Dg==" saltValue="DdZUlXd1ZbUxTNS9g7EdDA==" spinCount="100000" sheet="1" objects="1" scenarios="1"/>
  <pageMargins left="0.25" right="0.25"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3">
    <tabColor rgb="FF960000"/>
    <pageSetUpPr fitToPage="1"/>
  </sheetPr>
  <dimension ref="A1:E27"/>
  <sheetViews>
    <sheetView showGridLines="0" zoomScaleNormal="100" workbookViewId="0"/>
  </sheetViews>
  <sheetFormatPr defaultRowHeight="12.75" x14ac:dyDescent="0.2"/>
  <cols>
    <col min="2" max="2" width="16.140625" bestFit="1" customWidth="1"/>
  </cols>
  <sheetData>
    <row r="1" spans="1:5" ht="38.25" customHeight="1" x14ac:dyDescent="0.35">
      <c r="A1" s="1259" t="str">
        <f>"Non-Fatal Fire Casualties Per Million Population, Great Britain, 2011-12 to 2017-18"</f>
        <v>Non-Fatal Fire Casualties Per Million Population, Great Britain, 2011-12 to 2017-18</v>
      </c>
    </row>
    <row r="3" spans="1:5" x14ac:dyDescent="0.2">
      <c r="A3" s="386"/>
    </row>
    <row r="4" spans="1:5" x14ac:dyDescent="0.2">
      <c r="B4" t="s">
        <v>4</v>
      </c>
      <c r="C4" t="s">
        <v>126</v>
      </c>
      <c r="D4" t="s">
        <v>53</v>
      </c>
      <c r="E4" t="s">
        <v>127</v>
      </c>
    </row>
    <row r="5" spans="1:5" x14ac:dyDescent="0.2">
      <c r="B5" s="1340" t="str">
        <f>'10 10a'!A27</f>
        <v>2007-08</v>
      </c>
      <c r="C5" s="1258">
        <f>'10 10a'!C27</f>
        <v>200.83260187111603</v>
      </c>
      <c r="D5" s="1258">
        <f>'10 10a'!F27</f>
        <v>332.49516441005801</v>
      </c>
      <c r="E5" s="1258">
        <f>'10 10a'!I27</f>
        <v>210.22519375977114</v>
      </c>
    </row>
    <row r="6" spans="1:5" x14ac:dyDescent="0.2">
      <c r="B6" s="1340" t="str">
        <f>'10 10a'!A28</f>
        <v>2008-09</v>
      </c>
      <c r="C6" s="1258">
        <f>'10 10a'!C28</f>
        <v>178.07275373003267</v>
      </c>
      <c r="D6" s="1258">
        <f>'10 10a'!F28</f>
        <v>316.7464298756463</v>
      </c>
      <c r="E6" s="1258">
        <f>'10 10a'!I28</f>
        <v>217.12548332727454</v>
      </c>
    </row>
    <row r="7" spans="1:5" x14ac:dyDescent="0.2">
      <c r="B7" s="1340" t="str">
        <f>'10 10a'!A29</f>
        <v>2009-10</v>
      </c>
      <c r="C7" s="1258">
        <f>'10 10a'!C29</f>
        <v>169.82014085262583</v>
      </c>
      <c r="D7" s="1258">
        <f>'10 10a'!F29</f>
        <v>232.03807412221181</v>
      </c>
      <c r="E7" s="1258">
        <f>'10 10a'!I29</f>
        <v>189.21320214551318</v>
      </c>
    </row>
    <row r="8" spans="1:5" x14ac:dyDescent="0.2">
      <c r="B8" s="1340" t="str">
        <f>'10 10a'!A30</f>
        <v>2010-11</v>
      </c>
      <c r="C8" s="1258">
        <f>'10 10a'!C30</f>
        <v>178.50596001329723</v>
      </c>
      <c r="D8" s="1258">
        <f>'10 10a'!F30</f>
        <v>252.36593059936911</v>
      </c>
      <c r="E8" s="1258">
        <f>'10 10a'!I30</f>
        <v>199.01639344262296</v>
      </c>
    </row>
    <row r="9" spans="1:5" x14ac:dyDescent="0.2">
      <c r="B9" s="1340" t="str">
        <f>'10 10a'!A31</f>
        <v>2011-12</v>
      </c>
      <c r="C9" s="1258">
        <f>'10 10a'!C31</f>
        <v>176.52973608098335</v>
      </c>
      <c r="D9" s="1258">
        <f>'10 10a'!F31</f>
        <v>267.17485235570479</v>
      </c>
      <c r="E9" s="1258">
        <f>'10 10a'!I31</f>
        <v>193.22410078986877</v>
      </c>
    </row>
    <row r="10" spans="1:5" x14ac:dyDescent="0.2">
      <c r="B10" s="1340" t="str">
        <f>'10 10a'!A32</f>
        <v>2012-13</v>
      </c>
      <c r="C10" s="1258">
        <f>'10 10a'!C32</f>
        <v>157.56995683603864</v>
      </c>
      <c r="D10" s="1258">
        <f>'10 10a'!F32</f>
        <v>248.23095453176754</v>
      </c>
      <c r="E10" s="1258">
        <f>'10 10a'!I32</f>
        <v>175.98646758400832</v>
      </c>
    </row>
    <row r="11" spans="1:5" x14ac:dyDescent="0.2">
      <c r="B11" s="1340" t="str">
        <f>'10 10a'!A33</f>
        <v>2013-14</v>
      </c>
      <c r="C11" s="1258">
        <f>'10 10a'!C33</f>
        <v>145.1013444523241</v>
      </c>
      <c r="D11" s="1258">
        <f>'10 10a'!F33</f>
        <v>246.07241398727405</v>
      </c>
      <c r="E11" s="1258">
        <f>'10 10a'!I33</f>
        <v>203.08850246561121</v>
      </c>
    </row>
    <row r="12" spans="1:5" x14ac:dyDescent="0.2">
      <c r="B12" s="1340" t="str">
        <f>'10 10a'!A34</f>
        <v>2014-15</v>
      </c>
      <c r="C12" s="1258">
        <f>'10 10a'!C34</f>
        <v>139.69946572502698</v>
      </c>
      <c r="D12" s="1258">
        <f>'10 10a'!F34</f>
        <v>205.88675293589648</v>
      </c>
      <c r="E12" s="1258">
        <f>'10 10a'!I34</f>
        <v>175.61448900388098</v>
      </c>
    </row>
    <row r="13" spans="1:5" x14ac:dyDescent="0.2">
      <c r="B13" s="1340" t="str">
        <f>'10 10a'!A35</f>
        <v>2015-16</v>
      </c>
      <c r="C13" s="1258">
        <f>'10 10a'!C35</f>
        <v>139.88898684525148</v>
      </c>
      <c r="D13" s="1258">
        <f>'10 10a'!F35</f>
        <v>237.48371487064955</v>
      </c>
      <c r="E13" s="1258">
        <f>'10 10a'!I35</f>
        <v>191.0232002839534</v>
      </c>
    </row>
    <row r="14" spans="1:5" x14ac:dyDescent="0.2">
      <c r="B14" s="1340" t="str">
        <f>'10 10a'!A36</f>
        <v>2016-17</v>
      </c>
      <c r="C14" s="1258">
        <f>'10 10a'!C36</f>
        <v>128.31995310133695</v>
      </c>
      <c r="D14" s="1258">
        <f>'10 10a'!F36</f>
        <v>234.24056839417543</v>
      </c>
      <c r="E14" s="1258">
        <f>'10 10a'!I36</f>
        <v>199.4732108441475</v>
      </c>
    </row>
    <row r="15" spans="1:5" x14ac:dyDescent="0.2">
      <c r="B15" s="1340" t="str">
        <f>'10 10a'!A37</f>
        <v>2017-18</v>
      </c>
      <c r="C15" s="1258">
        <f>'10 10a'!C37</f>
        <v>131.06937507416478</v>
      </c>
      <c r="D15" s="1258">
        <f>'10 10a'!F37</f>
        <v>205.16885415130511</v>
      </c>
      <c r="E15" s="1258">
        <f>'10 10a'!I37</f>
        <v>168.3092282093946</v>
      </c>
    </row>
    <row r="16" spans="1:5" x14ac:dyDescent="0.2">
      <c r="B16" s="768"/>
      <c r="C16" s="768"/>
    </row>
    <row r="17" spans="2:3" x14ac:dyDescent="0.2">
      <c r="B17" s="768"/>
      <c r="C17" s="768"/>
    </row>
    <row r="24" spans="2:3" x14ac:dyDescent="0.2">
      <c r="B24" s="768"/>
      <c r="C24" s="768"/>
    </row>
    <row r="25" spans="2:3" x14ac:dyDescent="0.2">
      <c r="B25" s="768"/>
      <c r="C25" s="768"/>
    </row>
    <row r="26" spans="2:3" x14ac:dyDescent="0.2">
      <c r="B26" s="768"/>
      <c r="C26" s="768"/>
    </row>
    <row r="27" spans="2:3" x14ac:dyDescent="0.2">
      <c r="B27" s="768"/>
      <c r="C27" s="768"/>
    </row>
  </sheetData>
  <sheetProtection algorithmName="SHA-512" hashValue="szXXqqhQNGzipX+5QJ7zI6lSht0GTGT9pk/zyR/3M4lLNxZoDDaF6Xl70+wOYC+RLA7KG5IFmZw8gEswocvcoA==" saltValue="sOH696OQAnWYnJeuqLaGGw==" spinCount="100000" sheet="1" objects="1" scenarios="1"/>
  <pageMargins left="0.25" right="0.25" top="0.75" bottom="0.75" header="0.3" footer="0.3"/>
  <pageSetup paperSize="9" scale="93"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tabColor theme="4"/>
    <pageSetUpPr fitToPage="1"/>
  </sheetPr>
  <dimension ref="A1:AB40"/>
  <sheetViews>
    <sheetView showGridLines="0" zoomScaleNormal="100" workbookViewId="0">
      <selection sqref="A1:P1"/>
    </sheetView>
  </sheetViews>
  <sheetFormatPr defaultRowHeight="12.75" x14ac:dyDescent="0.2"/>
  <cols>
    <col min="1" max="2" width="9.140625" style="1"/>
    <col min="3" max="3" width="11.140625" style="1" customWidth="1"/>
    <col min="4" max="4" width="11" style="1" customWidth="1"/>
    <col min="5" max="5" width="2.85546875" style="1" customWidth="1"/>
    <col min="6" max="6" width="10.5703125" style="1" customWidth="1"/>
    <col min="7" max="7" width="11.85546875" style="33" customWidth="1"/>
    <col min="8" max="8" width="13" style="1" customWidth="1"/>
    <col min="9" max="9" width="3.7109375" style="1" customWidth="1"/>
    <col min="10" max="10" width="9.140625" style="1"/>
    <col min="11" max="11" width="12.28515625" style="33" customWidth="1"/>
    <col min="12" max="12" width="12.42578125" style="1" customWidth="1"/>
    <col min="13" max="13" width="4.28515625" style="1" customWidth="1"/>
    <col min="14" max="14" width="9.140625" style="1"/>
    <col min="15" max="15" width="11.85546875" style="33" customWidth="1"/>
    <col min="16" max="16" width="11.140625" style="1" customWidth="1"/>
    <col min="17" max="17" width="3.28515625" style="1" customWidth="1"/>
    <col min="18" max="18" width="9.140625" style="1"/>
    <col min="19" max="19" width="11.85546875" style="1" customWidth="1"/>
    <col min="20" max="20" width="11.42578125" style="1" customWidth="1"/>
    <col min="21" max="21" width="9.140625" style="1"/>
    <col min="22" max="22" width="9.42578125" style="1" customWidth="1"/>
    <col min="23" max="23" width="10.42578125" style="1" customWidth="1"/>
    <col min="24" max="24" width="10.7109375" style="1" customWidth="1"/>
    <col min="25" max="25" width="13.5703125" style="1" customWidth="1"/>
    <col min="26" max="26" width="15" style="1" customWidth="1"/>
    <col min="27" max="225" width="9.140625" style="1"/>
    <col min="226" max="226" width="11.140625" style="1" customWidth="1"/>
    <col min="227" max="227" width="11" style="1" customWidth="1"/>
    <col min="228" max="228" width="2.85546875" style="1" customWidth="1"/>
    <col min="229" max="229" width="9.140625" style="1"/>
    <col min="230" max="230" width="11.85546875" style="1" customWidth="1"/>
    <col min="231" max="231" width="11.28515625" style="1" customWidth="1"/>
    <col min="232" max="232" width="2.85546875" style="1" customWidth="1"/>
    <col min="233" max="233" width="9.140625" style="1"/>
    <col min="234" max="234" width="11.85546875" style="1" customWidth="1"/>
    <col min="235" max="235" width="11" style="1" customWidth="1"/>
    <col min="236" max="236" width="2.85546875" style="1" customWidth="1"/>
    <col min="237" max="237" width="9.140625" style="1"/>
    <col min="238" max="238" width="11.85546875" style="1" customWidth="1"/>
    <col min="239" max="239" width="11.140625" style="1" customWidth="1"/>
    <col min="240" max="240" width="3.28515625" style="1" customWidth="1"/>
    <col min="241" max="241" width="9.140625" style="1"/>
    <col min="242" max="242" width="11.85546875" style="1" customWidth="1"/>
    <col min="243" max="243" width="11.42578125" style="1" customWidth="1"/>
    <col min="244" max="481" width="9.140625" style="1"/>
    <col min="482" max="482" width="11.140625" style="1" customWidth="1"/>
    <col min="483" max="483" width="11" style="1" customWidth="1"/>
    <col min="484" max="484" width="2.85546875" style="1" customWidth="1"/>
    <col min="485" max="485" width="9.140625" style="1"/>
    <col min="486" max="486" width="11.85546875" style="1" customWidth="1"/>
    <col min="487" max="487" width="11.28515625" style="1" customWidth="1"/>
    <col min="488" max="488" width="2.85546875" style="1" customWidth="1"/>
    <col min="489" max="489" width="9.140625" style="1"/>
    <col min="490" max="490" width="11.85546875" style="1" customWidth="1"/>
    <col min="491" max="491" width="11" style="1" customWidth="1"/>
    <col min="492" max="492" width="2.85546875" style="1" customWidth="1"/>
    <col min="493" max="493" width="9.140625" style="1"/>
    <col min="494" max="494" width="11.85546875" style="1" customWidth="1"/>
    <col min="495" max="495" width="11.140625" style="1" customWidth="1"/>
    <col min="496" max="496" width="3.28515625" style="1" customWidth="1"/>
    <col min="497" max="497" width="9.140625" style="1"/>
    <col min="498" max="498" width="11.85546875" style="1" customWidth="1"/>
    <col min="499" max="499" width="11.42578125" style="1" customWidth="1"/>
    <col min="500" max="737" width="9.140625" style="1"/>
    <col min="738" max="738" width="11.140625" style="1" customWidth="1"/>
    <col min="739" max="739" width="11" style="1" customWidth="1"/>
    <col min="740" max="740" width="2.85546875" style="1" customWidth="1"/>
    <col min="741" max="741" width="9.140625" style="1"/>
    <col min="742" max="742" width="11.85546875" style="1" customWidth="1"/>
    <col min="743" max="743" width="11.28515625" style="1" customWidth="1"/>
    <col min="744" max="744" width="2.85546875" style="1" customWidth="1"/>
    <col min="745" max="745" width="9.140625" style="1"/>
    <col min="746" max="746" width="11.85546875" style="1" customWidth="1"/>
    <col min="747" max="747" width="11" style="1" customWidth="1"/>
    <col min="748" max="748" width="2.85546875" style="1" customWidth="1"/>
    <col min="749" max="749" width="9.140625" style="1"/>
    <col min="750" max="750" width="11.85546875" style="1" customWidth="1"/>
    <col min="751" max="751" width="11.140625" style="1" customWidth="1"/>
    <col min="752" max="752" width="3.28515625" style="1" customWidth="1"/>
    <col min="753" max="753" width="9.140625" style="1"/>
    <col min="754" max="754" width="11.85546875" style="1" customWidth="1"/>
    <col min="755" max="755" width="11.42578125" style="1" customWidth="1"/>
    <col min="756" max="993" width="9.140625" style="1"/>
    <col min="994" max="994" width="11.140625" style="1" customWidth="1"/>
    <col min="995" max="995" width="11" style="1" customWidth="1"/>
    <col min="996" max="996" width="2.85546875" style="1" customWidth="1"/>
    <col min="997" max="997" width="9.140625" style="1"/>
    <col min="998" max="998" width="11.85546875" style="1" customWidth="1"/>
    <col min="999" max="999" width="11.28515625" style="1" customWidth="1"/>
    <col min="1000" max="1000" width="2.85546875" style="1" customWidth="1"/>
    <col min="1001" max="1001" width="9.140625" style="1"/>
    <col min="1002" max="1002" width="11.85546875" style="1" customWidth="1"/>
    <col min="1003" max="1003" width="11" style="1" customWidth="1"/>
    <col min="1004" max="1004" width="2.85546875" style="1" customWidth="1"/>
    <col min="1005" max="1005" width="9.140625" style="1"/>
    <col min="1006" max="1006" width="11.85546875" style="1" customWidth="1"/>
    <col min="1007" max="1007" width="11.140625" style="1" customWidth="1"/>
    <col min="1008" max="1008" width="3.28515625" style="1" customWidth="1"/>
    <col min="1009" max="1009" width="9.140625" style="1"/>
    <col min="1010" max="1010" width="11.85546875" style="1" customWidth="1"/>
    <col min="1011" max="1011" width="11.42578125" style="1" customWidth="1"/>
    <col min="1012" max="1249" width="9.140625" style="1"/>
    <col min="1250" max="1250" width="11.140625" style="1" customWidth="1"/>
    <col min="1251" max="1251" width="11" style="1" customWidth="1"/>
    <col min="1252" max="1252" width="2.85546875" style="1" customWidth="1"/>
    <col min="1253" max="1253" width="9.140625" style="1"/>
    <col min="1254" max="1254" width="11.85546875" style="1" customWidth="1"/>
    <col min="1255" max="1255" width="11.28515625" style="1" customWidth="1"/>
    <col min="1256" max="1256" width="2.85546875" style="1" customWidth="1"/>
    <col min="1257" max="1257" width="9.140625" style="1"/>
    <col min="1258" max="1258" width="11.85546875" style="1" customWidth="1"/>
    <col min="1259" max="1259" width="11" style="1" customWidth="1"/>
    <col min="1260" max="1260" width="2.85546875" style="1" customWidth="1"/>
    <col min="1261" max="1261" width="9.140625" style="1"/>
    <col min="1262" max="1262" width="11.85546875" style="1" customWidth="1"/>
    <col min="1263" max="1263" width="11.140625" style="1" customWidth="1"/>
    <col min="1264" max="1264" width="3.28515625" style="1" customWidth="1"/>
    <col min="1265" max="1265" width="9.140625" style="1"/>
    <col min="1266" max="1266" width="11.85546875" style="1" customWidth="1"/>
    <col min="1267" max="1267" width="11.42578125" style="1" customWidth="1"/>
    <col min="1268" max="1505" width="9.140625" style="1"/>
    <col min="1506" max="1506" width="11.140625" style="1" customWidth="1"/>
    <col min="1507" max="1507" width="11" style="1" customWidth="1"/>
    <col min="1508" max="1508" width="2.85546875" style="1" customWidth="1"/>
    <col min="1509" max="1509" width="9.140625" style="1"/>
    <col min="1510" max="1510" width="11.85546875" style="1" customWidth="1"/>
    <col min="1511" max="1511" width="11.28515625" style="1" customWidth="1"/>
    <col min="1512" max="1512" width="2.85546875" style="1" customWidth="1"/>
    <col min="1513" max="1513" width="9.140625" style="1"/>
    <col min="1514" max="1514" width="11.85546875" style="1" customWidth="1"/>
    <col min="1515" max="1515" width="11" style="1" customWidth="1"/>
    <col min="1516" max="1516" width="2.85546875" style="1" customWidth="1"/>
    <col min="1517" max="1517" width="9.140625" style="1"/>
    <col min="1518" max="1518" width="11.85546875" style="1" customWidth="1"/>
    <col min="1519" max="1519" width="11.140625" style="1" customWidth="1"/>
    <col min="1520" max="1520" width="3.28515625" style="1" customWidth="1"/>
    <col min="1521" max="1521" width="9.140625" style="1"/>
    <col min="1522" max="1522" width="11.85546875" style="1" customWidth="1"/>
    <col min="1523" max="1523" width="11.42578125" style="1" customWidth="1"/>
    <col min="1524" max="1761" width="9.140625" style="1"/>
    <col min="1762" max="1762" width="11.140625" style="1" customWidth="1"/>
    <col min="1763" max="1763" width="11" style="1" customWidth="1"/>
    <col min="1764" max="1764" width="2.85546875" style="1" customWidth="1"/>
    <col min="1765" max="1765" width="9.140625" style="1"/>
    <col min="1766" max="1766" width="11.85546875" style="1" customWidth="1"/>
    <col min="1767" max="1767" width="11.28515625" style="1" customWidth="1"/>
    <col min="1768" max="1768" width="2.85546875" style="1" customWidth="1"/>
    <col min="1769" max="1769" width="9.140625" style="1"/>
    <col min="1770" max="1770" width="11.85546875" style="1" customWidth="1"/>
    <col min="1771" max="1771" width="11" style="1" customWidth="1"/>
    <col min="1772" max="1772" width="2.85546875" style="1" customWidth="1"/>
    <col min="1773" max="1773" width="9.140625" style="1"/>
    <col min="1774" max="1774" width="11.85546875" style="1" customWidth="1"/>
    <col min="1775" max="1775" width="11.140625" style="1" customWidth="1"/>
    <col min="1776" max="1776" width="3.28515625" style="1" customWidth="1"/>
    <col min="1777" max="1777" width="9.140625" style="1"/>
    <col min="1778" max="1778" width="11.85546875" style="1" customWidth="1"/>
    <col min="1779" max="1779" width="11.42578125" style="1" customWidth="1"/>
    <col min="1780" max="2017" width="9.140625" style="1"/>
    <col min="2018" max="2018" width="11.140625" style="1" customWidth="1"/>
    <col min="2019" max="2019" width="11" style="1" customWidth="1"/>
    <col min="2020" max="2020" width="2.85546875" style="1" customWidth="1"/>
    <col min="2021" max="2021" width="9.140625" style="1"/>
    <col min="2022" max="2022" width="11.85546875" style="1" customWidth="1"/>
    <col min="2023" max="2023" width="11.28515625" style="1" customWidth="1"/>
    <col min="2024" max="2024" width="2.85546875" style="1" customWidth="1"/>
    <col min="2025" max="2025" width="9.140625" style="1"/>
    <col min="2026" max="2026" width="11.85546875" style="1" customWidth="1"/>
    <col min="2027" max="2027" width="11" style="1" customWidth="1"/>
    <col min="2028" max="2028" width="2.85546875" style="1" customWidth="1"/>
    <col min="2029" max="2029" width="9.140625" style="1"/>
    <col min="2030" max="2030" width="11.85546875" style="1" customWidth="1"/>
    <col min="2031" max="2031" width="11.140625" style="1" customWidth="1"/>
    <col min="2032" max="2032" width="3.28515625" style="1" customWidth="1"/>
    <col min="2033" max="2033" width="9.140625" style="1"/>
    <col min="2034" max="2034" width="11.85546875" style="1" customWidth="1"/>
    <col min="2035" max="2035" width="11.42578125" style="1" customWidth="1"/>
    <col min="2036" max="2273" width="9.140625" style="1"/>
    <col min="2274" max="2274" width="11.140625" style="1" customWidth="1"/>
    <col min="2275" max="2275" width="11" style="1" customWidth="1"/>
    <col min="2276" max="2276" width="2.85546875" style="1" customWidth="1"/>
    <col min="2277" max="2277" width="9.140625" style="1"/>
    <col min="2278" max="2278" width="11.85546875" style="1" customWidth="1"/>
    <col min="2279" max="2279" width="11.28515625" style="1" customWidth="1"/>
    <col min="2280" max="2280" width="2.85546875" style="1" customWidth="1"/>
    <col min="2281" max="2281" width="9.140625" style="1"/>
    <col min="2282" max="2282" width="11.85546875" style="1" customWidth="1"/>
    <col min="2283" max="2283" width="11" style="1" customWidth="1"/>
    <col min="2284" max="2284" width="2.85546875" style="1" customWidth="1"/>
    <col min="2285" max="2285" width="9.140625" style="1"/>
    <col min="2286" max="2286" width="11.85546875" style="1" customWidth="1"/>
    <col min="2287" max="2287" width="11.140625" style="1" customWidth="1"/>
    <col min="2288" max="2288" width="3.28515625" style="1" customWidth="1"/>
    <col min="2289" max="2289" width="9.140625" style="1"/>
    <col min="2290" max="2290" width="11.85546875" style="1" customWidth="1"/>
    <col min="2291" max="2291" width="11.42578125" style="1" customWidth="1"/>
    <col min="2292" max="2529" width="9.140625" style="1"/>
    <col min="2530" max="2530" width="11.140625" style="1" customWidth="1"/>
    <col min="2531" max="2531" width="11" style="1" customWidth="1"/>
    <col min="2532" max="2532" width="2.85546875" style="1" customWidth="1"/>
    <col min="2533" max="2533" width="9.140625" style="1"/>
    <col min="2534" max="2534" width="11.85546875" style="1" customWidth="1"/>
    <col min="2535" max="2535" width="11.28515625" style="1" customWidth="1"/>
    <col min="2536" max="2536" width="2.85546875" style="1" customWidth="1"/>
    <col min="2537" max="2537" width="9.140625" style="1"/>
    <col min="2538" max="2538" width="11.85546875" style="1" customWidth="1"/>
    <col min="2539" max="2539" width="11" style="1" customWidth="1"/>
    <col min="2540" max="2540" width="2.85546875" style="1" customWidth="1"/>
    <col min="2541" max="2541" width="9.140625" style="1"/>
    <col min="2542" max="2542" width="11.85546875" style="1" customWidth="1"/>
    <col min="2543" max="2543" width="11.140625" style="1" customWidth="1"/>
    <col min="2544" max="2544" width="3.28515625" style="1" customWidth="1"/>
    <col min="2545" max="2545" width="9.140625" style="1"/>
    <col min="2546" max="2546" width="11.85546875" style="1" customWidth="1"/>
    <col min="2547" max="2547" width="11.42578125" style="1" customWidth="1"/>
    <col min="2548" max="2785" width="9.140625" style="1"/>
    <col min="2786" max="2786" width="11.140625" style="1" customWidth="1"/>
    <col min="2787" max="2787" width="11" style="1" customWidth="1"/>
    <col min="2788" max="2788" width="2.85546875" style="1" customWidth="1"/>
    <col min="2789" max="2789" width="9.140625" style="1"/>
    <col min="2790" max="2790" width="11.85546875" style="1" customWidth="1"/>
    <col min="2791" max="2791" width="11.28515625" style="1" customWidth="1"/>
    <col min="2792" max="2792" width="2.85546875" style="1" customWidth="1"/>
    <col min="2793" max="2793" width="9.140625" style="1"/>
    <col min="2794" max="2794" width="11.85546875" style="1" customWidth="1"/>
    <col min="2795" max="2795" width="11" style="1" customWidth="1"/>
    <col min="2796" max="2796" width="2.85546875" style="1" customWidth="1"/>
    <col min="2797" max="2797" width="9.140625" style="1"/>
    <col min="2798" max="2798" width="11.85546875" style="1" customWidth="1"/>
    <col min="2799" max="2799" width="11.140625" style="1" customWidth="1"/>
    <col min="2800" max="2800" width="3.28515625" style="1" customWidth="1"/>
    <col min="2801" max="2801" width="9.140625" style="1"/>
    <col min="2802" max="2802" width="11.85546875" style="1" customWidth="1"/>
    <col min="2803" max="2803" width="11.42578125" style="1" customWidth="1"/>
    <col min="2804" max="3041" width="9.140625" style="1"/>
    <col min="3042" max="3042" width="11.140625" style="1" customWidth="1"/>
    <col min="3043" max="3043" width="11" style="1" customWidth="1"/>
    <col min="3044" max="3044" width="2.85546875" style="1" customWidth="1"/>
    <col min="3045" max="3045" width="9.140625" style="1"/>
    <col min="3046" max="3046" width="11.85546875" style="1" customWidth="1"/>
    <col min="3047" max="3047" width="11.28515625" style="1" customWidth="1"/>
    <col min="3048" max="3048" width="2.85546875" style="1" customWidth="1"/>
    <col min="3049" max="3049" width="9.140625" style="1"/>
    <col min="3050" max="3050" width="11.85546875" style="1" customWidth="1"/>
    <col min="3051" max="3051" width="11" style="1" customWidth="1"/>
    <col min="3052" max="3052" width="2.85546875" style="1" customWidth="1"/>
    <col min="3053" max="3053" width="9.140625" style="1"/>
    <col min="3054" max="3054" width="11.85546875" style="1" customWidth="1"/>
    <col min="3055" max="3055" width="11.140625" style="1" customWidth="1"/>
    <col min="3056" max="3056" width="3.28515625" style="1" customWidth="1"/>
    <col min="3057" max="3057" width="9.140625" style="1"/>
    <col min="3058" max="3058" width="11.85546875" style="1" customWidth="1"/>
    <col min="3059" max="3059" width="11.42578125" style="1" customWidth="1"/>
    <col min="3060" max="3297" width="9.140625" style="1"/>
    <col min="3298" max="3298" width="11.140625" style="1" customWidth="1"/>
    <col min="3299" max="3299" width="11" style="1" customWidth="1"/>
    <col min="3300" max="3300" width="2.85546875" style="1" customWidth="1"/>
    <col min="3301" max="3301" width="9.140625" style="1"/>
    <col min="3302" max="3302" width="11.85546875" style="1" customWidth="1"/>
    <col min="3303" max="3303" width="11.28515625" style="1" customWidth="1"/>
    <col min="3304" max="3304" width="2.85546875" style="1" customWidth="1"/>
    <col min="3305" max="3305" width="9.140625" style="1"/>
    <col min="3306" max="3306" width="11.85546875" style="1" customWidth="1"/>
    <col min="3307" max="3307" width="11" style="1" customWidth="1"/>
    <col min="3308" max="3308" width="2.85546875" style="1" customWidth="1"/>
    <col min="3309" max="3309" width="9.140625" style="1"/>
    <col min="3310" max="3310" width="11.85546875" style="1" customWidth="1"/>
    <col min="3311" max="3311" width="11.140625" style="1" customWidth="1"/>
    <col min="3312" max="3312" width="3.28515625" style="1" customWidth="1"/>
    <col min="3313" max="3313" width="9.140625" style="1"/>
    <col min="3314" max="3314" width="11.85546875" style="1" customWidth="1"/>
    <col min="3315" max="3315" width="11.42578125" style="1" customWidth="1"/>
    <col min="3316" max="3553" width="9.140625" style="1"/>
    <col min="3554" max="3554" width="11.140625" style="1" customWidth="1"/>
    <col min="3555" max="3555" width="11" style="1" customWidth="1"/>
    <col min="3556" max="3556" width="2.85546875" style="1" customWidth="1"/>
    <col min="3557" max="3557" width="9.140625" style="1"/>
    <col min="3558" max="3558" width="11.85546875" style="1" customWidth="1"/>
    <col min="3559" max="3559" width="11.28515625" style="1" customWidth="1"/>
    <col min="3560" max="3560" width="2.85546875" style="1" customWidth="1"/>
    <col min="3561" max="3561" width="9.140625" style="1"/>
    <col min="3562" max="3562" width="11.85546875" style="1" customWidth="1"/>
    <col min="3563" max="3563" width="11" style="1" customWidth="1"/>
    <col min="3564" max="3564" width="2.85546875" style="1" customWidth="1"/>
    <col min="3565" max="3565" width="9.140625" style="1"/>
    <col min="3566" max="3566" width="11.85546875" style="1" customWidth="1"/>
    <col min="3567" max="3567" width="11.140625" style="1" customWidth="1"/>
    <col min="3568" max="3568" width="3.28515625" style="1" customWidth="1"/>
    <col min="3569" max="3569" width="9.140625" style="1"/>
    <col min="3570" max="3570" width="11.85546875" style="1" customWidth="1"/>
    <col min="3571" max="3571" width="11.42578125" style="1" customWidth="1"/>
    <col min="3572" max="3809" width="9.140625" style="1"/>
    <col min="3810" max="3810" width="11.140625" style="1" customWidth="1"/>
    <col min="3811" max="3811" width="11" style="1" customWidth="1"/>
    <col min="3812" max="3812" width="2.85546875" style="1" customWidth="1"/>
    <col min="3813" max="3813" width="9.140625" style="1"/>
    <col min="3814" max="3814" width="11.85546875" style="1" customWidth="1"/>
    <col min="3815" max="3815" width="11.28515625" style="1" customWidth="1"/>
    <col min="3816" max="3816" width="2.85546875" style="1" customWidth="1"/>
    <col min="3817" max="3817" width="9.140625" style="1"/>
    <col min="3818" max="3818" width="11.85546875" style="1" customWidth="1"/>
    <col min="3819" max="3819" width="11" style="1" customWidth="1"/>
    <col min="3820" max="3820" width="2.85546875" style="1" customWidth="1"/>
    <col min="3821" max="3821" width="9.140625" style="1"/>
    <col min="3822" max="3822" width="11.85546875" style="1" customWidth="1"/>
    <col min="3823" max="3823" width="11.140625" style="1" customWidth="1"/>
    <col min="3824" max="3824" width="3.28515625" style="1" customWidth="1"/>
    <col min="3825" max="3825" width="9.140625" style="1"/>
    <col min="3826" max="3826" width="11.85546875" style="1" customWidth="1"/>
    <col min="3827" max="3827" width="11.42578125" style="1" customWidth="1"/>
    <col min="3828" max="4065" width="9.140625" style="1"/>
    <col min="4066" max="4066" width="11.140625" style="1" customWidth="1"/>
    <col min="4067" max="4067" width="11" style="1" customWidth="1"/>
    <col min="4068" max="4068" width="2.85546875" style="1" customWidth="1"/>
    <col min="4069" max="4069" width="9.140625" style="1"/>
    <col min="4070" max="4070" width="11.85546875" style="1" customWidth="1"/>
    <col min="4071" max="4071" width="11.28515625" style="1" customWidth="1"/>
    <col min="4072" max="4072" width="2.85546875" style="1" customWidth="1"/>
    <col min="4073" max="4073" width="9.140625" style="1"/>
    <col min="4074" max="4074" width="11.85546875" style="1" customWidth="1"/>
    <col min="4075" max="4075" width="11" style="1" customWidth="1"/>
    <col min="4076" max="4076" width="2.85546875" style="1" customWidth="1"/>
    <col min="4077" max="4077" width="9.140625" style="1"/>
    <col min="4078" max="4078" width="11.85546875" style="1" customWidth="1"/>
    <col min="4079" max="4079" width="11.140625" style="1" customWidth="1"/>
    <col min="4080" max="4080" width="3.28515625" style="1" customWidth="1"/>
    <col min="4081" max="4081" width="9.140625" style="1"/>
    <col min="4082" max="4082" width="11.85546875" style="1" customWidth="1"/>
    <col min="4083" max="4083" width="11.42578125" style="1" customWidth="1"/>
    <col min="4084" max="4321" width="9.140625" style="1"/>
    <col min="4322" max="4322" width="11.140625" style="1" customWidth="1"/>
    <col min="4323" max="4323" width="11" style="1" customWidth="1"/>
    <col min="4324" max="4324" width="2.85546875" style="1" customWidth="1"/>
    <col min="4325" max="4325" width="9.140625" style="1"/>
    <col min="4326" max="4326" width="11.85546875" style="1" customWidth="1"/>
    <col min="4327" max="4327" width="11.28515625" style="1" customWidth="1"/>
    <col min="4328" max="4328" width="2.85546875" style="1" customWidth="1"/>
    <col min="4329" max="4329" width="9.140625" style="1"/>
    <col min="4330" max="4330" width="11.85546875" style="1" customWidth="1"/>
    <col min="4331" max="4331" width="11" style="1" customWidth="1"/>
    <col min="4332" max="4332" width="2.85546875" style="1" customWidth="1"/>
    <col min="4333" max="4333" width="9.140625" style="1"/>
    <col min="4334" max="4334" width="11.85546875" style="1" customWidth="1"/>
    <col min="4335" max="4335" width="11.140625" style="1" customWidth="1"/>
    <col min="4336" max="4336" width="3.28515625" style="1" customWidth="1"/>
    <col min="4337" max="4337" width="9.140625" style="1"/>
    <col min="4338" max="4338" width="11.85546875" style="1" customWidth="1"/>
    <col min="4339" max="4339" width="11.42578125" style="1" customWidth="1"/>
    <col min="4340" max="4577" width="9.140625" style="1"/>
    <col min="4578" max="4578" width="11.140625" style="1" customWidth="1"/>
    <col min="4579" max="4579" width="11" style="1" customWidth="1"/>
    <col min="4580" max="4580" width="2.85546875" style="1" customWidth="1"/>
    <col min="4581" max="4581" width="9.140625" style="1"/>
    <col min="4582" max="4582" width="11.85546875" style="1" customWidth="1"/>
    <col min="4583" max="4583" width="11.28515625" style="1" customWidth="1"/>
    <col min="4584" max="4584" width="2.85546875" style="1" customWidth="1"/>
    <col min="4585" max="4585" width="9.140625" style="1"/>
    <col min="4586" max="4586" width="11.85546875" style="1" customWidth="1"/>
    <col min="4587" max="4587" width="11" style="1" customWidth="1"/>
    <col min="4588" max="4588" width="2.85546875" style="1" customWidth="1"/>
    <col min="4589" max="4589" width="9.140625" style="1"/>
    <col min="4590" max="4590" width="11.85546875" style="1" customWidth="1"/>
    <col min="4591" max="4591" width="11.140625" style="1" customWidth="1"/>
    <col min="4592" max="4592" width="3.28515625" style="1" customWidth="1"/>
    <col min="4593" max="4593" width="9.140625" style="1"/>
    <col min="4594" max="4594" width="11.85546875" style="1" customWidth="1"/>
    <col min="4595" max="4595" width="11.42578125" style="1" customWidth="1"/>
    <col min="4596" max="4833" width="9.140625" style="1"/>
    <col min="4834" max="4834" width="11.140625" style="1" customWidth="1"/>
    <col min="4835" max="4835" width="11" style="1" customWidth="1"/>
    <col min="4836" max="4836" width="2.85546875" style="1" customWidth="1"/>
    <col min="4837" max="4837" width="9.140625" style="1"/>
    <col min="4838" max="4838" width="11.85546875" style="1" customWidth="1"/>
    <col min="4839" max="4839" width="11.28515625" style="1" customWidth="1"/>
    <col min="4840" max="4840" width="2.85546875" style="1" customWidth="1"/>
    <col min="4841" max="4841" width="9.140625" style="1"/>
    <col min="4842" max="4842" width="11.85546875" style="1" customWidth="1"/>
    <col min="4843" max="4843" width="11" style="1" customWidth="1"/>
    <col min="4844" max="4844" width="2.85546875" style="1" customWidth="1"/>
    <col min="4845" max="4845" width="9.140625" style="1"/>
    <col min="4846" max="4846" width="11.85546875" style="1" customWidth="1"/>
    <col min="4847" max="4847" width="11.140625" style="1" customWidth="1"/>
    <col min="4848" max="4848" width="3.28515625" style="1" customWidth="1"/>
    <col min="4849" max="4849" width="9.140625" style="1"/>
    <col min="4850" max="4850" width="11.85546875" style="1" customWidth="1"/>
    <col min="4851" max="4851" width="11.42578125" style="1" customWidth="1"/>
    <col min="4852" max="5089" width="9.140625" style="1"/>
    <col min="5090" max="5090" width="11.140625" style="1" customWidth="1"/>
    <col min="5091" max="5091" width="11" style="1" customWidth="1"/>
    <col min="5092" max="5092" width="2.85546875" style="1" customWidth="1"/>
    <col min="5093" max="5093" width="9.140625" style="1"/>
    <col min="5094" max="5094" width="11.85546875" style="1" customWidth="1"/>
    <col min="5095" max="5095" width="11.28515625" style="1" customWidth="1"/>
    <col min="5096" max="5096" width="2.85546875" style="1" customWidth="1"/>
    <col min="5097" max="5097" width="9.140625" style="1"/>
    <col min="5098" max="5098" width="11.85546875" style="1" customWidth="1"/>
    <col min="5099" max="5099" width="11" style="1" customWidth="1"/>
    <col min="5100" max="5100" width="2.85546875" style="1" customWidth="1"/>
    <col min="5101" max="5101" width="9.140625" style="1"/>
    <col min="5102" max="5102" width="11.85546875" style="1" customWidth="1"/>
    <col min="5103" max="5103" width="11.140625" style="1" customWidth="1"/>
    <col min="5104" max="5104" width="3.28515625" style="1" customWidth="1"/>
    <col min="5105" max="5105" width="9.140625" style="1"/>
    <col min="5106" max="5106" width="11.85546875" style="1" customWidth="1"/>
    <col min="5107" max="5107" width="11.42578125" style="1" customWidth="1"/>
    <col min="5108" max="5345" width="9.140625" style="1"/>
    <col min="5346" max="5346" width="11.140625" style="1" customWidth="1"/>
    <col min="5347" max="5347" width="11" style="1" customWidth="1"/>
    <col min="5348" max="5348" width="2.85546875" style="1" customWidth="1"/>
    <col min="5349" max="5349" width="9.140625" style="1"/>
    <col min="5350" max="5350" width="11.85546875" style="1" customWidth="1"/>
    <col min="5351" max="5351" width="11.28515625" style="1" customWidth="1"/>
    <col min="5352" max="5352" width="2.85546875" style="1" customWidth="1"/>
    <col min="5353" max="5353" width="9.140625" style="1"/>
    <col min="5354" max="5354" width="11.85546875" style="1" customWidth="1"/>
    <col min="5355" max="5355" width="11" style="1" customWidth="1"/>
    <col min="5356" max="5356" width="2.85546875" style="1" customWidth="1"/>
    <col min="5357" max="5357" width="9.140625" style="1"/>
    <col min="5358" max="5358" width="11.85546875" style="1" customWidth="1"/>
    <col min="5359" max="5359" width="11.140625" style="1" customWidth="1"/>
    <col min="5360" max="5360" width="3.28515625" style="1" customWidth="1"/>
    <col min="5361" max="5361" width="9.140625" style="1"/>
    <col min="5362" max="5362" width="11.85546875" style="1" customWidth="1"/>
    <col min="5363" max="5363" width="11.42578125" style="1" customWidth="1"/>
    <col min="5364" max="5601" width="9.140625" style="1"/>
    <col min="5602" max="5602" width="11.140625" style="1" customWidth="1"/>
    <col min="5603" max="5603" width="11" style="1" customWidth="1"/>
    <col min="5604" max="5604" width="2.85546875" style="1" customWidth="1"/>
    <col min="5605" max="5605" width="9.140625" style="1"/>
    <col min="5606" max="5606" width="11.85546875" style="1" customWidth="1"/>
    <col min="5607" max="5607" width="11.28515625" style="1" customWidth="1"/>
    <col min="5608" max="5608" width="2.85546875" style="1" customWidth="1"/>
    <col min="5609" max="5609" width="9.140625" style="1"/>
    <col min="5610" max="5610" width="11.85546875" style="1" customWidth="1"/>
    <col min="5611" max="5611" width="11" style="1" customWidth="1"/>
    <col min="5612" max="5612" width="2.85546875" style="1" customWidth="1"/>
    <col min="5613" max="5613" width="9.140625" style="1"/>
    <col min="5614" max="5614" width="11.85546875" style="1" customWidth="1"/>
    <col min="5615" max="5615" width="11.140625" style="1" customWidth="1"/>
    <col min="5616" max="5616" width="3.28515625" style="1" customWidth="1"/>
    <col min="5617" max="5617" width="9.140625" style="1"/>
    <col min="5618" max="5618" width="11.85546875" style="1" customWidth="1"/>
    <col min="5619" max="5619" width="11.42578125" style="1" customWidth="1"/>
    <col min="5620" max="5857" width="9.140625" style="1"/>
    <col min="5858" max="5858" width="11.140625" style="1" customWidth="1"/>
    <col min="5859" max="5859" width="11" style="1" customWidth="1"/>
    <col min="5860" max="5860" width="2.85546875" style="1" customWidth="1"/>
    <col min="5861" max="5861" width="9.140625" style="1"/>
    <col min="5862" max="5862" width="11.85546875" style="1" customWidth="1"/>
    <col min="5863" max="5863" width="11.28515625" style="1" customWidth="1"/>
    <col min="5864" max="5864" width="2.85546875" style="1" customWidth="1"/>
    <col min="5865" max="5865" width="9.140625" style="1"/>
    <col min="5866" max="5866" width="11.85546875" style="1" customWidth="1"/>
    <col min="5867" max="5867" width="11" style="1" customWidth="1"/>
    <col min="5868" max="5868" width="2.85546875" style="1" customWidth="1"/>
    <col min="5869" max="5869" width="9.140625" style="1"/>
    <col min="5870" max="5870" width="11.85546875" style="1" customWidth="1"/>
    <col min="5871" max="5871" width="11.140625" style="1" customWidth="1"/>
    <col min="5872" max="5872" width="3.28515625" style="1" customWidth="1"/>
    <col min="5873" max="5873" width="9.140625" style="1"/>
    <col min="5874" max="5874" width="11.85546875" style="1" customWidth="1"/>
    <col min="5875" max="5875" width="11.42578125" style="1" customWidth="1"/>
    <col min="5876" max="6113" width="9.140625" style="1"/>
    <col min="6114" max="6114" width="11.140625" style="1" customWidth="1"/>
    <col min="6115" max="6115" width="11" style="1" customWidth="1"/>
    <col min="6116" max="6116" width="2.85546875" style="1" customWidth="1"/>
    <col min="6117" max="6117" width="9.140625" style="1"/>
    <col min="6118" max="6118" width="11.85546875" style="1" customWidth="1"/>
    <col min="6119" max="6119" width="11.28515625" style="1" customWidth="1"/>
    <col min="6120" max="6120" width="2.85546875" style="1" customWidth="1"/>
    <col min="6121" max="6121" width="9.140625" style="1"/>
    <col min="6122" max="6122" width="11.85546875" style="1" customWidth="1"/>
    <col min="6123" max="6123" width="11" style="1" customWidth="1"/>
    <col min="6124" max="6124" width="2.85546875" style="1" customWidth="1"/>
    <col min="6125" max="6125" width="9.140625" style="1"/>
    <col min="6126" max="6126" width="11.85546875" style="1" customWidth="1"/>
    <col min="6127" max="6127" width="11.140625" style="1" customWidth="1"/>
    <col min="6128" max="6128" width="3.28515625" style="1" customWidth="1"/>
    <col min="6129" max="6129" width="9.140625" style="1"/>
    <col min="6130" max="6130" width="11.85546875" style="1" customWidth="1"/>
    <col min="6131" max="6131" width="11.42578125" style="1" customWidth="1"/>
    <col min="6132" max="6369" width="9.140625" style="1"/>
    <col min="6370" max="6370" width="11.140625" style="1" customWidth="1"/>
    <col min="6371" max="6371" width="11" style="1" customWidth="1"/>
    <col min="6372" max="6372" width="2.85546875" style="1" customWidth="1"/>
    <col min="6373" max="6373" width="9.140625" style="1"/>
    <col min="6374" max="6374" width="11.85546875" style="1" customWidth="1"/>
    <col min="6375" max="6375" width="11.28515625" style="1" customWidth="1"/>
    <col min="6376" max="6376" width="2.85546875" style="1" customWidth="1"/>
    <col min="6377" max="6377" width="9.140625" style="1"/>
    <col min="6378" max="6378" width="11.85546875" style="1" customWidth="1"/>
    <col min="6379" max="6379" width="11" style="1" customWidth="1"/>
    <col min="6380" max="6380" width="2.85546875" style="1" customWidth="1"/>
    <col min="6381" max="6381" width="9.140625" style="1"/>
    <col min="6382" max="6382" width="11.85546875" style="1" customWidth="1"/>
    <col min="6383" max="6383" width="11.140625" style="1" customWidth="1"/>
    <col min="6384" max="6384" width="3.28515625" style="1" customWidth="1"/>
    <col min="6385" max="6385" width="9.140625" style="1"/>
    <col min="6386" max="6386" width="11.85546875" style="1" customWidth="1"/>
    <col min="6387" max="6387" width="11.42578125" style="1" customWidth="1"/>
    <col min="6388" max="6625" width="9.140625" style="1"/>
    <col min="6626" max="6626" width="11.140625" style="1" customWidth="1"/>
    <col min="6627" max="6627" width="11" style="1" customWidth="1"/>
    <col min="6628" max="6628" width="2.85546875" style="1" customWidth="1"/>
    <col min="6629" max="6629" width="9.140625" style="1"/>
    <col min="6630" max="6630" width="11.85546875" style="1" customWidth="1"/>
    <col min="6631" max="6631" width="11.28515625" style="1" customWidth="1"/>
    <col min="6632" max="6632" width="2.85546875" style="1" customWidth="1"/>
    <col min="6633" max="6633" width="9.140625" style="1"/>
    <col min="6634" max="6634" width="11.85546875" style="1" customWidth="1"/>
    <col min="6635" max="6635" width="11" style="1" customWidth="1"/>
    <col min="6636" max="6636" width="2.85546875" style="1" customWidth="1"/>
    <col min="6637" max="6637" width="9.140625" style="1"/>
    <col min="6638" max="6638" width="11.85546875" style="1" customWidth="1"/>
    <col min="6639" max="6639" width="11.140625" style="1" customWidth="1"/>
    <col min="6640" max="6640" width="3.28515625" style="1" customWidth="1"/>
    <col min="6641" max="6641" width="9.140625" style="1"/>
    <col min="6642" max="6642" width="11.85546875" style="1" customWidth="1"/>
    <col min="6643" max="6643" width="11.42578125" style="1" customWidth="1"/>
    <col min="6644" max="6881" width="9.140625" style="1"/>
    <col min="6882" max="6882" width="11.140625" style="1" customWidth="1"/>
    <col min="6883" max="6883" width="11" style="1" customWidth="1"/>
    <col min="6884" max="6884" width="2.85546875" style="1" customWidth="1"/>
    <col min="6885" max="6885" width="9.140625" style="1"/>
    <col min="6886" max="6886" width="11.85546875" style="1" customWidth="1"/>
    <col min="6887" max="6887" width="11.28515625" style="1" customWidth="1"/>
    <col min="6888" max="6888" width="2.85546875" style="1" customWidth="1"/>
    <col min="6889" max="6889" width="9.140625" style="1"/>
    <col min="6890" max="6890" width="11.85546875" style="1" customWidth="1"/>
    <col min="6891" max="6891" width="11" style="1" customWidth="1"/>
    <col min="6892" max="6892" width="2.85546875" style="1" customWidth="1"/>
    <col min="6893" max="6893" width="9.140625" style="1"/>
    <col min="6894" max="6894" width="11.85546875" style="1" customWidth="1"/>
    <col min="6895" max="6895" width="11.140625" style="1" customWidth="1"/>
    <col min="6896" max="6896" width="3.28515625" style="1" customWidth="1"/>
    <col min="6897" max="6897" width="9.140625" style="1"/>
    <col min="6898" max="6898" width="11.85546875" style="1" customWidth="1"/>
    <col min="6899" max="6899" width="11.42578125" style="1" customWidth="1"/>
    <col min="6900" max="7137" width="9.140625" style="1"/>
    <col min="7138" max="7138" width="11.140625" style="1" customWidth="1"/>
    <col min="7139" max="7139" width="11" style="1" customWidth="1"/>
    <col min="7140" max="7140" width="2.85546875" style="1" customWidth="1"/>
    <col min="7141" max="7141" width="9.140625" style="1"/>
    <col min="7142" max="7142" width="11.85546875" style="1" customWidth="1"/>
    <col min="7143" max="7143" width="11.28515625" style="1" customWidth="1"/>
    <col min="7144" max="7144" width="2.85546875" style="1" customWidth="1"/>
    <col min="7145" max="7145" width="9.140625" style="1"/>
    <col min="7146" max="7146" width="11.85546875" style="1" customWidth="1"/>
    <col min="7147" max="7147" width="11" style="1" customWidth="1"/>
    <col min="7148" max="7148" width="2.85546875" style="1" customWidth="1"/>
    <col min="7149" max="7149" width="9.140625" style="1"/>
    <col min="7150" max="7150" width="11.85546875" style="1" customWidth="1"/>
    <col min="7151" max="7151" width="11.140625" style="1" customWidth="1"/>
    <col min="7152" max="7152" width="3.28515625" style="1" customWidth="1"/>
    <col min="7153" max="7153" width="9.140625" style="1"/>
    <col min="7154" max="7154" width="11.85546875" style="1" customWidth="1"/>
    <col min="7155" max="7155" width="11.42578125" style="1" customWidth="1"/>
    <col min="7156" max="7393" width="9.140625" style="1"/>
    <col min="7394" max="7394" width="11.140625" style="1" customWidth="1"/>
    <col min="7395" max="7395" width="11" style="1" customWidth="1"/>
    <col min="7396" max="7396" width="2.85546875" style="1" customWidth="1"/>
    <col min="7397" max="7397" width="9.140625" style="1"/>
    <col min="7398" max="7398" width="11.85546875" style="1" customWidth="1"/>
    <col min="7399" max="7399" width="11.28515625" style="1" customWidth="1"/>
    <col min="7400" max="7400" width="2.85546875" style="1" customWidth="1"/>
    <col min="7401" max="7401" width="9.140625" style="1"/>
    <col min="7402" max="7402" width="11.85546875" style="1" customWidth="1"/>
    <col min="7403" max="7403" width="11" style="1" customWidth="1"/>
    <col min="7404" max="7404" width="2.85546875" style="1" customWidth="1"/>
    <col min="7405" max="7405" width="9.140625" style="1"/>
    <col min="7406" max="7406" width="11.85546875" style="1" customWidth="1"/>
    <col min="7407" max="7407" width="11.140625" style="1" customWidth="1"/>
    <col min="7408" max="7408" width="3.28515625" style="1" customWidth="1"/>
    <col min="7409" max="7409" width="9.140625" style="1"/>
    <col min="7410" max="7410" width="11.85546875" style="1" customWidth="1"/>
    <col min="7411" max="7411" width="11.42578125" style="1" customWidth="1"/>
    <col min="7412" max="7649" width="9.140625" style="1"/>
    <col min="7650" max="7650" width="11.140625" style="1" customWidth="1"/>
    <col min="7651" max="7651" width="11" style="1" customWidth="1"/>
    <col min="7652" max="7652" width="2.85546875" style="1" customWidth="1"/>
    <col min="7653" max="7653" width="9.140625" style="1"/>
    <col min="7654" max="7654" width="11.85546875" style="1" customWidth="1"/>
    <col min="7655" max="7655" width="11.28515625" style="1" customWidth="1"/>
    <col min="7656" max="7656" width="2.85546875" style="1" customWidth="1"/>
    <col min="7657" max="7657" width="9.140625" style="1"/>
    <col min="7658" max="7658" width="11.85546875" style="1" customWidth="1"/>
    <col min="7659" max="7659" width="11" style="1" customWidth="1"/>
    <col min="7660" max="7660" width="2.85546875" style="1" customWidth="1"/>
    <col min="7661" max="7661" width="9.140625" style="1"/>
    <col min="7662" max="7662" width="11.85546875" style="1" customWidth="1"/>
    <col min="7663" max="7663" width="11.140625" style="1" customWidth="1"/>
    <col min="7664" max="7664" width="3.28515625" style="1" customWidth="1"/>
    <col min="7665" max="7665" width="9.140625" style="1"/>
    <col min="7666" max="7666" width="11.85546875" style="1" customWidth="1"/>
    <col min="7667" max="7667" width="11.42578125" style="1" customWidth="1"/>
    <col min="7668" max="7905" width="9.140625" style="1"/>
    <col min="7906" max="7906" width="11.140625" style="1" customWidth="1"/>
    <col min="7907" max="7907" width="11" style="1" customWidth="1"/>
    <col min="7908" max="7908" width="2.85546875" style="1" customWidth="1"/>
    <col min="7909" max="7909" width="9.140625" style="1"/>
    <col min="7910" max="7910" width="11.85546875" style="1" customWidth="1"/>
    <col min="7911" max="7911" width="11.28515625" style="1" customWidth="1"/>
    <col min="7912" max="7912" width="2.85546875" style="1" customWidth="1"/>
    <col min="7913" max="7913" width="9.140625" style="1"/>
    <col min="7914" max="7914" width="11.85546875" style="1" customWidth="1"/>
    <col min="7915" max="7915" width="11" style="1" customWidth="1"/>
    <col min="7916" max="7916" width="2.85546875" style="1" customWidth="1"/>
    <col min="7917" max="7917" width="9.140625" style="1"/>
    <col min="7918" max="7918" width="11.85546875" style="1" customWidth="1"/>
    <col min="7919" max="7919" width="11.140625" style="1" customWidth="1"/>
    <col min="7920" max="7920" width="3.28515625" style="1" customWidth="1"/>
    <col min="7921" max="7921" width="9.140625" style="1"/>
    <col min="7922" max="7922" width="11.85546875" style="1" customWidth="1"/>
    <col min="7923" max="7923" width="11.42578125" style="1" customWidth="1"/>
    <col min="7924" max="8161" width="9.140625" style="1"/>
    <col min="8162" max="8162" width="11.140625" style="1" customWidth="1"/>
    <col min="8163" max="8163" width="11" style="1" customWidth="1"/>
    <col min="8164" max="8164" width="2.85546875" style="1" customWidth="1"/>
    <col min="8165" max="8165" width="9.140625" style="1"/>
    <col min="8166" max="8166" width="11.85546875" style="1" customWidth="1"/>
    <col min="8167" max="8167" width="11.28515625" style="1" customWidth="1"/>
    <col min="8168" max="8168" width="2.85546875" style="1" customWidth="1"/>
    <col min="8169" max="8169" width="9.140625" style="1"/>
    <col min="8170" max="8170" width="11.85546875" style="1" customWidth="1"/>
    <col min="8171" max="8171" width="11" style="1" customWidth="1"/>
    <col min="8172" max="8172" width="2.85546875" style="1" customWidth="1"/>
    <col min="8173" max="8173" width="9.140625" style="1"/>
    <col min="8174" max="8174" width="11.85546875" style="1" customWidth="1"/>
    <col min="8175" max="8175" width="11.140625" style="1" customWidth="1"/>
    <col min="8176" max="8176" width="3.28515625" style="1" customWidth="1"/>
    <col min="8177" max="8177" width="9.140625" style="1"/>
    <col min="8178" max="8178" width="11.85546875" style="1" customWidth="1"/>
    <col min="8179" max="8179" width="11.42578125" style="1" customWidth="1"/>
    <col min="8180" max="8417" width="9.140625" style="1"/>
    <col min="8418" max="8418" width="11.140625" style="1" customWidth="1"/>
    <col min="8419" max="8419" width="11" style="1" customWidth="1"/>
    <col min="8420" max="8420" width="2.85546875" style="1" customWidth="1"/>
    <col min="8421" max="8421" width="9.140625" style="1"/>
    <col min="8422" max="8422" width="11.85546875" style="1" customWidth="1"/>
    <col min="8423" max="8423" width="11.28515625" style="1" customWidth="1"/>
    <col min="8424" max="8424" width="2.85546875" style="1" customWidth="1"/>
    <col min="8425" max="8425" width="9.140625" style="1"/>
    <col min="8426" max="8426" width="11.85546875" style="1" customWidth="1"/>
    <col min="8427" max="8427" width="11" style="1" customWidth="1"/>
    <col min="8428" max="8428" width="2.85546875" style="1" customWidth="1"/>
    <col min="8429" max="8429" width="9.140625" style="1"/>
    <col min="8430" max="8430" width="11.85546875" style="1" customWidth="1"/>
    <col min="8431" max="8431" width="11.140625" style="1" customWidth="1"/>
    <col min="8432" max="8432" width="3.28515625" style="1" customWidth="1"/>
    <col min="8433" max="8433" width="9.140625" style="1"/>
    <col min="8434" max="8434" width="11.85546875" style="1" customWidth="1"/>
    <col min="8435" max="8435" width="11.42578125" style="1" customWidth="1"/>
    <col min="8436" max="8673" width="9.140625" style="1"/>
    <col min="8674" max="8674" width="11.140625" style="1" customWidth="1"/>
    <col min="8675" max="8675" width="11" style="1" customWidth="1"/>
    <col min="8676" max="8676" width="2.85546875" style="1" customWidth="1"/>
    <col min="8677" max="8677" width="9.140625" style="1"/>
    <col min="8678" max="8678" width="11.85546875" style="1" customWidth="1"/>
    <col min="8679" max="8679" width="11.28515625" style="1" customWidth="1"/>
    <col min="8680" max="8680" width="2.85546875" style="1" customWidth="1"/>
    <col min="8681" max="8681" width="9.140625" style="1"/>
    <col min="8682" max="8682" width="11.85546875" style="1" customWidth="1"/>
    <col min="8683" max="8683" width="11" style="1" customWidth="1"/>
    <col min="8684" max="8684" width="2.85546875" style="1" customWidth="1"/>
    <col min="8685" max="8685" width="9.140625" style="1"/>
    <col min="8686" max="8686" width="11.85546875" style="1" customWidth="1"/>
    <col min="8687" max="8687" width="11.140625" style="1" customWidth="1"/>
    <col min="8688" max="8688" width="3.28515625" style="1" customWidth="1"/>
    <col min="8689" max="8689" width="9.140625" style="1"/>
    <col min="8690" max="8690" width="11.85546875" style="1" customWidth="1"/>
    <col min="8691" max="8691" width="11.42578125" style="1" customWidth="1"/>
    <col min="8692" max="8929" width="9.140625" style="1"/>
    <col min="8930" max="8930" width="11.140625" style="1" customWidth="1"/>
    <col min="8931" max="8931" width="11" style="1" customWidth="1"/>
    <col min="8932" max="8932" width="2.85546875" style="1" customWidth="1"/>
    <col min="8933" max="8933" width="9.140625" style="1"/>
    <col min="8934" max="8934" width="11.85546875" style="1" customWidth="1"/>
    <col min="8935" max="8935" width="11.28515625" style="1" customWidth="1"/>
    <col min="8936" max="8936" width="2.85546875" style="1" customWidth="1"/>
    <col min="8937" max="8937" width="9.140625" style="1"/>
    <col min="8938" max="8938" width="11.85546875" style="1" customWidth="1"/>
    <col min="8939" max="8939" width="11" style="1" customWidth="1"/>
    <col min="8940" max="8940" width="2.85546875" style="1" customWidth="1"/>
    <col min="8941" max="8941" width="9.140625" style="1"/>
    <col min="8942" max="8942" width="11.85546875" style="1" customWidth="1"/>
    <col min="8943" max="8943" width="11.140625" style="1" customWidth="1"/>
    <col min="8944" max="8944" width="3.28515625" style="1" customWidth="1"/>
    <col min="8945" max="8945" width="9.140625" style="1"/>
    <col min="8946" max="8946" width="11.85546875" style="1" customWidth="1"/>
    <col min="8947" max="8947" width="11.42578125" style="1" customWidth="1"/>
    <col min="8948" max="9185" width="9.140625" style="1"/>
    <col min="9186" max="9186" width="11.140625" style="1" customWidth="1"/>
    <col min="9187" max="9187" width="11" style="1" customWidth="1"/>
    <col min="9188" max="9188" width="2.85546875" style="1" customWidth="1"/>
    <col min="9189" max="9189" width="9.140625" style="1"/>
    <col min="9190" max="9190" width="11.85546875" style="1" customWidth="1"/>
    <col min="9191" max="9191" width="11.28515625" style="1" customWidth="1"/>
    <col min="9192" max="9192" width="2.85546875" style="1" customWidth="1"/>
    <col min="9193" max="9193" width="9.140625" style="1"/>
    <col min="9194" max="9194" width="11.85546875" style="1" customWidth="1"/>
    <col min="9195" max="9195" width="11" style="1" customWidth="1"/>
    <col min="9196" max="9196" width="2.85546875" style="1" customWidth="1"/>
    <col min="9197" max="9197" width="9.140625" style="1"/>
    <col min="9198" max="9198" width="11.85546875" style="1" customWidth="1"/>
    <col min="9199" max="9199" width="11.140625" style="1" customWidth="1"/>
    <col min="9200" max="9200" width="3.28515625" style="1" customWidth="1"/>
    <col min="9201" max="9201" width="9.140625" style="1"/>
    <col min="9202" max="9202" width="11.85546875" style="1" customWidth="1"/>
    <col min="9203" max="9203" width="11.42578125" style="1" customWidth="1"/>
    <col min="9204" max="9441" width="9.140625" style="1"/>
    <col min="9442" max="9442" width="11.140625" style="1" customWidth="1"/>
    <col min="9443" max="9443" width="11" style="1" customWidth="1"/>
    <col min="9444" max="9444" width="2.85546875" style="1" customWidth="1"/>
    <col min="9445" max="9445" width="9.140625" style="1"/>
    <col min="9446" max="9446" width="11.85546875" style="1" customWidth="1"/>
    <col min="9447" max="9447" width="11.28515625" style="1" customWidth="1"/>
    <col min="9448" max="9448" width="2.85546875" style="1" customWidth="1"/>
    <col min="9449" max="9449" width="9.140625" style="1"/>
    <col min="9450" max="9450" width="11.85546875" style="1" customWidth="1"/>
    <col min="9451" max="9451" width="11" style="1" customWidth="1"/>
    <col min="9452" max="9452" width="2.85546875" style="1" customWidth="1"/>
    <col min="9453" max="9453" width="9.140625" style="1"/>
    <col min="9454" max="9454" width="11.85546875" style="1" customWidth="1"/>
    <col min="9455" max="9455" width="11.140625" style="1" customWidth="1"/>
    <col min="9456" max="9456" width="3.28515625" style="1" customWidth="1"/>
    <col min="9457" max="9457" width="9.140625" style="1"/>
    <col min="9458" max="9458" width="11.85546875" style="1" customWidth="1"/>
    <col min="9459" max="9459" width="11.42578125" style="1" customWidth="1"/>
    <col min="9460" max="9697" width="9.140625" style="1"/>
    <col min="9698" max="9698" width="11.140625" style="1" customWidth="1"/>
    <col min="9699" max="9699" width="11" style="1" customWidth="1"/>
    <col min="9700" max="9700" width="2.85546875" style="1" customWidth="1"/>
    <col min="9701" max="9701" width="9.140625" style="1"/>
    <col min="9702" max="9702" width="11.85546875" style="1" customWidth="1"/>
    <col min="9703" max="9703" width="11.28515625" style="1" customWidth="1"/>
    <col min="9704" max="9704" width="2.85546875" style="1" customWidth="1"/>
    <col min="9705" max="9705" width="9.140625" style="1"/>
    <col min="9706" max="9706" width="11.85546875" style="1" customWidth="1"/>
    <col min="9707" max="9707" width="11" style="1" customWidth="1"/>
    <col min="9708" max="9708" width="2.85546875" style="1" customWidth="1"/>
    <col min="9709" max="9709" width="9.140625" style="1"/>
    <col min="9710" max="9710" width="11.85546875" style="1" customWidth="1"/>
    <col min="9711" max="9711" width="11.140625" style="1" customWidth="1"/>
    <col min="9712" max="9712" width="3.28515625" style="1" customWidth="1"/>
    <col min="9713" max="9713" width="9.140625" style="1"/>
    <col min="9714" max="9714" width="11.85546875" style="1" customWidth="1"/>
    <col min="9715" max="9715" width="11.42578125" style="1" customWidth="1"/>
    <col min="9716" max="9953" width="9.140625" style="1"/>
    <col min="9954" max="9954" width="11.140625" style="1" customWidth="1"/>
    <col min="9955" max="9955" width="11" style="1" customWidth="1"/>
    <col min="9956" max="9956" width="2.85546875" style="1" customWidth="1"/>
    <col min="9957" max="9957" width="9.140625" style="1"/>
    <col min="9958" max="9958" width="11.85546875" style="1" customWidth="1"/>
    <col min="9959" max="9959" width="11.28515625" style="1" customWidth="1"/>
    <col min="9960" max="9960" width="2.85546875" style="1" customWidth="1"/>
    <col min="9961" max="9961" width="9.140625" style="1"/>
    <col min="9962" max="9962" width="11.85546875" style="1" customWidth="1"/>
    <col min="9963" max="9963" width="11" style="1" customWidth="1"/>
    <col min="9964" max="9964" width="2.85546875" style="1" customWidth="1"/>
    <col min="9965" max="9965" width="9.140625" style="1"/>
    <col min="9966" max="9966" width="11.85546875" style="1" customWidth="1"/>
    <col min="9967" max="9967" width="11.140625" style="1" customWidth="1"/>
    <col min="9968" max="9968" width="3.28515625" style="1" customWidth="1"/>
    <col min="9969" max="9969" width="9.140625" style="1"/>
    <col min="9970" max="9970" width="11.85546875" style="1" customWidth="1"/>
    <col min="9971" max="9971" width="11.42578125" style="1" customWidth="1"/>
    <col min="9972" max="10209" width="9.140625" style="1"/>
    <col min="10210" max="10210" width="11.140625" style="1" customWidth="1"/>
    <col min="10211" max="10211" width="11" style="1" customWidth="1"/>
    <col min="10212" max="10212" width="2.85546875" style="1" customWidth="1"/>
    <col min="10213" max="10213" width="9.140625" style="1"/>
    <col min="10214" max="10214" width="11.85546875" style="1" customWidth="1"/>
    <col min="10215" max="10215" width="11.28515625" style="1" customWidth="1"/>
    <col min="10216" max="10216" width="2.85546875" style="1" customWidth="1"/>
    <col min="10217" max="10217" width="9.140625" style="1"/>
    <col min="10218" max="10218" width="11.85546875" style="1" customWidth="1"/>
    <col min="10219" max="10219" width="11" style="1" customWidth="1"/>
    <col min="10220" max="10220" width="2.85546875" style="1" customWidth="1"/>
    <col min="10221" max="10221" width="9.140625" style="1"/>
    <col min="10222" max="10222" width="11.85546875" style="1" customWidth="1"/>
    <col min="10223" max="10223" width="11.140625" style="1" customWidth="1"/>
    <col min="10224" max="10224" width="3.28515625" style="1" customWidth="1"/>
    <col min="10225" max="10225" width="9.140625" style="1"/>
    <col min="10226" max="10226" width="11.85546875" style="1" customWidth="1"/>
    <col min="10227" max="10227" width="11.42578125" style="1" customWidth="1"/>
    <col min="10228" max="10465" width="9.140625" style="1"/>
    <col min="10466" max="10466" width="11.140625" style="1" customWidth="1"/>
    <col min="10467" max="10467" width="11" style="1" customWidth="1"/>
    <col min="10468" max="10468" width="2.85546875" style="1" customWidth="1"/>
    <col min="10469" max="10469" width="9.140625" style="1"/>
    <col min="10470" max="10470" width="11.85546875" style="1" customWidth="1"/>
    <col min="10471" max="10471" width="11.28515625" style="1" customWidth="1"/>
    <col min="10472" max="10472" width="2.85546875" style="1" customWidth="1"/>
    <col min="10473" max="10473" width="9.140625" style="1"/>
    <col min="10474" max="10474" width="11.85546875" style="1" customWidth="1"/>
    <col min="10475" max="10475" width="11" style="1" customWidth="1"/>
    <col min="10476" max="10476" width="2.85546875" style="1" customWidth="1"/>
    <col min="10477" max="10477" width="9.140625" style="1"/>
    <col min="10478" max="10478" width="11.85546875" style="1" customWidth="1"/>
    <col min="10479" max="10479" width="11.140625" style="1" customWidth="1"/>
    <col min="10480" max="10480" width="3.28515625" style="1" customWidth="1"/>
    <col min="10481" max="10481" width="9.140625" style="1"/>
    <col min="10482" max="10482" width="11.85546875" style="1" customWidth="1"/>
    <col min="10483" max="10483" width="11.42578125" style="1" customWidth="1"/>
    <col min="10484" max="10721" width="9.140625" style="1"/>
    <col min="10722" max="10722" width="11.140625" style="1" customWidth="1"/>
    <col min="10723" max="10723" width="11" style="1" customWidth="1"/>
    <col min="10724" max="10724" width="2.85546875" style="1" customWidth="1"/>
    <col min="10725" max="10725" width="9.140625" style="1"/>
    <col min="10726" max="10726" width="11.85546875" style="1" customWidth="1"/>
    <col min="10727" max="10727" width="11.28515625" style="1" customWidth="1"/>
    <col min="10728" max="10728" width="2.85546875" style="1" customWidth="1"/>
    <col min="10729" max="10729" width="9.140625" style="1"/>
    <col min="10730" max="10730" width="11.85546875" style="1" customWidth="1"/>
    <col min="10731" max="10731" width="11" style="1" customWidth="1"/>
    <col min="10732" max="10732" width="2.85546875" style="1" customWidth="1"/>
    <col min="10733" max="10733" width="9.140625" style="1"/>
    <col min="10734" max="10734" width="11.85546875" style="1" customWidth="1"/>
    <col min="10735" max="10735" width="11.140625" style="1" customWidth="1"/>
    <col min="10736" max="10736" width="3.28515625" style="1" customWidth="1"/>
    <col min="10737" max="10737" width="9.140625" style="1"/>
    <col min="10738" max="10738" width="11.85546875" style="1" customWidth="1"/>
    <col min="10739" max="10739" width="11.42578125" style="1" customWidth="1"/>
    <col min="10740" max="10977" width="9.140625" style="1"/>
    <col min="10978" max="10978" width="11.140625" style="1" customWidth="1"/>
    <col min="10979" max="10979" width="11" style="1" customWidth="1"/>
    <col min="10980" max="10980" width="2.85546875" style="1" customWidth="1"/>
    <col min="10981" max="10981" width="9.140625" style="1"/>
    <col min="10982" max="10982" width="11.85546875" style="1" customWidth="1"/>
    <col min="10983" max="10983" width="11.28515625" style="1" customWidth="1"/>
    <col min="10984" max="10984" width="2.85546875" style="1" customWidth="1"/>
    <col min="10985" max="10985" width="9.140625" style="1"/>
    <col min="10986" max="10986" width="11.85546875" style="1" customWidth="1"/>
    <col min="10987" max="10987" width="11" style="1" customWidth="1"/>
    <col min="10988" max="10988" width="2.85546875" style="1" customWidth="1"/>
    <col min="10989" max="10989" width="9.140625" style="1"/>
    <col min="10990" max="10990" width="11.85546875" style="1" customWidth="1"/>
    <col min="10991" max="10991" width="11.140625" style="1" customWidth="1"/>
    <col min="10992" max="10992" width="3.28515625" style="1" customWidth="1"/>
    <col min="10993" max="10993" width="9.140625" style="1"/>
    <col min="10994" max="10994" width="11.85546875" style="1" customWidth="1"/>
    <col min="10995" max="10995" width="11.42578125" style="1" customWidth="1"/>
    <col min="10996" max="11233" width="9.140625" style="1"/>
    <col min="11234" max="11234" width="11.140625" style="1" customWidth="1"/>
    <col min="11235" max="11235" width="11" style="1" customWidth="1"/>
    <col min="11236" max="11236" width="2.85546875" style="1" customWidth="1"/>
    <col min="11237" max="11237" width="9.140625" style="1"/>
    <col min="11238" max="11238" width="11.85546875" style="1" customWidth="1"/>
    <col min="11239" max="11239" width="11.28515625" style="1" customWidth="1"/>
    <col min="11240" max="11240" width="2.85546875" style="1" customWidth="1"/>
    <col min="11241" max="11241" width="9.140625" style="1"/>
    <col min="11242" max="11242" width="11.85546875" style="1" customWidth="1"/>
    <col min="11243" max="11243" width="11" style="1" customWidth="1"/>
    <col min="11244" max="11244" width="2.85546875" style="1" customWidth="1"/>
    <col min="11245" max="11245" width="9.140625" style="1"/>
    <col min="11246" max="11246" width="11.85546875" style="1" customWidth="1"/>
    <col min="11247" max="11247" width="11.140625" style="1" customWidth="1"/>
    <col min="11248" max="11248" width="3.28515625" style="1" customWidth="1"/>
    <col min="11249" max="11249" width="9.140625" style="1"/>
    <col min="11250" max="11250" width="11.85546875" style="1" customWidth="1"/>
    <col min="11251" max="11251" width="11.42578125" style="1" customWidth="1"/>
    <col min="11252" max="11489" width="9.140625" style="1"/>
    <col min="11490" max="11490" width="11.140625" style="1" customWidth="1"/>
    <col min="11491" max="11491" width="11" style="1" customWidth="1"/>
    <col min="11492" max="11492" width="2.85546875" style="1" customWidth="1"/>
    <col min="11493" max="11493" width="9.140625" style="1"/>
    <col min="11494" max="11494" width="11.85546875" style="1" customWidth="1"/>
    <col min="11495" max="11495" width="11.28515625" style="1" customWidth="1"/>
    <col min="11496" max="11496" width="2.85546875" style="1" customWidth="1"/>
    <col min="11497" max="11497" width="9.140625" style="1"/>
    <col min="11498" max="11498" width="11.85546875" style="1" customWidth="1"/>
    <col min="11499" max="11499" width="11" style="1" customWidth="1"/>
    <col min="11500" max="11500" width="2.85546875" style="1" customWidth="1"/>
    <col min="11501" max="11501" width="9.140625" style="1"/>
    <col min="11502" max="11502" width="11.85546875" style="1" customWidth="1"/>
    <col min="11503" max="11503" width="11.140625" style="1" customWidth="1"/>
    <col min="11504" max="11504" width="3.28515625" style="1" customWidth="1"/>
    <col min="11505" max="11505" width="9.140625" style="1"/>
    <col min="11506" max="11506" width="11.85546875" style="1" customWidth="1"/>
    <col min="11507" max="11507" width="11.42578125" style="1" customWidth="1"/>
    <col min="11508" max="11745" width="9.140625" style="1"/>
    <col min="11746" max="11746" width="11.140625" style="1" customWidth="1"/>
    <col min="11747" max="11747" width="11" style="1" customWidth="1"/>
    <col min="11748" max="11748" width="2.85546875" style="1" customWidth="1"/>
    <col min="11749" max="11749" width="9.140625" style="1"/>
    <col min="11750" max="11750" width="11.85546875" style="1" customWidth="1"/>
    <col min="11751" max="11751" width="11.28515625" style="1" customWidth="1"/>
    <col min="11752" max="11752" width="2.85546875" style="1" customWidth="1"/>
    <col min="11753" max="11753" width="9.140625" style="1"/>
    <col min="11754" max="11754" width="11.85546875" style="1" customWidth="1"/>
    <col min="11755" max="11755" width="11" style="1" customWidth="1"/>
    <col min="11756" max="11756" width="2.85546875" style="1" customWidth="1"/>
    <col min="11757" max="11757" width="9.140625" style="1"/>
    <col min="11758" max="11758" width="11.85546875" style="1" customWidth="1"/>
    <col min="11759" max="11759" width="11.140625" style="1" customWidth="1"/>
    <col min="11760" max="11760" width="3.28515625" style="1" customWidth="1"/>
    <col min="11761" max="11761" width="9.140625" style="1"/>
    <col min="11762" max="11762" width="11.85546875" style="1" customWidth="1"/>
    <col min="11763" max="11763" width="11.42578125" style="1" customWidth="1"/>
    <col min="11764" max="12001" width="9.140625" style="1"/>
    <col min="12002" max="12002" width="11.140625" style="1" customWidth="1"/>
    <col min="12003" max="12003" width="11" style="1" customWidth="1"/>
    <col min="12004" max="12004" width="2.85546875" style="1" customWidth="1"/>
    <col min="12005" max="12005" width="9.140625" style="1"/>
    <col min="12006" max="12006" width="11.85546875" style="1" customWidth="1"/>
    <col min="12007" max="12007" width="11.28515625" style="1" customWidth="1"/>
    <col min="12008" max="12008" width="2.85546875" style="1" customWidth="1"/>
    <col min="12009" max="12009" width="9.140625" style="1"/>
    <col min="12010" max="12010" width="11.85546875" style="1" customWidth="1"/>
    <col min="12011" max="12011" width="11" style="1" customWidth="1"/>
    <col min="12012" max="12012" width="2.85546875" style="1" customWidth="1"/>
    <col min="12013" max="12013" width="9.140625" style="1"/>
    <col min="12014" max="12014" width="11.85546875" style="1" customWidth="1"/>
    <col min="12015" max="12015" width="11.140625" style="1" customWidth="1"/>
    <col min="12016" max="12016" width="3.28515625" style="1" customWidth="1"/>
    <col min="12017" max="12017" width="9.140625" style="1"/>
    <col min="12018" max="12018" width="11.85546875" style="1" customWidth="1"/>
    <col min="12019" max="12019" width="11.42578125" style="1" customWidth="1"/>
    <col min="12020" max="12257" width="9.140625" style="1"/>
    <col min="12258" max="12258" width="11.140625" style="1" customWidth="1"/>
    <col min="12259" max="12259" width="11" style="1" customWidth="1"/>
    <col min="12260" max="12260" width="2.85546875" style="1" customWidth="1"/>
    <col min="12261" max="12261" width="9.140625" style="1"/>
    <col min="12262" max="12262" width="11.85546875" style="1" customWidth="1"/>
    <col min="12263" max="12263" width="11.28515625" style="1" customWidth="1"/>
    <col min="12264" max="12264" width="2.85546875" style="1" customWidth="1"/>
    <col min="12265" max="12265" width="9.140625" style="1"/>
    <col min="12266" max="12266" width="11.85546875" style="1" customWidth="1"/>
    <col min="12267" max="12267" width="11" style="1" customWidth="1"/>
    <col min="12268" max="12268" width="2.85546875" style="1" customWidth="1"/>
    <col min="12269" max="12269" width="9.140625" style="1"/>
    <col min="12270" max="12270" width="11.85546875" style="1" customWidth="1"/>
    <col min="12271" max="12271" width="11.140625" style="1" customWidth="1"/>
    <col min="12272" max="12272" width="3.28515625" style="1" customWidth="1"/>
    <col min="12273" max="12273" width="9.140625" style="1"/>
    <col min="12274" max="12274" width="11.85546875" style="1" customWidth="1"/>
    <col min="12275" max="12275" width="11.42578125" style="1" customWidth="1"/>
    <col min="12276" max="12513" width="9.140625" style="1"/>
    <col min="12514" max="12514" width="11.140625" style="1" customWidth="1"/>
    <col min="12515" max="12515" width="11" style="1" customWidth="1"/>
    <col min="12516" max="12516" width="2.85546875" style="1" customWidth="1"/>
    <col min="12517" max="12517" width="9.140625" style="1"/>
    <col min="12518" max="12518" width="11.85546875" style="1" customWidth="1"/>
    <col min="12519" max="12519" width="11.28515625" style="1" customWidth="1"/>
    <col min="12520" max="12520" width="2.85546875" style="1" customWidth="1"/>
    <col min="12521" max="12521" width="9.140625" style="1"/>
    <col min="12522" max="12522" width="11.85546875" style="1" customWidth="1"/>
    <col min="12523" max="12523" width="11" style="1" customWidth="1"/>
    <col min="12524" max="12524" width="2.85546875" style="1" customWidth="1"/>
    <col min="12525" max="12525" width="9.140625" style="1"/>
    <col min="12526" max="12526" width="11.85546875" style="1" customWidth="1"/>
    <col min="12527" max="12527" width="11.140625" style="1" customWidth="1"/>
    <col min="12528" max="12528" width="3.28515625" style="1" customWidth="1"/>
    <col min="12529" max="12529" width="9.140625" style="1"/>
    <col min="12530" max="12530" width="11.85546875" style="1" customWidth="1"/>
    <col min="12531" max="12531" width="11.42578125" style="1" customWidth="1"/>
    <col min="12532" max="12769" width="9.140625" style="1"/>
    <col min="12770" max="12770" width="11.140625" style="1" customWidth="1"/>
    <col min="12771" max="12771" width="11" style="1" customWidth="1"/>
    <col min="12772" max="12772" width="2.85546875" style="1" customWidth="1"/>
    <col min="12773" max="12773" width="9.140625" style="1"/>
    <col min="12774" max="12774" width="11.85546875" style="1" customWidth="1"/>
    <col min="12775" max="12775" width="11.28515625" style="1" customWidth="1"/>
    <col min="12776" max="12776" width="2.85546875" style="1" customWidth="1"/>
    <col min="12777" max="12777" width="9.140625" style="1"/>
    <col min="12778" max="12778" width="11.85546875" style="1" customWidth="1"/>
    <col min="12779" max="12779" width="11" style="1" customWidth="1"/>
    <col min="12780" max="12780" width="2.85546875" style="1" customWidth="1"/>
    <col min="12781" max="12781" width="9.140625" style="1"/>
    <col min="12782" max="12782" width="11.85546875" style="1" customWidth="1"/>
    <col min="12783" max="12783" width="11.140625" style="1" customWidth="1"/>
    <col min="12784" max="12784" width="3.28515625" style="1" customWidth="1"/>
    <col min="12785" max="12785" width="9.140625" style="1"/>
    <col min="12786" max="12786" width="11.85546875" style="1" customWidth="1"/>
    <col min="12787" max="12787" width="11.42578125" style="1" customWidth="1"/>
    <col min="12788" max="13025" width="9.140625" style="1"/>
    <col min="13026" max="13026" width="11.140625" style="1" customWidth="1"/>
    <col min="13027" max="13027" width="11" style="1" customWidth="1"/>
    <col min="13028" max="13028" width="2.85546875" style="1" customWidth="1"/>
    <col min="13029" max="13029" width="9.140625" style="1"/>
    <col min="13030" max="13030" width="11.85546875" style="1" customWidth="1"/>
    <col min="13031" max="13031" width="11.28515625" style="1" customWidth="1"/>
    <col min="13032" max="13032" width="2.85546875" style="1" customWidth="1"/>
    <col min="13033" max="13033" width="9.140625" style="1"/>
    <col min="13034" max="13034" width="11.85546875" style="1" customWidth="1"/>
    <col min="13035" max="13035" width="11" style="1" customWidth="1"/>
    <col min="13036" max="13036" width="2.85546875" style="1" customWidth="1"/>
    <col min="13037" max="13037" width="9.140625" style="1"/>
    <col min="13038" max="13038" width="11.85546875" style="1" customWidth="1"/>
    <col min="13039" max="13039" width="11.140625" style="1" customWidth="1"/>
    <col min="13040" max="13040" width="3.28515625" style="1" customWidth="1"/>
    <col min="13041" max="13041" width="9.140625" style="1"/>
    <col min="13042" max="13042" width="11.85546875" style="1" customWidth="1"/>
    <col min="13043" max="13043" width="11.42578125" style="1" customWidth="1"/>
    <col min="13044" max="13281" width="9.140625" style="1"/>
    <col min="13282" max="13282" width="11.140625" style="1" customWidth="1"/>
    <col min="13283" max="13283" width="11" style="1" customWidth="1"/>
    <col min="13284" max="13284" width="2.85546875" style="1" customWidth="1"/>
    <col min="13285" max="13285" width="9.140625" style="1"/>
    <col min="13286" max="13286" width="11.85546875" style="1" customWidth="1"/>
    <col min="13287" max="13287" width="11.28515625" style="1" customWidth="1"/>
    <col min="13288" max="13288" width="2.85546875" style="1" customWidth="1"/>
    <col min="13289" max="13289" width="9.140625" style="1"/>
    <col min="13290" max="13290" width="11.85546875" style="1" customWidth="1"/>
    <col min="13291" max="13291" width="11" style="1" customWidth="1"/>
    <col min="13292" max="13292" width="2.85546875" style="1" customWidth="1"/>
    <col min="13293" max="13293" width="9.140625" style="1"/>
    <col min="13294" max="13294" width="11.85546875" style="1" customWidth="1"/>
    <col min="13295" max="13295" width="11.140625" style="1" customWidth="1"/>
    <col min="13296" max="13296" width="3.28515625" style="1" customWidth="1"/>
    <col min="13297" max="13297" width="9.140625" style="1"/>
    <col min="13298" max="13298" width="11.85546875" style="1" customWidth="1"/>
    <col min="13299" max="13299" width="11.42578125" style="1" customWidth="1"/>
    <col min="13300" max="13537" width="9.140625" style="1"/>
    <col min="13538" max="13538" width="11.140625" style="1" customWidth="1"/>
    <col min="13539" max="13539" width="11" style="1" customWidth="1"/>
    <col min="13540" max="13540" width="2.85546875" style="1" customWidth="1"/>
    <col min="13541" max="13541" width="9.140625" style="1"/>
    <col min="13542" max="13542" width="11.85546875" style="1" customWidth="1"/>
    <col min="13543" max="13543" width="11.28515625" style="1" customWidth="1"/>
    <col min="13544" max="13544" width="2.85546875" style="1" customWidth="1"/>
    <col min="13545" max="13545" width="9.140625" style="1"/>
    <col min="13546" max="13546" width="11.85546875" style="1" customWidth="1"/>
    <col min="13547" max="13547" width="11" style="1" customWidth="1"/>
    <col min="13548" max="13548" width="2.85546875" style="1" customWidth="1"/>
    <col min="13549" max="13549" width="9.140625" style="1"/>
    <col min="13550" max="13550" width="11.85546875" style="1" customWidth="1"/>
    <col min="13551" max="13551" width="11.140625" style="1" customWidth="1"/>
    <col min="13552" max="13552" width="3.28515625" style="1" customWidth="1"/>
    <col min="13553" max="13553" width="9.140625" style="1"/>
    <col min="13554" max="13554" width="11.85546875" style="1" customWidth="1"/>
    <col min="13555" max="13555" width="11.42578125" style="1" customWidth="1"/>
    <col min="13556" max="13793" width="9.140625" style="1"/>
    <col min="13794" max="13794" width="11.140625" style="1" customWidth="1"/>
    <col min="13795" max="13795" width="11" style="1" customWidth="1"/>
    <col min="13796" max="13796" width="2.85546875" style="1" customWidth="1"/>
    <col min="13797" max="13797" width="9.140625" style="1"/>
    <col min="13798" max="13798" width="11.85546875" style="1" customWidth="1"/>
    <col min="13799" max="13799" width="11.28515625" style="1" customWidth="1"/>
    <col min="13800" max="13800" width="2.85546875" style="1" customWidth="1"/>
    <col min="13801" max="13801" width="9.140625" style="1"/>
    <col min="13802" max="13802" width="11.85546875" style="1" customWidth="1"/>
    <col min="13803" max="13803" width="11" style="1" customWidth="1"/>
    <col min="13804" max="13804" width="2.85546875" style="1" customWidth="1"/>
    <col min="13805" max="13805" width="9.140625" style="1"/>
    <col min="13806" max="13806" width="11.85546875" style="1" customWidth="1"/>
    <col min="13807" max="13807" width="11.140625" style="1" customWidth="1"/>
    <col min="13808" max="13808" width="3.28515625" style="1" customWidth="1"/>
    <col min="13809" max="13809" width="9.140625" style="1"/>
    <col min="13810" max="13810" width="11.85546875" style="1" customWidth="1"/>
    <col min="13811" max="13811" width="11.42578125" style="1" customWidth="1"/>
    <col min="13812" max="14049" width="9.140625" style="1"/>
    <col min="14050" max="14050" width="11.140625" style="1" customWidth="1"/>
    <col min="14051" max="14051" width="11" style="1" customWidth="1"/>
    <col min="14052" max="14052" width="2.85546875" style="1" customWidth="1"/>
    <col min="14053" max="14053" width="9.140625" style="1"/>
    <col min="14054" max="14054" width="11.85546875" style="1" customWidth="1"/>
    <col min="14055" max="14055" width="11.28515625" style="1" customWidth="1"/>
    <col min="14056" max="14056" width="2.85546875" style="1" customWidth="1"/>
    <col min="14057" max="14057" width="9.140625" style="1"/>
    <col min="14058" max="14058" width="11.85546875" style="1" customWidth="1"/>
    <col min="14059" max="14059" width="11" style="1" customWidth="1"/>
    <col min="14060" max="14060" width="2.85546875" style="1" customWidth="1"/>
    <col min="14061" max="14061" width="9.140625" style="1"/>
    <col min="14062" max="14062" width="11.85546875" style="1" customWidth="1"/>
    <col min="14063" max="14063" width="11.140625" style="1" customWidth="1"/>
    <col min="14064" max="14064" width="3.28515625" style="1" customWidth="1"/>
    <col min="14065" max="14065" width="9.140625" style="1"/>
    <col min="14066" max="14066" width="11.85546875" style="1" customWidth="1"/>
    <col min="14067" max="14067" width="11.42578125" style="1" customWidth="1"/>
    <col min="14068" max="14305" width="9.140625" style="1"/>
    <col min="14306" max="14306" width="11.140625" style="1" customWidth="1"/>
    <col min="14307" max="14307" width="11" style="1" customWidth="1"/>
    <col min="14308" max="14308" width="2.85546875" style="1" customWidth="1"/>
    <col min="14309" max="14309" width="9.140625" style="1"/>
    <col min="14310" max="14310" width="11.85546875" style="1" customWidth="1"/>
    <col min="14311" max="14311" width="11.28515625" style="1" customWidth="1"/>
    <col min="14312" max="14312" width="2.85546875" style="1" customWidth="1"/>
    <col min="14313" max="14313" width="9.140625" style="1"/>
    <col min="14314" max="14314" width="11.85546875" style="1" customWidth="1"/>
    <col min="14315" max="14315" width="11" style="1" customWidth="1"/>
    <col min="14316" max="14316" width="2.85546875" style="1" customWidth="1"/>
    <col min="14317" max="14317" width="9.140625" style="1"/>
    <col min="14318" max="14318" width="11.85546875" style="1" customWidth="1"/>
    <col min="14319" max="14319" width="11.140625" style="1" customWidth="1"/>
    <col min="14320" max="14320" width="3.28515625" style="1" customWidth="1"/>
    <col min="14321" max="14321" width="9.140625" style="1"/>
    <col min="14322" max="14322" width="11.85546875" style="1" customWidth="1"/>
    <col min="14323" max="14323" width="11.42578125" style="1" customWidth="1"/>
    <col min="14324" max="14561" width="9.140625" style="1"/>
    <col min="14562" max="14562" width="11.140625" style="1" customWidth="1"/>
    <col min="14563" max="14563" width="11" style="1" customWidth="1"/>
    <col min="14564" max="14564" width="2.85546875" style="1" customWidth="1"/>
    <col min="14565" max="14565" width="9.140625" style="1"/>
    <col min="14566" max="14566" width="11.85546875" style="1" customWidth="1"/>
    <col min="14567" max="14567" width="11.28515625" style="1" customWidth="1"/>
    <col min="14568" max="14568" width="2.85546875" style="1" customWidth="1"/>
    <col min="14569" max="14569" width="9.140625" style="1"/>
    <col min="14570" max="14570" width="11.85546875" style="1" customWidth="1"/>
    <col min="14571" max="14571" width="11" style="1" customWidth="1"/>
    <col min="14572" max="14572" width="2.85546875" style="1" customWidth="1"/>
    <col min="14573" max="14573" width="9.140625" style="1"/>
    <col min="14574" max="14574" width="11.85546875" style="1" customWidth="1"/>
    <col min="14575" max="14575" width="11.140625" style="1" customWidth="1"/>
    <col min="14576" max="14576" width="3.28515625" style="1" customWidth="1"/>
    <col min="14577" max="14577" width="9.140625" style="1"/>
    <col min="14578" max="14578" width="11.85546875" style="1" customWidth="1"/>
    <col min="14579" max="14579" width="11.42578125" style="1" customWidth="1"/>
    <col min="14580" max="14817" width="9.140625" style="1"/>
    <col min="14818" max="14818" width="11.140625" style="1" customWidth="1"/>
    <col min="14819" max="14819" width="11" style="1" customWidth="1"/>
    <col min="14820" max="14820" width="2.85546875" style="1" customWidth="1"/>
    <col min="14821" max="14821" width="9.140625" style="1"/>
    <col min="14822" max="14822" width="11.85546875" style="1" customWidth="1"/>
    <col min="14823" max="14823" width="11.28515625" style="1" customWidth="1"/>
    <col min="14824" max="14824" width="2.85546875" style="1" customWidth="1"/>
    <col min="14825" max="14825" width="9.140625" style="1"/>
    <col min="14826" max="14826" width="11.85546875" style="1" customWidth="1"/>
    <col min="14827" max="14827" width="11" style="1" customWidth="1"/>
    <col min="14828" max="14828" width="2.85546875" style="1" customWidth="1"/>
    <col min="14829" max="14829" width="9.140625" style="1"/>
    <col min="14830" max="14830" width="11.85546875" style="1" customWidth="1"/>
    <col min="14831" max="14831" width="11.140625" style="1" customWidth="1"/>
    <col min="14832" max="14832" width="3.28515625" style="1" customWidth="1"/>
    <col min="14833" max="14833" width="9.140625" style="1"/>
    <col min="14834" max="14834" width="11.85546875" style="1" customWidth="1"/>
    <col min="14835" max="14835" width="11.42578125" style="1" customWidth="1"/>
    <col min="14836" max="15073" width="9.140625" style="1"/>
    <col min="15074" max="15074" width="11.140625" style="1" customWidth="1"/>
    <col min="15075" max="15075" width="11" style="1" customWidth="1"/>
    <col min="15076" max="15076" width="2.85546875" style="1" customWidth="1"/>
    <col min="15077" max="15077" width="9.140625" style="1"/>
    <col min="15078" max="15078" width="11.85546875" style="1" customWidth="1"/>
    <col min="15079" max="15079" width="11.28515625" style="1" customWidth="1"/>
    <col min="15080" max="15080" width="2.85546875" style="1" customWidth="1"/>
    <col min="15081" max="15081" width="9.140625" style="1"/>
    <col min="15082" max="15082" width="11.85546875" style="1" customWidth="1"/>
    <col min="15083" max="15083" width="11" style="1" customWidth="1"/>
    <col min="15084" max="15084" width="2.85546875" style="1" customWidth="1"/>
    <col min="15085" max="15085" width="9.140625" style="1"/>
    <col min="15086" max="15086" width="11.85546875" style="1" customWidth="1"/>
    <col min="15087" max="15087" width="11.140625" style="1" customWidth="1"/>
    <col min="15088" max="15088" width="3.28515625" style="1" customWidth="1"/>
    <col min="15089" max="15089" width="9.140625" style="1"/>
    <col min="15090" max="15090" width="11.85546875" style="1" customWidth="1"/>
    <col min="15091" max="15091" width="11.42578125" style="1" customWidth="1"/>
    <col min="15092" max="15329" width="9.140625" style="1"/>
    <col min="15330" max="15330" width="11.140625" style="1" customWidth="1"/>
    <col min="15331" max="15331" width="11" style="1" customWidth="1"/>
    <col min="15332" max="15332" width="2.85546875" style="1" customWidth="1"/>
    <col min="15333" max="15333" width="9.140625" style="1"/>
    <col min="15334" max="15334" width="11.85546875" style="1" customWidth="1"/>
    <col min="15335" max="15335" width="11.28515625" style="1" customWidth="1"/>
    <col min="15336" max="15336" width="2.85546875" style="1" customWidth="1"/>
    <col min="15337" max="15337" width="9.140625" style="1"/>
    <col min="15338" max="15338" width="11.85546875" style="1" customWidth="1"/>
    <col min="15339" max="15339" width="11" style="1" customWidth="1"/>
    <col min="15340" max="15340" width="2.85546875" style="1" customWidth="1"/>
    <col min="15341" max="15341" width="9.140625" style="1"/>
    <col min="15342" max="15342" width="11.85546875" style="1" customWidth="1"/>
    <col min="15343" max="15343" width="11.140625" style="1" customWidth="1"/>
    <col min="15344" max="15344" width="3.28515625" style="1" customWidth="1"/>
    <col min="15345" max="15345" width="9.140625" style="1"/>
    <col min="15346" max="15346" width="11.85546875" style="1" customWidth="1"/>
    <col min="15347" max="15347" width="11.42578125" style="1" customWidth="1"/>
    <col min="15348" max="15585" width="9.140625" style="1"/>
    <col min="15586" max="15586" width="11.140625" style="1" customWidth="1"/>
    <col min="15587" max="15587" width="11" style="1" customWidth="1"/>
    <col min="15588" max="15588" width="2.85546875" style="1" customWidth="1"/>
    <col min="15589" max="15589" width="9.140625" style="1"/>
    <col min="15590" max="15590" width="11.85546875" style="1" customWidth="1"/>
    <col min="15591" max="15591" width="11.28515625" style="1" customWidth="1"/>
    <col min="15592" max="15592" width="2.85546875" style="1" customWidth="1"/>
    <col min="15593" max="15593" width="9.140625" style="1"/>
    <col min="15594" max="15594" width="11.85546875" style="1" customWidth="1"/>
    <col min="15595" max="15595" width="11" style="1" customWidth="1"/>
    <col min="15596" max="15596" width="2.85546875" style="1" customWidth="1"/>
    <col min="15597" max="15597" width="9.140625" style="1"/>
    <col min="15598" max="15598" width="11.85546875" style="1" customWidth="1"/>
    <col min="15599" max="15599" width="11.140625" style="1" customWidth="1"/>
    <col min="15600" max="15600" width="3.28515625" style="1" customWidth="1"/>
    <col min="15601" max="15601" width="9.140625" style="1"/>
    <col min="15602" max="15602" width="11.85546875" style="1" customWidth="1"/>
    <col min="15603" max="15603" width="11.42578125" style="1" customWidth="1"/>
    <col min="15604" max="15841" width="9.140625" style="1"/>
    <col min="15842" max="15842" width="11.140625" style="1" customWidth="1"/>
    <col min="15843" max="15843" width="11" style="1" customWidth="1"/>
    <col min="15844" max="15844" width="2.85546875" style="1" customWidth="1"/>
    <col min="15845" max="15845" width="9.140625" style="1"/>
    <col min="15846" max="15846" width="11.85546875" style="1" customWidth="1"/>
    <col min="15847" max="15847" width="11.28515625" style="1" customWidth="1"/>
    <col min="15848" max="15848" width="2.85546875" style="1" customWidth="1"/>
    <col min="15849" max="15849" width="9.140625" style="1"/>
    <col min="15850" max="15850" width="11.85546875" style="1" customWidth="1"/>
    <col min="15851" max="15851" width="11" style="1" customWidth="1"/>
    <col min="15852" max="15852" width="2.85546875" style="1" customWidth="1"/>
    <col min="15853" max="15853" width="9.140625" style="1"/>
    <col min="15854" max="15854" width="11.85546875" style="1" customWidth="1"/>
    <col min="15855" max="15855" width="11.140625" style="1" customWidth="1"/>
    <col min="15856" max="15856" width="3.28515625" style="1" customWidth="1"/>
    <col min="15857" max="15857" width="9.140625" style="1"/>
    <col min="15858" max="15858" width="11.85546875" style="1" customWidth="1"/>
    <col min="15859" max="15859" width="11.42578125" style="1" customWidth="1"/>
    <col min="15860" max="16097" width="9.140625" style="1"/>
    <col min="16098" max="16098" width="11.140625" style="1" customWidth="1"/>
    <col min="16099" max="16099" width="11" style="1" customWidth="1"/>
    <col min="16100" max="16100" width="2.85546875" style="1" customWidth="1"/>
    <col min="16101" max="16101" width="9.140625" style="1"/>
    <col min="16102" max="16102" width="11.85546875" style="1" customWidth="1"/>
    <col min="16103" max="16103" width="11.28515625" style="1" customWidth="1"/>
    <col min="16104" max="16104" width="2.85546875" style="1" customWidth="1"/>
    <col min="16105" max="16105" width="9.140625" style="1"/>
    <col min="16106" max="16106" width="11.85546875" style="1" customWidth="1"/>
    <col min="16107" max="16107" width="11" style="1" customWidth="1"/>
    <col min="16108" max="16108" width="2.85546875" style="1" customWidth="1"/>
    <col min="16109" max="16109" width="9.140625" style="1"/>
    <col min="16110" max="16110" width="11.85546875" style="1" customWidth="1"/>
    <col min="16111" max="16111" width="11.140625" style="1" customWidth="1"/>
    <col min="16112" max="16112" width="3.28515625" style="1" customWidth="1"/>
    <col min="16113" max="16113" width="9.140625" style="1"/>
    <col min="16114" max="16114" width="11.85546875" style="1" customWidth="1"/>
    <col min="16115" max="16115" width="11.42578125" style="1" customWidth="1"/>
    <col min="16116" max="16384" width="9.140625" style="1"/>
  </cols>
  <sheetData>
    <row r="1" spans="1:28" ht="38.25" customHeight="1" x14ac:dyDescent="0.2">
      <c r="A1" s="1655" t="s">
        <v>626</v>
      </c>
      <c r="B1" s="1655"/>
      <c r="C1" s="1655"/>
      <c r="D1" s="1655"/>
      <c r="E1" s="1655"/>
      <c r="F1" s="1655"/>
      <c r="G1" s="1655"/>
      <c r="H1" s="1655"/>
      <c r="I1" s="1655"/>
      <c r="J1" s="1655"/>
      <c r="K1" s="1655"/>
      <c r="L1" s="1655"/>
      <c r="M1" s="1655"/>
      <c r="N1" s="1655"/>
      <c r="O1" s="1655"/>
      <c r="P1" s="1655"/>
    </row>
    <row r="2" spans="1:28" ht="15" x14ac:dyDescent="0.25">
      <c r="T2" s="253" t="s">
        <v>0</v>
      </c>
    </row>
    <row r="3" spans="1:28" s="2" customFormat="1" x14ac:dyDescent="0.2">
      <c r="A3" s="51"/>
      <c r="B3" s="1701" t="s">
        <v>100</v>
      </c>
      <c r="C3" s="1702"/>
      <c r="D3" s="1703"/>
      <c r="F3" s="1701" t="s">
        <v>101</v>
      </c>
      <c r="G3" s="1702"/>
      <c r="H3" s="1703"/>
      <c r="J3" s="1701" t="s">
        <v>102</v>
      </c>
      <c r="K3" s="1702"/>
      <c r="L3" s="1703"/>
      <c r="N3" s="1701" t="s">
        <v>103</v>
      </c>
      <c r="O3" s="1702"/>
      <c r="P3" s="1703"/>
      <c r="R3" s="1701" t="s">
        <v>104</v>
      </c>
      <c r="S3" s="1702"/>
      <c r="T3" s="1703"/>
      <c r="V3"/>
      <c r="W3"/>
      <c r="X3"/>
      <c r="Y3"/>
      <c r="Z3"/>
      <c r="AA3"/>
      <c r="AB3"/>
    </row>
    <row r="4" spans="1:28" ht="25.5" x14ac:dyDescent="0.2">
      <c r="A4" s="17" t="s">
        <v>4</v>
      </c>
      <c r="B4" s="1121" t="s">
        <v>105</v>
      </c>
      <c r="C4" s="1122" t="s">
        <v>60</v>
      </c>
      <c r="D4" s="1123" t="s">
        <v>113</v>
      </c>
      <c r="F4" s="1121" t="s">
        <v>105</v>
      </c>
      <c r="G4" s="1122" t="s">
        <v>60</v>
      </c>
      <c r="H4" s="1123" t="s">
        <v>113</v>
      </c>
      <c r="J4" s="1121" t="s">
        <v>105</v>
      </c>
      <c r="K4" s="1122" t="s">
        <v>60</v>
      </c>
      <c r="L4" s="1123" t="s">
        <v>113</v>
      </c>
      <c r="N4" s="140" t="s">
        <v>105</v>
      </c>
      <c r="O4" s="140" t="s">
        <v>60</v>
      </c>
      <c r="P4" s="140" t="s">
        <v>113</v>
      </c>
      <c r="R4" s="140" t="s">
        <v>105</v>
      </c>
      <c r="S4" s="140" t="s">
        <v>60</v>
      </c>
      <c r="T4" s="140" t="s">
        <v>113</v>
      </c>
      <c r="V4"/>
      <c r="W4"/>
      <c r="X4"/>
      <c r="Y4"/>
      <c r="Z4"/>
      <c r="AA4"/>
      <c r="AB4"/>
    </row>
    <row r="5" spans="1:28" ht="18.75" customHeight="1" x14ac:dyDescent="0.2">
      <c r="A5" s="17" t="s">
        <v>16</v>
      </c>
      <c r="B5" s="74">
        <v>5479</v>
      </c>
      <c r="C5" s="19">
        <v>54</v>
      </c>
      <c r="D5" s="20">
        <v>1247</v>
      </c>
      <c r="E5" s="19"/>
      <c r="F5" s="18">
        <v>1763</v>
      </c>
      <c r="G5" s="28">
        <v>2</v>
      </c>
      <c r="H5" s="20">
        <v>84</v>
      </c>
      <c r="I5" s="19"/>
      <c r="J5" s="18">
        <v>1276</v>
      </c>
      <c r="K5" s="19">
        <v>3</v>
      </c>
      <c r="L5" s="20">
        <v>41</v>
      </c>
      <c r="M5" s="19"/>
      <c r="N5" s="27">
        <v>393</v>
      </c>
      <c r="O5" s="28">
        <v>2</v>
      </c>
      <c r="P5" s="35">
        <v>18</v>
      </c>
      <c r="Q5" s="19"/>
      <c r="R5" s="764">
        <f>N5+J5+F5+B5</f>
        <v>8911</v>
      </c>
      <c r="S5" s="34">
        <f t="shared" ref="S5:T5" si="0">O5+K5+G5+C5</f>
        <v>61</v>
      </c>
      <c r="T5" s="8">
        <f t="shared" si="0"/>
        <v>1390</v>
      </c>
      <c r="U5" s="7"/>
      <c r="V5"/>
      <c r="W5"/>
      <c r="X5"/>
      <c r="Y5"/>
      <c r="Z5"/>
      <c r="AA5"/>
      <c r="AB5"/>
    </row>
    <row r="6" spans="1:28" ht="13.5" customHeight="1" thickBot="1" x14ac:dyDescent="0.25">
      <c r="A6" s="5" t="s">
        <v>18</v>
      </c>
      <c r="B6" s="19">
        <v>5397</v>
      </c>
      <c r="C6" s="19">
        <v>49</v>
      </c>
      <c r="D6" s="1089">
        <v>1188</v>
      </c>
      <c r="E6" s="19"/>
      <c r="F6" s="18">
        <v>1655</v>
      </c>
      <c r="G6" s="19">
        <v>2</v>
      </c>
      <c r="H6" s="1089">
        <v>57</v>
      </c>
      <c r="I6" s="19"/>
      <c r="J6" s="18">
        <v>1254</v>
      </c>
      <c r="K6" s="19">
        <v>0</v>
      </c>
      <c r="L6" s="1089">
        <v>61</v>
      </c>
      <c r="M6" s="19"/>
      <c r="N6" s="27">
        <v>296</v>
      </c>
      <c r="O6" s="28">
        <v>5</v>
      </c>
      <c r="P6" s="1089">
        <v>25</v>
      </c>
      <c r="Q6" s="19"/>
      <c r="R6" s="764">
        <f t="shared" ref="R6:R15" si="1">N6+J6+F6+B6</f>
        <v>8602</v>
      </c>
      <c r="S6" s="34">
        <f t="shared" ref="S6:S15" si="2">O6+K6+G6+C6</f>
        <v>56</v>
      </c>
      <c r="T6" s="1133">
        <f t="shared" ref="T6:T14" si="3">P6+L6+H6+D6</f>
        <v>1331</v>
      </c>
      <c r="U6" s="7"/>
      <c r="V6"/>
      <c r="W6"/>
      <c r="X6"/>
      <c r="Y6"/>
      <c r="Z6"/>
      <c r="AA6"/>
      <c r="AB6"/>
    </row>
    <row r="7" spans="1:28" ht="13.5" customHeight="1" x14ac:dyDescent="0.2">
      <c r="A7" s="30" t="s">
        <v>19</v>
      </c>
      <c r="B7" s="19">
        <v>5379</v>
      </c>
      <c r="C7" s="19">
        <v>48</v>
      </c>
      <c r="D7" s="20">
        <v>886</v>
      </c>
      <c r="E7" s="19"/>
      <c r="F7" s="18">
        <v>2035</v>
      </c>
      <c r="G7" s="19">
        <v>3</v>
      </c>
      <c r="H7" s="20">
        <v>74</v>
      </c>
      <c r="I7" s="19"/>
      <c r="J7" s="18">
        <v>1514</v>
      </c>
      <c r="K7" s="28">
        <v>2</v>
      </c>
      <c r="L7" s="20">
        <v>57</v>
      </c>
      <c r="M7" s="19"/>
      <c r="N7" s="27">
        <v>475</v>
      </c>
      <c r="O7" s="28">
        <v>1</v>
      </c>
      <c r="P7" s="35">
        <v>18</v>
      </c>
      <c r="Q7" s="19"/>
      <c r="R7" s="764">
        <f t="shared" si="1"/>
        <v>9403</v>
      </c>
      <c r="S7" s="34">
        <f t="shared" si="2"/>
        <v>54</v>
      </c>
      <c r="T7" s="8">
        <f t="shared" si="3"/>
        <v>1035</v>
      </c>
      <c r="U7" s="7"/>
      <c r="V7"/>
      <c r="W7"/>
      <c r="X7"/>
      <c r="Y7"/>
      <c r="Z7"/>
      <c r="AA7"/>
      <c r="AB7"/>
    </row>
    <row r="8" spans="1:28" ht="13.5" customHeight="1" x14ac:dyDescent="0.2">
      <c r="A8" s="30" t="s">
        <v>20</v>
      </c>
      <c r="B8" s="19">
        <v>5214</v>
      </c>
      <c r="C8" s="19">
        <v>43</v>
      </c>
      <c r="D8" s="20">
        <v>975</v>
      </c>
      <c r="E8" s="19"/>
      <c r="F8" s="18">
        <v>2021</v>
      </c>
      <c r="G8" s="19">
        <v>2</v>
      </c>
      <c r="H8" s="20">
        <v>70</v>
      </c>
      <c r="I8" s="19"/>
      <c r="J8" s="18">
        <v>1437</v>
      </c>
      <c r="K8" s="19">
        <v>2</v>
      </c>
      <c r="L8" s="20">
        <v>36</v>
      </c>
      <c r="M8" s="19"/>
      <c r="N8" s="27">
        <v>438</v>
      </c>
      <c r="O8" s="28">
        <v>1</v>
      </c>
      <c r="P8" s="35">
        <v>17</v>
      </c>
      <c r="Q8" s="19"/>
      <c r="R8" s="764">
        <f t="shared" si="1"/>
        <v>9110</v>
      </c>
      <c r="S8" s="472">
        <f t="shared" si="2"/>
        <v>48</v>
      </c>
      <c r="T8" s="8">
        <f t="shared" si="3"/>
        <v>1098</v>
      </c>
      <c r="U8" s="7"/>
      <c r="V8"/>
      <c r="W8"/>
      <c r="X8"/>
      <c r="Y8"/>
      <c r="Z8"/>
      <c r="AA8"/>
      <c r="AB8"/>
    </row>
    <row r="9" spans="1:28" ht="13.5" customHeight="1" x14ac:dyDescent="0.2">
      <c r="A9" s="30" t="s">
        <v>13</v>
      </c>
      <c r="B9" s="19">
        <v>5121</v>
      </c>
      <c r="C9" s="19">
        <v>47</v>
      </c>
      <c r="D9" s="20">
        <v>985</v>
      </c>
      <c r="E9" s="19"/>
      <c r="F9" s="18">
        <v>1855</v>
      </c>
      <c r="G9" s="19">
        <v>4</v>
      </c>
      <c r="H9" s="20">
        <v>82</v>
      </c>
      <c r="I9" s="19"/>
      <c r="J9" s="18">
        <v>1247</v>
      </c>
      <c r="K9" s="19">
        <v>2</v>
      </c>
      <c r="L9" s="20">
        <v>53</v>
      </c>
      <c r="M9" s="19"/>
      <c r="N9" s="27">
        <v>412</v>
      </c>
      <c r="O9" s="28">
        <v>1</v>
      </c>
      <c r="P9" s="35">
        <v>16</v>
      </c>
      <c r="Q9" s="19"/>
      <c r="R9" s="764">
        <f t="shared" si="1"/>
        <v>8635</v>
      </c>
      <c r="S9" s="118">
        <f t="shared" si="2"/>
        <v>54</v>
      </c>
      <c r="T9" s="8">
        <f t="shared" si="3"/>
        <v>1136</v>
      </c>
      <c r="U9" s="7"/>
      <c r="V9"/>
      <c r="W9"/>
      <c r="X9"/>
      <c r="Y9"/>
      <c r="Z9"/>
      <c r="AA9"/>
      <c r="AB9"/>
    </row>
    <row r="10" spans="1:28" ht="13.5" customHeight="1" x14ac:dyDescent="0.2">
      <c r="A10" s="30" t="s">
        <v>15</v>
      </c>
      <c r="B10" s="19">
        <v>5004</v>
      </c>
      <c r="C10" s="19">
        <v>36</v>
      </c>
      <c r="D10" s="20">
        <v>1014</v>
      </c>
      <c r="E10" s="19"/>
      <c r="F10" s="18">
        <v>1720</v>
      </c>
      <c r="G10" s="19">
        <v>2</v>
      </c>
      <c r="H10" s="20">
        <v>62</v>
      </c>
      <c r="I10" s="19"/>
      <c r="J10" s="18">
        <v>1220</v>
      </c>
      <c r="K10" s="19">
        <v>0</v>
      </c>
      <c r="L10" s="20">
        <v>34</v>
      </c>
      <c r="M10" s="19"/>
      <c r="N10" s="27">
        <v>316</v>
      </c>
      <c r="O10" s="28">
        <v>1</v>
      </c>
      <c r="P10" s="35">
        <v>15</v>
      </c>
      <c r="Q10" s="19"/>
      <c r="R10" s="764">
        <f t="shared" si="1"/>
        <v>8260</v>
      </c>
      <c r="S10" s="118">
        <f t="shared" si="2"/>
        <v>39</v>
      </c>
      <c r="T10" s="8">
        <f t="shared" si="3"/>
        <v>1125</v>
      </c>
      <c r="U10" s="7"/>
      <c r="V10"/>
      <c r="W10"/>
      <c r="X10"/>
      <c r="Y10"/>
      <c r="Z10"/>
      <c r="AA10"/>
      <c r="AB10"/>
    </row>
    <row r="11" spans="1:28" ht="13.5" customHeight="1" x14ac:dyDescent="0.2">
      <c r="A11" s="30" t="s">
        <v>17</v>
      </c>
      <c r="B11" s="19">
        <v>4684</v>
      </c>
      <c r="C11" s="19">
        <v>25</v>
      </c>
      <c r="D11" s="20">
        <v>986</v>
      </c>
      <c r="E11" s="19"/>
      <c r="F11" s="18">
        <v>1717</v>
      </c>
      <c r="G11" s="19">
        <v>0</v>
      </c>
      <c r="H11" s="20">
        <v>63</v>
      </c>
      <c r="I11" s="19"/>
      <c r="J11" s="18">
        <v>1169</v>
      </c>
      <c r="K11" s="28">
        <v>1</v>
      </c>
      <c r="L11" s="20">
        <v>48</v>
      </c>
      <c r="M11" s="19"/>
      <c r="N11" s="27">
        <v>388</v>
      </c>
      <c r="O11" s="28">
        <v>0</v>
      </c>
      <c r="P11" s="35">
        <v>22</v>
      </c>
      <c r="Q11" s="19"/>
      <c r="R11" s="764">
        <f t="shared" si="1"/>
        <v>7958</v>
      </c>
      <c r="S11" s="118">
        <f t="shared" si="2"/>
        <v>26</v>
      </c>
      <c r="T11" s="8">
        <f t="shared" si="3"/>
        <v>1119</v>
      </c>
      <c r="U11" s="7"/>
      <c r="V11"/>
      <c r="W11"/>
      <c r="X11"/>
      <c r="Y11"/>
      <c r="Z11"/>
      <c r="AA11"/>
      <c r="AB11"/>
    </row>
    <row r="12" spans="1:28" ht="13.5" customHeight="1" x14ac:dyDescent="0.2">
      <c r="A12" s="30" t="s">
        <v>147</v>
      </c>
      <c r="B12" s="19">
        <v>4961</v>
      </c>
      <c r="C12" s="19">
        <v>27</v>
      </c>
      <c r="D12" s="20">
        <v>828</v>
      </c>
      <c r="E12" s="19"/>
      <c r="F12" s="18">
        <v>1760</v>
      </c>
      <c r="G12" s="28">
        <v>2</v>
      </c>
      <c r="H12" s="20">
        <v>66</v>
      </c>
      <c r="I12" s="19"/>
      <c r="J12" s="18">
        <v>1148</v>
      </c>
      <c r="K12" s="1139">
        <v>0</v>
      </c>
      <c r="L12" s="20">
        <v>35</v>
      </c>
      <c r="M12" s="19"/>
      <c r="N12" s="27">
        <v>360</v>
      </c>
      <c r="O12" s="28">
        <v>3</v>
      </c>
      <c r="P12" s="35">
        <v>13</v>
      </c>
      <c r="Q12" s="19"/>
      <c r="R12" s="764">
        <f t="shared" si="1"/>
        <v>8229</v>
      </c>
      <c r="S12" s="118">
        <f t="shared" si="2"/>
        <v>32</v>
      </c>
      <c r="T12" s="8">
        <f>P12+L12+H12+D12</f>
        <v>942</v>
      </c>
      <c r="U12" s="7" t="s">
        <v>145</v>
      </c>
      <c r="V12" s="7"/>
      <c r="W12" s="7"/>
      <c r="X12" s="7"/>
    </row>
    <row r="13" spans="1:28" ht="13.5" customHeight="1" x14ac:dyDescent="0.2">
      <c r="A13" s="30" t="s">
        <v>160</v>
      </c>
      <c r="B13" s="19">
        <f>'T11'!D5</f>
        <v>5072</v>
      </c>
      <c r="C13" s="421">
        <f>'T11'!$D$16</f>
        <v>33</v>
      </c>
      <c r="D13" s="20">
        <f>'T11'!$D$31</f>
        <v>925</v>
      </c>
      <c r="E13" s="19"/>
      <c r="F13" s="18">
        <f>'T11'!$E$5</f>
        <v>1853</v>
      </c>
      <c r="G13" s="421">
        <f>'T11'!$E$16</f>
        <v>2</v>
      </c>
      <c r="H13" s="20">
        <f>'T11'!$E$31</f>
        <v>94</v>
      </c>
      <c r="I13" s="19"/>
      <c r="J13" s="18">
        <f>'T11'!$F$5</f>
        <v>1164</v>
      </c>
      <c r="K13" s="230">
        <f>'T11'!$F$16</f>
        <v>1</v>
      </c>
      <c r="L13" s="20">
        <f>'T11'!$F$31</f>
        <v>57</v>
      </c>
      <c r="M13" s="19"/>
      <c r="N13" s="27">
        <f>'T11'!$G$5</f>
        <v>336</v>
      </c>
      <c r="O13" s="230">
        <f>'T11'!$G$16</f>
        <v>0</v>
      </c>
      <c r="P13" s="35">
        <f>'T11'!$G$31</f>
        <v>17</v>
      </c>
      <c r="Q13" s="19"/>
      <c r="R13" s="764">
        <f t="shared" si="1"/>
        <v>8425</v>
      </c>
      <c r="S13" s="1134">
        <f t="shared" si="2"/>
        <v>36</v>
      </c>
      <c r="T13" s="8">
        <f t="shared" si="3"/>
        <v>1093</v>
      </c>
      <c r="U13" s="7"/>
    </row>
    <row r="14" spans="1:28" ht="13.5" customHeight="1" x14ac:dyDescent="0.2">
      <c r="A14" s="30" t="s">
        <v>379</v>
      </c>
      <c r="B14" s="19">
        <f>'T11'!D6</f>
        <v>4930</v>
      </c>
      <c r="C14" s="421">
        <f>'T11'!$D$17</f>
        <v>31</v>
      </c>
      <c r="D14" s="20">
        <f>'T11'!$D$32</f>
        <v>940</v>
      </c>
      <c r="E14" s="72"/>
      <c r="F14" s="18">
        <f>'T11'!$E$6</f>
        <v>1722</v>
      </c>
      <c r="G14" s="421">
        <f>'T11'!$E$17</f>
        <v>3</v>
      </c>
      <c r="H14" s="20">
        <f>'T11'!$E$32</f>
        <v>55</v>
      </c>
      <c r="I14" s="19"/>
      <c r="J14" s="18">
        <f>'T11'!$F$6</f>
        <v>1210</v>
      </c>
      <c r="K14" s="230">
        <f>'T11'!$F$17</f>
        <v>1</v>
      </c>
      <c r="L14" s="20">
        <f>'T11'!$F$32</f>
        <v>38</v>
      </c>
      <c r="M14" s="19"/>
      <c r="N14" s="27">
        <f>'T11'!$G$6</f>
        <v>347</v>
      </c>
      <c r="O14" s="230">
        <f>'T11'!$G$17</f>
        <v>0</v>
      </c>
      <c r="P14" s="35">
        <f>'T11'!$G$32</f>
        <v>20</v>
      </c>
      <c r="Q14" s="19"/>
      <c r="R14" s="764">
        <f t="shared" si="1"/>
        <v>8209</v>
      </c>
      <c r="S14" s="1134">
        <f t="shared" si="2"/>
        <v>35</v>
      </c>
      <c r="T14" s="8">
        <f t="shared" si="3"/>
        <v>1053</v>
      </c>
      <c r="U14" s="7" t="s">
        <v>145</v>
      </c>
    </row>
    <row r="15" spans="1:28" ht="13.5" customHeight="1" x14ac:dyDescent="0.2">
      <c r="A15" s="1261" t="s">
        <v>603</v>
      </c>
      <c r="B15" s="22">
        <f>'T11'!D7</f>
        <v>4752</v>
      </c>
      <c r="C15" s="422">
        <f>'T11'!$D$18</f>
        <v>35</v>
      </c>
      <c r="D15" s="23">
        <f>'T11'!$D$33</f>
        <v>797</v>
      </c>
      <c r="E15" s="72"/>
      <c r="F15" s="11">
        <f>'T11'!$E$7</f>
        <v>1633</v>
      </c>
      <c r="G15" s="422">
        <f>'T11'!$E$18</f>
        <v>3</v>
      </c>
      <c r="H15" s="23">
        <f>'T11'!$E$33</f>
        <v>72</v>
      </c>
      <c r="I15" s="72"/>
      <c r="J15" s="11">
        <f>'T11'!$F$7</f>
        <v>1149</v>
      </c>
      <c r="K15" s="423">
        <f>'T11'!$F$18</f>
        <v>3</v>
      </c>
      <c r="L15" s="23">
        <f>'T11'!$F$33</f>
        <v>48</v>
      </c>
      <c r="M15" s="72"/>
      <c r="N15" s="47">
        <f>'T11'!$G$7</f>
        <v>395</v>
      </c>
      <c r="O15" s="423">
        <f>'T11'!$G$18</f>
        <v>1</v>
      </c>
      <c r="P15" s="49">
        <f>'T11'!$G$33</f>
        <v>16</v>
      </c>
      <c r="Q15" s="72"/>
      <c r="R15" s="1135">
        <f t="shared" si="1"/>
        <v>7929</v>
      </c>
      <c r="S15" s="1136">
        <f t="shared" si="2"/>
        <v>42</v>
      </c>
      <c r="T15" s="1052">
        <f>P15+L15+H15+D15</f>
        <v>933</v>
      </c>
      <c r="U15" s="7" t="s">
        <v>143</v>
      </c>
    </row>
    <row r="16" spans="1:28" s="39" customFormat="1" x14ac:dyDescent="0.2">
      <c r="A16" s="68"/>
      <c r="G16" s="94"/>
      <c r="K16" s="94"/>
      <c r="O16" s="94"/>
      <c r="R16" s="59"/>
      <c r="S16" s="59"/>
      <c r="T16" s="59"/>
    </row>
    <row r="17" spans="1:21" s="39" customFormat="1" x14ac:dyDescent="0.2">
      <c r="A17" s="68"/>
      <c r="G17" s="94"/>
      <c r="K17" s="94"/>
      <c r="O17" s="94"/>
      <c r="R17" s="59"/>
      <c r="S17" s="59"/>
      <c r="T17" s="59"/>
    </row>
    <row r="18" spans="1:21" ht="15" x14ac:dyDescent="0.25">
      <c r="T18" s="234" t="s">
        <v>0</v>
      </c>
    </row>
    <row r="19" spans="1:21" s="2" customFormat="1" x14ac:dyDescent="0.2">
      <c r="B19" s="1701" t="s">
        <v>148</v>
      </c>
      <c r="C19" s="1702"/>
      <c r="D19" s="1703"/>
      <c r="F19" s="1701" t="s">
        <v>106</v>
      </c>
      <c r="G19" s="1702"/>
      <c r="H19" s="1703"/>
      <c r="J19" s="1701" t="s">
        <v>107</v>
      </c>
      <c r="K19" s="1702"/>
      <c r="L19" s="1703"/>
      <c r="N19" s="1701" t="s">
        <v>108</v>
      </c>
      <c r="O19" s="1702"/>
      <c r="P19" s="1703"/>
      <c r="R19" s="1701" t="s">
        <v>109</v>
      </c>
      <c r="S19" s="1702"/>
      <c r="T19" s="1703"/>
    </row>
    <row r="20" spans="1:21" ht="25.5" x14ac:dyDescent="0.2">
      <c r="A20" s="86" t="s">
        <v>4</v>
      </c>
      <c r="B20" s="1121" t="s">
        <v>105</v>
      </c>
      <c r="C20" s="1122" t="s">
        <v>60</v>
      </c>
      <c r="D20" s="1123" t="s">
        <v>113</v>
      </c>
      <c r="F20" s="1121" t="s">
        <v>105</v>
      </c>
      <c r="G20" s="1122" t="s">
        <v>60</v>
      </c>
      <c r="H20" s="1123" t="s">
        <v>113</v>
      </c>
      <c r="J20" s="1121" t="s">
        <v>105</v>
      </c>
      <c r="K20" s="1122" t="s">
        <v>60</v>
      </c>
      <c r="L20" s="1123" t="s">
        <v>113</v>
      </c>
      <c r="N20" s="140" t="s">
        <v>105</v>
      </c>
      <c r="O20" s="140" t="s">
        <v>60</v>
      </c>
      <c r="P20" s="140" t="s">
        <v>113</v>
      </c>
      <c r="R20" s="140" t="s">
        <v>105</v>
      </c>
      <c r="S20" s="140" t="s">
        <v>60</v>
      </c>
      <c r="T20" s="140" t="s">
        <v>113</v>
      </c>
    </row>
    <row r="21" spans="1:21" ht="18.75" customHeight="1" x14ac:dyDescent="0.2">
      <c r="A21" s="5" t="s">
        <v>16</v>
      </c>
      <c r="B21" s="27">
        <v>1187</v>
      </c>
      <c r="C21" s="28">
        <v>4</v>
      </c>
      <c r="D21" s="35">
        <v>290</v>
      </c>
      <c r="E21" s="28"/>
      <c r="F21" s="27">
        <v>1159</v>
      </c>
      <c r="G21" s="28">
        <v>2</v>
      </c>
      <c r="H21" s="35">
        <v>25</v>
      </c>
      <c r="I21" s="28"/>
      <c r="J21" s="27">
        <v>1787</v>
      </c>
      <c r="K21" s="28">
        <v>3</v>
      </c>
      <c r="L21" s="35">
        <v>6</v>
      </c>
      <c r="M21" s="28"/>
      <c r="N21" s="27">
        <v>573</v>
      </c>
      <c r="O21" s="28">
        <v>2</v>
      </c>
      <c r="P21" s="35">
        <v>8</v>
      </c>
      <c r="Q21" s="28"/>
      <c r="R21" s="1137">
        <f t="shared" ref="R21:R29" si="4">N21+J21+F21+B21</f>
        <v>4706</v>
      </c>
      <c r="S21" s="55">
        <f t="shared" ref="S21:S28" si="5">O21+K21+G21+C21</f>
        <v>11</v>
      </c>
      <c r="T21" s="8">
        <f t="shared" ref="T21:T28" si="6">P21+L21+H21+D21</f>
        <v>329</v>
      </c>
      <c r="U21" s="7"/>
    </row>
    <row r="22" spans="1:21" ht="13.5" customHeight="1" thickBot="1" x14ac:dyDescent="0.25">
      <c r="A22" s="5" t="s">
        <v>18</v>
      </c>
      <c r="B22" s="27">
        <v>1308</v>
      </c>
      <c r="C22" s="28">
        <v>5</v>
      </c>
      <c r="D22" s="1089">
        <v>269</v>
      </c>
      <c r="E22" s="28"/>
      <c r="F22" s="27">
        <v>975</v>
      </c>
      <c r="G22" s="28">
        <v>0</v>
      </c>
      <c r="H22" s="1089">
        <v>23</v>
      </c>
      <c r="I22" s="28"/>
      <c r="J22" s="27">
        <v>1677</v>
      </c>
      <c r="K22" s="28">
        <v>3</v>
      </c>
      <c r="L22" s="1089">
        <v>7</v>
      </c>
      <c r="M22" s="28"/>
      <c r="N22" s="27">
        <v>612</v>
      </c>
      <c r="O22" s="28">
        <v>0</v>
      </c>
      <c r="P22" s="1089">
        <v>18</v>
      </c>
      <c r="Q22" s="28"/>
      <c r="R22" s="1137">
        <f t="shared" si="4"/>
        <v>4572</v>
      </c>
      <c r="S22" s="55">
        <f t="shared" si="5"/>
        <v>8</v>
      </c>
      <c r="T22" s="1133">
        <f t="shared" si="6"/>
        <v>317</v>
      </c>
      <c r="U22" s="7"/>
    </row>
    <row r="23" spans="1:21" ht="13.5" customHeight="1" x14ac:dyDescent="0.2">
      <c r="A23" s="5" t="s">
        <v>19</v>
      </c>
      <c r="B23" s="27">
        <v>1194</v>
      </c>
      <c r="C23" s="28">
        <v>5</v>
      </c>
      <c r="D23" s="35">
        <v>138</v>
      </c>
      <c r="E23" s="28"/>
      <c r="F23" s="27">
        <v>972</v>
      </c>
      <c r="G23" s="28">
        <v>0</v>
      </c>
      <c r="H23" s="35">
        <v>21</v>
      </c>
      <c r="I23" s="28"/>
      <c r="J23" s="27">
        <v>1478</v>
      </c>
      <c r="K23" s="28">
        <v>2</v>
      </c>
      <c r="L23" s="35">
        <v>9</v>
      </c>
      <c r="M23" s="28"/>
      <c r="N23" s="27">
        <v>970</v>
      </c>
      <c r="O23" s="28">
        <v>0</v>
      </c>
      <c r="P23" s="35">
        <v>11</v>
      </c>
      <c r="Q23" s="28"/>
      <c r="R23" s="1137">
        <f t="shared" si="4"/>
        <v>4614</v>
      </c>
      <c r="S23" s="55">
        <f t="shared" si="5"/>
        <v>7</v>
      </c>
      <c r="T23" s="8">
        <f t="shared" si="6"/>
        <v>179</v>
      </c>
      <c r="U23" s="7"/>
    </row>
    <row r="24" spans="1:21" ht="13.5" customHeight="1" x14ac:dyDescent="0.2">
      <c r="A24" s="30" t="s">
        <v>20</v>
      </c>
      <c r="B24" s="6">
        <v>1086</v>
      </c>
      <c r="C24" s="28">
        <v>2</v>
      </c>
      <c r="D24" s="35">
        <v>167</v>
      </c>
      <c r="E24" s="28"/>
      <c r="F24" s="27">
        <v>817</v>
      </c>
      <c r="G24" s="1139">
        <v>1</v>
      </c>
      <c r="H24" s="35">
        <v>39</v>
      </c>
      <c r="I24" s="28"/>
      <c r="J24" s="27">
        <v>1251</v>
      </c>
      <c r="K24" s="28">
        <v>1</v>
      </c>
      <c r="L24" s="35">
        <v>5</v>
      </c>
      <c r="M24" s="28"/>
      <c r="N24" s="27">
        <v>934</v>
      </c>
      <c r="O24" s="1139">
        <v>0</v>
      </c>
      <c r="P24" s="35">
        <v>19</v>
      </c>
      <c r="Q24" s="28"/>
      <c r="R24" s="1137">
        <f t="shared" si="4"/>
        <v>4088</v>
      </c>
      <c r="S24" s="118">
        <f t="shared" si="5"/>
        <v>4</v>
      </c>
      <c r="T24" s="8">
        <f t="shared" si="6"/>
        <v>230</v>
      </c>
      <c r="U24" s="7"/>
    </row>
    <row r="25" spans="1:21" ht="13.5" customHeight="1" x14ac:dyDescent="0.2">
      <c r="A25" s="30" t="s">
        <v>13</v>
      </c>
      <c r="B25" s="6">
        <v>1039</v>
      </c>
      <c r="C25" s="28">
        <v>4</v>
      </c>
      <c r="D25" s="35">
        <v>236</v>
      </c>
      <c r="E25" s="28"/>
      <c r="F25" s="27">
        <v>863</v>
      </c>
      <c r="G25" s="28">
        <v>0</v>
      </c>
      <c r="H25" s="35">
        <v>17</v>
      </c>
      <c r="I25" s="28"/>
      <c r="J25" s="27">
        <v>1115</v>
      </c>
      <c r="K25" s="28">
        <v>1</v>
      </c>
      <c r="L25" s="35">
        <v>5</v>
      </c>
      <c r="M25" s="28"/>
      <c r="N25" s="27">
        <v>763</v>
      </c>
      <c r="O25" s="1139">
        <v>0</v>
      </c>
      <c r="P25" s="35">
        <v>22</v>
      </c>
      <c r="Q25" s="28"/>
      <c r="R25" s="1137">
        <f t="shared" si="4"/>
        <v>3780</v>
      </c>
      <c r="S25" s="118">
        <f t="shared" si="5"/>
        <v>5</v>
      </c>
      <c r="T25" s="8">
        <f t="shared" si="6"/>
        <v>280</v>
      </c>
      <c r="U25" s="7"/>
    </row>
    <row r="26" spans="1:21" ht="13.5" customHeight="1" x14ac:dyDescent="0.2">
      <c r="A26" s="30" t="s">
        <v>15</v>
      </c>
      <c r="B26" s="6">
        <v>832</v>
      </c>
      <c r="C26" s="28">
        <v>4</v>
      </c>
      <c r="D26" s="35">
        <v>152</v>
      </c>
      <c r="E26" s="28"/>
      <c r="F26" s="27">
        <v>689</v>
      </c>
      <c r="G26" s="28">
        <v>0</v>
      </c>
      <c r="H26" s="35">
        <v>30</v>
      </c>
      <c r="I26" s="28"/>
      <c r="J26" s="27">
        <v>814</v>
      </c>
      <c r="K26" s="28">
        <v>2</v>
      </c>
      <c r="L26" s="35">
        <v>1</v>
      </c>
      <c r="M26" s="28"/>
      <c r="N26" s="27">
        <v>498</v>
      </c>
      <c r="O26" s="1139">
        <v>1</v>
      </c>
      <c r="P26" s="35">
        <v>11</v>
      </c>
      <c r="Q26" s="28"/>
      <c r="R26" s="1137">
        <f t="shared" si="4"/>
        <v>2833</v>
      </c>
      <c r="S26" s="118">
        <f t="shared" si="5"/>
        <v>7</v>
      </c>
      <c r="T26" s="8">
        <f t="shared" si="6"/>
        <v>194</v>
      </c>
      <c r="U26" s="7"/>
    </row>
    <row r="27" spans="1:21" ht="13.5" customHeight="1" x14ac:dyDescent="0.2">
      <c r="A27" s="30" t="s">
        <v>17</v>
      </c>
      <c r="B27" s="6">
        <v>650</v>
      </c>
      <c r="C27" s="28">
        <v>4</v>
      </c>
      <c r="D27" s="35">
        <v>154</v>
      </c>
      <c r="E27" s="28"/>
      <c r="F27" s="27">
        <v>636</v>
      </c>
      <c r="G27" s="1139">
        <v>1</v>
      </c>
      <c r="H27" s="35">
        <v>24</v>
      </c>
      <c r="I27" s="28"/>
      <c r="J27" s="27">
        <v>769</v>
      </c>
      <c r="K27" s="230">
        <v>0</v>
      </c>
      <c r="L27" s="35">
        <v>2</v>
      </c>
      <c r="M27" s="28"/>
      <c r="N27" s="27">
        <v>526</v>
      </c>
      <c r="O27" s="1138">
        <v>0</v>
      </c>
      <c r="P27" s="35">
        <v>12</v>
      </c>
      <c r="Q27" s="28"/>
      <c r="R27" s="1137">
        <f t="shared" si="4"/>
        <v>2581</v>
      </c>
      <c r="S27" s="118">
        <f t="shared" si="5"/>
        <v>5</v>
      </c>
      <c r="T27" s="8">
        <f t="shared" si="6"/>
        <v>192</v>
      </c>
      <c r="U27" s="7"/>
    </row>
    <row r="28" spans="1:21" ht="13.5" customHeight="1" x14ac:dyDescent="0.2">
      <c r="A28" s="30" t="s">
        <v>147</v>
      </c>
      <c r="B28" s="6">
        <v>621</v>
      </c>
      <c r="C28" s="230">
        <v>4</v>
      </c>
      <c r="D28" s="35">
        <v>121</v>
      </c>
      <c r="E28" s="28"/>
      <c r="F28" s="27">
        <v>566</v>
      </c>
      <c r="G28" s="1138">
        <v>1</v>
      </c>
      <c r="H28" s="35">
        <v>25</v>
      </c>
      <c r="I28" s="28"/>
      <c r="J28" s="27">
        <v>749</v>
      </c>
      <c r="K28" s="230">
        <v>1</v>
      </c>
      <c r="L28" s="35">
        <v>5</v>
      </c>
      <c r="M28" s="28"/>
      <c r="N28" s="27">
        <v>478</v>
      </c>
      <c r="O28" s="1138">
        <v>2</v>
      </c>
      <c r="P28" s="35">
        <v>8</v>
      </c>
      <c r="Q28" s="28"/>
      <c r="R28" s="1137">
        <f t="shared" si="4"/>
        <v>2414</v>
      </c>
      <c r="S28" s="1134">
        <f t="shared" si="5"/>
        <v>8</v>
      </c>
      <c r="T28" s="8">
        <f t="shared" si="6"/>
        <v>159</v>
      </c>
      <c r="U28" s="7"/>
    </row>
    <row r="29" spans="1:21" ht="13.5" customHeight="1" x14ac:dyDescent="0.2">
      <c r="A29" s="30" t="s">
        <v>160</v>
      </c>
      <c r="B29" s="18">
        <f>'T11'!$D$8</f>
        <v>605</v>
      </c>
      <c r="C29" s="421">
        <f>'T11'!$D$19</f>
        <v>6</v>
      </c>
      <c r="D29" s="20">
        <f>'T11'!$D$34</f>
        <v>138</v>
      </c>
      <c r="E29" s="19"/>
      <c r="F29" s="18">
        <f>'T11'!$E$8</f>
        <v>644</v>
      </c>
      <c r="G29" s="421">
        <f>'T11'!$E$19</f>
        <v>1</v>
      </c>
      <c r="H29" s="20">
        <f>'T11'!$E$34</f>
        <v>23</v>
      </c>
      <c r="I29" s="19"/>
      <c r="J29" s="18">
        <f>'T11'!$F$8</f>
        <v>801</v>
      </c>
      <c r="K29" s="230">
        <f>'T11'!$F$19</f>
        <v>2</v>
      </c>
      <c r="L29" s="20">
        <f>'T11'!$F$34</f>
        <v>4</v>
      </c>
      <c r="M29" s="19"/>
      <c r="N29" s="27">
        <f>'T11'!$G$8</f>
        <v>538</v>
      </c>
      <c r="O29" s="230">
        <f>'T11'!$G$19</f>
        <v>0</v>
      </c>
      <c r="P29" s="35">
        <f>'T11'!$G$34</f>
        <v>18</v>
      </c>
      <c r="Q29" s="19"/>
      <c r="R29" s="764">
        <f t="shared" si="4"/>
        <v>2588</v>
      </c>
      <c r="S29" s="1134">
        <f>O29+K29+G29+C29</f>
        <v>9</v>
      </c>
      <c r="T29" s="8">
        <f>P29+L29+H29+D29</f>
        <v>183</v>
      </c>
      <c r="U29" s="7"/>
    </row>
    <row r="30" spans="1:21" ht="13.5" customHeight="1" x14ac:dyDescent="0.2">
      <c r="A30" s="30" t="s">
        <v>379</v>
      </c>
      <c r="B30" s="18">
        <f>'T11'!$D$9</f>
        <v>618</v>
      </c>
      <c r="C30" s="421">
        <f>'T11'!$D$20</f>
        <v>5</v>
      </c>
      <c r="D30" s="20">
        <f>'T11'!$D$35</f>
        <v>175</v>
      </c>
      <c r="E30" s="19"/>
      <c r="F30" s="18">
        <f>'T11'!$E$9</f>
        <v>557</v>
      </c>
      <c r="G30" s="421">
        <f>'T11'!$E$20</f>
        <v>0</v>
      </c>
      <c r="H30" s="20">
        <f>'T11'!$E$35</f>
        <v>17</v>
      </c>
      <c r="I30" s="19"/>
      <c r="J30" s="18">
        <f>'T11'!$F$9</f>
        <v>909</v>
      </c>
      <c r="K30" s="230">
        <f>'T11'!$F$20</f>
        <v>4</v>
      </c>
      <c r="L30" s="20">
        <f>'T11'!$F$35</f>
        <v>10</v>
      </c>
      <c r="M30" s="19"/>
      <c r="N30" s="27">
        <f>'T11'!$G$9</f>
        <v>611</v>
      </c>
      <c r="O30" s="230">
        <f>'T11'!$G$20</f>
        <v>0</v>
      </c>
      <c r="P30" s="35">
        <f>'T11'!$G$35</f>
        <v>11</v>
      </c>
      <c r="Q30" s="19"/>
      <c r="R30" s="764">
        <f t="shared" ref="R30:R31" si="7">N30+J30+F30+B30</f>
        <v>2695</v>
      </c>
      <c r="S30" s="1134">
        <f t="shared" ref="S30:S31" si="8">O30+K30+G30+C30</f>
        <v>9</v>
      </c>
      <c r="T30" s="8">
        <f t="shared" ref="T30:T31" si="9">P30+L30+H30+D30</f>
        <v>213</v>
      </c>
      <c r="U30" s="7" t="s">
        <v>145</v>
      </c>
    </row>
    <row r="31" spans="1:21" ht="13.5" customHeight="1" x14ac:dyDescent="0.2">
      <c r="A31" s="1261" t="s">
        <v>603</v>
      </c>
      <c r="B31" s="11">
        <f>'T11'!$D$10</f>
        <v>558</v>
      </c>
      <c r="C31" s="422">
        <f>'T11'!$D$21</f>
        <v>2</v>
      </c>
      <c r="D31" s="23">
        <f>'T11'!$D$36</f>
        <v>124</v>
      </c>
      <c r="E31" s="72"/>
      <c r="F31" s="11">
        <f>'T11'!$E$10</f>
        <v>648</v>
      </c>
      <c r="G31" s="422">
        <f>'T11'!$E$21</f>
        <v>0</v>
      </c>
      <c r="H31" s="23">
        <f>'T11'!$E$36</f>
        <v>45</v>
      </c>
      <c r="I31" s="72"/>
      <c r="J31" s="11">
        <f>'T11'!$F$10</f>
        <v>859</v>
      </c>
      <c r="K31" s="423">
        <f>'T11'!$F$21</f>
        <v>0</v>
      </c>
      <c r="L31" s="23">
        <f>'T11'!$F$36</f>
        <v>3</v>
      </c>
      <c r="M31" s="72"/>
      <c r="N31" s="47">
        <f>'T11'!$G$10</f>
        <v>660</v>
      </c>
      <c r="O31" s="423">
        <f>'T11'!$G$21</f>
        <v>0</v>
      </c>
      <c r="P31" s="49">
        <f>'T11'!$G$36</f>
        <v>8</v>
      </c>
      <c r="Q31" s="72"/>
      <c r="R31" s="1135">
        <f t="shared" si="7"/>
        <v>2725</v>
      </c>
      <c r="S31" s="1136">
        <f t="shared" si="8"/>
        <v>2</v>
      </c>
      <c r="T31" s="1052">
        <f t="shared" si="9"/>
        <v>180</v>
      </c>
      <c r="U31" s="7" t="s">
        <v>143</v>
      </c>
    </row>
    <row r="33" spans="1:20" x14ac:dyDescent="0.2">
      <c r="A33" s="13" t="s">
        <v>162</v>
      </c>
      <c r="N33" s="42"/>
      <c r="R33" s="7"/>
    </row>
    <row r="34" spans="1:20" x14ac:dyDescent="0.2">
      <c r="A34" s="71" t="s">
        <v>975</v>
      </c>
      <c r="N34" s="42"/>
      <c r="R34" s="7"/>
    </row>
    <row r="35" spans="1:20" x14ac:dyDescent="0.2">
      <c r="A35" s="71" t="s">
        <v>968</v>
      </c>
    </row>
    <row r="36" spans="1:20" x14ac:dyDescent="0.2">
      <c r="A36" s="1649" t="s">
        <v>998</v>
      </c>
      <c r="B36" s="1649"/>
      <c r="C36" s="1649"/>
      <c r="D36" s="1649"/>
      <c r="E36" s="1649"/>
      <c r="F36" s="1649"/>
      <c r="G36" s="1649"/>
      <c r="H36" s="1649"/>
      <c r="I36" s="1649"/>
      <c r="J36" s="1649"/>
      <c r="K36" s="1649"/>
    </row>
    <row r="37" spans="1:20" x14ac:dyDescent="0.2">
      <c r="A37" s="71" t="s">
        <v>964</v>
      </c>
      <c r="B37" s="71"/>
      <c r="C37" s="71"/>
      <c r="D37" s="71"/>
      <c r="E37" s="71"/>
      <c r="F37" s="71"/>
      <c r="G37" s="71"/>
      <c r="H37" s="71"/>
      <c r="I37" s="71"/>
      <c r="J37" s="71"/>
      <c r="K37" s="71"/>
      <c r="L37" s="71"/>
      <c r="M37" s="71"/>
      <c r="N37" s="71"/>
      <c r="O37" s="71"/>
      <c r="P37" s="71"/>
      <c r="Q37" s="71"/>
      <c r="R37" s="71"/>
    </row>
    <row r="38" spans="1:20" ht="25.5" customHeight="1" x14ac:dyDescent="0.2">
      <c r="A38" s="1654" t="s">
        <v>966</v>
      </c>
      <c r="B38" s="1654"/>
      <c r="C38" s="1654"/>
      <c r="D38" s="1654"/>
      <c r="E38" s="1654"/>
      <c r="F38" s="1654"/>
      <c r="G38" s="1654"/>
      <c r="H38" s="1654"/>
      <c r="I38" s="1654"/>
      <c r="J38" s="1654"/>
      <c r="K38" s="1654"/>
      <c r="L38" s="1654"/>
      <c r="M38" s="1654"/>
      <c r="N38" s="1654"/>
      <c r="O38" s="1654"/>
      <c r="P38" s="1654"/>
      <c r="Q38" s="1654"/>
      <c r="R38" s="1654"/>
      <c r="S38" s="1654"/>
      <c r="T38" s="1654"/>
    </row>
    <row r="40" spans="1:20" x14ac:dyDescent="0.2">
      <c r="A40" s="51" t="s">
        <v>136</v>
      </c>
    </row>
  </sheetData>
  <sheetProtection algorithmName="SHA-512" hashValue="Foo1PuC9P6oCiUTLQBSsMX7sT8re/DZVgUHUQIS/njdkNw9mJylGlt0LyDVi7Lz7yb17JTg/ztXVytY9+lXVuQ==" saltValue="NYiwBoW6jDh5OTTNE+aTkg==" spinCount="100000" sheet="1" objects="1" scenarios="1"/>
  <mergeCells count="13">
    <mergeCell ref="A38:T38"/>
    <mergeCell ref="A36:K36"/>
    <mergeCell ref="A1:P1"/>
    <mergeCell ref="B3:D3"/>
    <mergeCell ref="F3:H3"/>
    <mergeCell ref="J3:L3"/>
    <mergeCell ref="N3:P3"/>
    <mergeCell ref="R3:T3"/>
    <mergeCell ref="B19:D19"/>
    <mergeCell ref="F19:H19"/>
    <mergeCell ref="J19:L19"/>
    <mergeCell ref="N19:P19"/>
    <mergeCell ref="R19:T19"/>
  </mergeCells>
  <hyperlinks>
    <hyperlink ref="A40" location="Contents!A1" display="Return to contents " xr:uid="{00000000-0004-0000-3600-000000000000}"/>
  </hyperlinks>
  <pageMargins left="0.70866141732283472" right="0.70866141732283472" top="0.74803149606299213" bottom="0.74803149606299213" header="0.31496062992125984" footer="0.31496062992125984"/>
  <pageSetup paperSize="9" scale="67" orientation="landscape" r:id="rId1"/>
  <headerFooter>
    <oddFooter>&amp;L&amp;P&amp;C&amp;A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3">
    <tabColor theme="4"/>
    <pageSetUpPr fitToPage="1"/>
  </sheetPr>
  <dimension ref="A1:K65"/>
  <sheetViews>
    <sheetView showGridLines="0" zoomScaleNormal="100" workbookViewId="0">
      <selection sqref="A1:E1"/>
    </sheetView>
  </sheetViews>
  <sheetFormatPr defaultRowHeight="12.75" x14ac:dyDescent="0.2"/>
  <cols>
    <col min="1" max="1" width="22.85546875" style="1" customWidth="1"/>
    <col min="2" max="3" width="14.28515625" style="1" customWidth="1"/>
    <col min="4" max="4" width="10.42578125" style="1" customWidth="1"/>
    <col min="5" max="5" width="10" style="1" customWidth="1"/>
    <col min="6" max="6" width="12.140625" style="1" customWidth="1"/>
    <col min="7" max="7" width="11.5703125" style="1" customWidth="1"/>
    <col min="8" max="8" width="12.140625" style="1" customWidth="1"/>
    <col min="9" max="9" width="7.5703125" style="1" customWidth="1"/>
    <col min="10" max="10" width="11.7109375" style="1" customWidth="1"/>
    <col min="11" max="16384" width="9.140625" style="1"/>
  </cols>
  <sheetData>
    <row r="1" spans="1:9" ht="38.25" customHeight="1" x14ac:dyDescent="0.2">
      <c r="A1" s="1655" t="s">
        <v>757</v>
      </c>
      <c r="B1" s="1655"/>
      <c r="C1" s="1655"/>
      <c r="D1" s="1655"/>
      <c r="E1" s="1655"/>
      <c r="F1" s="467"/>
      <c r="G1" s="467"/>
      <c r="H1" s="467"/>
    </row>
    <row r="2" spans="1:9" ht="15" x14ac:dyDescent="0.25">
      <c r="B2" s="231"/>
      <c r="C2" s="231"/>
      <c r="D2" s="424" t="s">
        <v>0</v>
      </c>
      <c r="F2" s="1704" t="s">
        <v>758</v>
      </c>
      <c r="G2" s="1704"/>
      <c r="H2" s="1704"/>
    </row>
    <row r="3" spans="1:9" ht="38.25" x14ac:dyDescent="0.2">
      <c r="A3" s="4" t="s">
        <v>22</v>
      </c>
      <c r="B3" s="1140" t="s">
        <v>110</v>
      </c>
      <c r="C3" s="1140" t="s">
        <v>111</v>
      </c>
      <c r="D3" s="1218" t="s">
        <v>132</v>
      </c>
      <c r="E3" s="141"/>
      <c r="F3" s="1140" t="s">
        <v>110</v>
      </c>
      <c r="G3" s="1140" t="s">
        <v>111</v>
      </c>
      <c r="H3" s="1218" t="s">
        <v>132</v>
      </c>
      <c r="I3" s="141"/>
    </row>
    <row r="4" spans="1:9" ht="18.75" customHeight="1" x14ac:dyDescent="0.2">
      <c r="A4" s="343" t="s">
        <v>23</v>
      </c>
      <c r="B4" s="1145">
        <f>T_11!C5</f>
        <v>355</v>
      </c>
      <c r="C4" s="1145">
        <f>T_11!D5</f>
        <v>100</v>
      </c>
      <c r="D4" s="1141">
        <f>SUM(B4:C4)</f>
        <v>455</v>
      </c>
      <c r="E4" s="7"/>
      <c r="F4" s="1516">
        <f>B4/T_11!$B5*100000</f>
        <v>155.15734265734267</v>
      </c>
      <c r="G4" s="1516">
        <f>C4/T_11!$B5*100000</f>
        <v>43.706293706293707</v>
      </c>
      <c r="H4" s="1517">
        <f>D4/T_11!$B5*100000</f>
        <v>198.86363636363635</v>
      </c>
    </row>
    <row r="5" spans="1:9" ht="13.5" customHeight="1" x14ac:dyDescent="0.2">
      <c r="A5" s="46" t="s">
        <v>24</v>
      </c>
      <c r="B5" s="1143">
        <f>T_11!C6</f>
        <v>344</v>
      </c>
      <c r="C5" s="1143">
        <f>T_11!D6</f>
        <v>50</v>
      </c>
      <c r="D5" s="1144">
        <f t="shared" ref="D5:D35" si="0">SUM(B5:C5)</f>
        <v>394</v>
      </c>
      <c r="E5" s="7"/>
      <c r="F5" s="1518">
        <f>B5/T_11!$B6*100000</f>
        <v>131.39801375095493</v>
      </c>
      <c r="G5" s="1518">
        <f>C5/T_11!$B6*100000</f>
        <v>19.098548510313215</v>
      </c>
      <c r="H5" s="1519">
        <f>D5/T_11!$B6*100000</f>
        <v>150.49656226126814</v>
      </c>
    </row>
    <row r="6" spans="1:9" ht="13.5" customHeight="1" x14ac:dyDescent="0.2">
      <c r="A6" s="343" t="s">
        <v>25</v>
      </c>
      <c r="B6" s="1145">
        <f>T_11!C7</f>
        <v>133</v>
      </c>
      <c r="C6" s="1145">
        <f>T_11!D7</f>
        <v>30</v>
      </c>
      <c r="D6" s="1141">
        <f t="shared" si="0"/>
        <v>163</v>
      </c>
      <c r="E6" s="7"/>
      <c r="F6" s="1516">
        <f>B6/T_11!$B7*100000</f>
        <v>114.37908496732027</v>
      </c>
      <c r="G6" s="1516">
        <f>C6/T_11!$B7*100000</f>
        <v>25.799793601651185</v>
      </c>
      <c r="H6" s="1517">
        <f>D6/T_11!$B7*100000</f>
        <v>140.17887856897144</v>
      </c>
      <c r="I6"/>
    </row>
    <row r="7" spans="1:9" ht="13.5" customHeight="1" x14ac:dyDescent="0.2">
      <c r="A7" s="46" t="s">
        <v>26</v>
      </c>
      <c r="B7" s="1143">
        <f>T_11!C8</f>
        <v>159</v>
      </c>
      <c r="C7" s="1143">
        <f>T_11!D8</f>
        <v>25</v>
      </c>
      <c r="D7" s="1144">
        <f t="shared" si="0"/>
        <v>184</v>
      </c>
      <c r="E7" s="7"/>
      <c r="F7" s="1518">
        <f>B7/T_11!$B8*100000</f>
        <v>183.15862227853933</v>
      </c>
      <c r="G7" s="1518">
        <f>C7/T_11!$B8*100000</f>
        <v>28.798525515493608</v>
      </c>
      <c r="H7" s="1519">
        <f>D7/T_11!$B8*100000</f>
        <v>211.95714779403295</v>
      </c>
    </row>
    <row r="8" spans="1:9" ht="13.5" customHeight="1" x14ac:dyDescent="0.2">
      <c r="A8" s="343" t="s">
        <v>27</v>
      </c>
      <c r="B8" s="1145">
        <f>T_11!C9</f>
        <v>69</v>
      </c>
      <c r="C8" s="1145">
        <f>T_11!D9</f>
        <v>24</v>
      </c>
      <c r="D8" s="1141">
        <f t="shared" si="0"/>
        <v>93</v>
      </c>
      <c r="E8" s="7"/>
      <c r="F8" s="1516">
        <f>B8/T_11!$B9*100000</f>
        <v>134.11078717201167</v>
      </c>
      <c r="G8" s="1516">
        <f>C8/T_11!$B9*100000</f>
        <v>46.647230320699713</v>
      </c>
      <c r="H8" s="1517">
        <f>D8/T_11!$B9*100000</f>
        <v>180.75801749271136</v>
      </c>
    </row>
    <row r="9" spans="1:9" ht="13.5" customHeight="1" x14ac:dyDescent="0.2">
      <c r="A9" s="46" t="s">
        <v>28</v>
      </c>
      <c r="B9" s="1143">
        <f>T_11!C10</f>
        <v>199</v>
      </c>
      <c r="C9" s="1143">
        <f>T_11!D10</f>
        <v>37</v>
      </c>
      <c r="D9" s="1144">
        <f t="shared" si="0"/>
        <v>236</v>
      </c>
      <c r="E9" s="7"/>
      <c r="F9" s="1518">
        <f>B9/T_11!$B10*100000</f>
        <v>133.3780160857909</v>
      </c>
      <c r="G9" s="1518">
        <f>C9/T_11!$B10*100000</f>
        <v>24.798927613941018</v>
      </c>
      <c r="H9" s="1519">
        <f>D9/T_11!$B10*100000</f>
        <v>158.17694369973191</v>
      </c>
    </row>
    <row r="10" spans="1:9" ht="13.5" customHeight="1" x14ac:dyDescent="0.2">
      <c r="A10" s="343" t="s">
        <v>29</v>
      </c>
      <c r="B10" s="1145">
        <f>T_11!C11</f>
        <v>271</v>
      </c>
      <c r="C10" s="1145">
        <f>T_11!D11</f>
        <v>73</v>
      </c>
      <c r="D10" s="1141">
        <f t="shared" si="0"/>
        <v>344</v>
      </c>
      <c r="E10" s="7"/>
      <c r="F10" s="1516">
        <f>B10/T_11!$B11*100000</f>
        <v>182.2338780176182</v>
      </c>
      <c r="G10" s="1516">
        <f>C10/T_11!$B11*100000</f>
        <v>49.088830609911909</v>
      </c>
      <c r="H10" s="1517">
        <f>D10/T_11!$B11*100000</f>
        <v>231.32270862753009</v>
      </c>
    </row>
    <row r="11" spans="1:9" ht="13.5" customHeight="1" x14ac:dyDescent="0.2">
      <c r="A11" s="46" t="s">
        <v>30</v>
      </c>
      <c r="B11" s="1143">
        <f>T_11!C12</f>
        <v>133</v>
      </c>
      <c r="C11" s="1143">
        <f>T_11!D12</f>
        <v>47</v>
      </c>
      <c r="D11" s="1144">
        <f t="shared" si="0"/>
        <v>180</v>
      </c>
      <c r="E11" s="7"/>
      <c r="F11" s="1518">
        <f>B11/T_11!$B12*100000</f>
        <v>109.07003444316878</v>
      </c>
      <c r="G11" s="1518">
        <f>C11/T_11!$B12*100000</f>
        <v>38.543546006232575</v>
      </c>
      <c r="H11" s="1519">
        <f>D11/T_11!$B12*100000</f>
        <v>147.61358044940135</v>
      </c>
    </row>
    <row r="12" spans="1:9" ht="13.5" customHeight="1" x14ac:dyDescent="0.2">
      <c r="A12" s="343" t="s">
        <v>31</v>
      </c>
      <c r="B12" s="1145">
        <f>T_11!C13</f>
        <v>101</v>
      </c>
      <c r="C12" s="1145">
        <f>T_11!D13</f>
        <v>57</v>
      </c>
      <c r="D12" s="1141">
        <f t="shared" si="0"/>
        <v>158</v>
      </c>
      <c r="E12" s="7"/>
      <c r="F12" s="1516">
        <f>B12/T_11!$B13*100000</f>
        <v>93.406085267733289</v>
      </c>
      <c r="G12" s="1516">
        <f>C12/T_11!$B13*100000</f>
        <v>52.714325349116805</v>
      </c>
      <c r="H12" s="1517">
        <f>D12/T_11!$B13*100000</f>
        <v>146.12041061685008</v>
      </c>
    </row>
    <row r="13" spans="1:9" ht="13.5" customHeight="1" x14ac:dyDescent="0.2">
      <c r="A13" s="46" t="s">
        <v>32</v>
      </c>
      <c r="B13" s="1143">
        <f>T_11!C14</f>
        <v>130</v>
      </c>
      <c r="C13" s="1143">
        <f>T_11!D14</f>
        <v>59</v>
      </c>
      <c r="D13" s="1144">
        <f t="shared" si="0"/>
        <v>189</v>
      </c>
      <c r="E13" s="7"/>
      <c r="F13" s="1518">
        <f>B13/T_11!$B14*100000</f>
        <v>123.99847386493704</v>
      </c>
      <c r="G13" s="1518">
        <f>C13/T_11!$B14*100000</f>
        <v>56.2762304463945</v>
      </c>
      <c r="H13" s="1519">
        <f>D13/T_11!$B14*100000</f>
        <v>180.27470431133156</v>
      </c>
    </row>
    <row r="14" spans="1:9" ht="13.5" customHeight="1" x14ac:dyDescent="0.2">
      <c r="A14" s="343" t="s">
        <v>33</v>
      </c>
      <c r="B14" s="1145">
        <f>T_11!C15</f>
        <v>111</v>
      </c>
      <c r="C14" s="1145">
        <f>T_11!D15</f>
        <v>19</v>
      </c>
      <c r="D14" s="1141">
        <f t="shared" si="0"/>
        <v>130</v>
      </c>
      <c r="E14" s="7"/>
      <c r="F14" s="1516">
        <f>B14/T_11!$B15*100000</f>
        <v>117.13803292528492</v>
      </c>
      <c r="G14" s="1516">
        <f>C14/T_11!$B15*100000</f>
        <v>20.05065428450823</v>
      </c>
      <c r="H14" s="1517">
        <f>D14/T_11!$B15*100000</f>
        <v>137.18868720979316</v>
      </c>
    </row>
    <row r="15" spans="1:9" ht="13.5" customHeight="1" x14ac:dyDescent="0.2">
      <c r="A15" s="46" t="s">
        <v>137</v>
      </c>
      <c r="B15" s="1143">
        <f>T_11!C16</f>
        <v>742</v>
      </c>
      <c r="C15" s="1143">
        <f>T_11!D16</f>
        <v>296</v>
      </c>
      <c r="D15" s="1144">
        <f t="shared" si="0"/>
        <v>1038</v>
      </c>
      <c r="E15" s="7"/>
      <c r="F15" s="1518">
        <f>B15/T_11!$B16*100000</f>
        <v>144.58019134467372</v>
      </c>
      <c r="G15" s="1518">
        <f>C15/T_11!$B16*100000</f>
        <v>57.676194929950704</v>
      </c>
      <c r="H15" s="1519">
        <f>D15/T_11!$B16*100000</f>
        <v>202.25638627462439</v>
      </c>
    </row>
    <row r="16" spans="1:9" ht="13.5" customHeight="1" x14ac:dyDescent="0.2">
      <c r="A16" s="343" t="s">
        <v>34</v>
      </c>
      <c r="B16" s="1145">
        <f>T_11!C17</f>
        <v>199</v>
      </c>
      <c r="C16" s="1145">
        <f>T_11!D17</f>
        <v>144</v>
      </c>
      <c r="D16" s="1141">
        <f t="shared" si="0"/>
        <v>343</v>
      </c>
      <c r="E16" s="7"/>
      <c r="F16" s="1516">
        <f>B16/T_11!$B17*100000</f>
        <v>124.27402735277586</v>
      </c>
      <c r="G16" s="1516">
        <f>C16/T_11!$B17*100000</f>
        <v>89.926934365827762</v>
      </c>
      <c r="H16" s="1517">
        <f>D16/T_11!$B17*100000</f>
        <v>214.20096171860365</v>
      </c>
    </row>
    <row r="17" spans="1:8" ht="13.5" customHeight="1" x14ac:dyDescent="0.2">
      <c r="A17" s="46" t="s">
        <v>35</v>
      </c>
      <c r="B17" s="1143">
        <f>T_11!C18</f>
        <v>508</v>
      </c>
      <c r="C17" s="1143">
        <f>T_11!D18</f>
        <v>153</v>
      </c>
      <c r="D17" s="1144">
        <f t="shared" si="0"/>
        <v>661</v>
      </c>
      <c r="E17" s="7"/>
      <c r="F17" s="1518">
        <f>B17/T_11!$B18*100000</f>
        <v>136.77606957270939</v>
      </c>
      <c r="G17" s="1518">
        <f>C17/T_11!$B18*100000</f>
        <v>41.194367410678225</v>
      </c>
      <c r="H17" s="1519">
        <f>D17/T_11!$B18*100000</f>
        <v>177.97043698338763</v>
      </c>
    </row>
    <row r="18" spans="1:8" ht="13.5" customHeight="1" x14ac:dyDescent="0.2">
      <c r="A18" s="343" t="s">
        <v>36</v>
      </c>
      <c r="B18" s="1145">
        <f>T_11!C19</f>
        <v>1261</v>
      </c>
      <c r="C18" s="1145">
        <f>T_11!D19</f>
        <v>448</v>
      </c>
      <c r="D18" s="1141">
        <f t="shared" si="0"/>
        <v>1709</v>
      </c>
      <c r="E18" s="7"/>
      <c r="F18" s="1516">
        <f>B18/T_11!$B19*100000</f>
        <v>203.0530417699913</v>
      </c>
      <c r="G18" s="1516">
        <f>C18/T_11!$B19*100000</f>
        <v>72.139383594731257</v>
      </c>
      <c r="H18" s="1517">
        <f>D18/T_11!$B19*100000</f>
        <v>275.19242536472257</v>
      </c>
    </row>
    <row r="19" spans="1:8" ht="13.5" customHeight="1" x14ac:dyDescent="0.2">
      <c r="A19" s="46" t="s">
        <v>37</v>
      </c>
      <c r="B19" s="1143">
        <f>T_11!C20</f>
        <v>337</v>
      </c>
      <c r="C19" s="1143">
        <f>T_11!D20</f>
        <v>23</v>
      </c>
      <c r="D19" s="1144">
        <f t="shared" si="0"/>
        <v>360</v>
      </c>
      <c r="E19" s="7"/>
      <c r="F19" s="1518">
        <f>B19/T_11!$B20*100000</f>
        <v>143.29449783144827</v>
      </c>
      <c r="G19" s="1518">
        <f>C19/T_11!$B20*100000</f>
        <v>9.7797431754400872</v>
      </c>
      <c r="H19" s="1519">
        <f>D19/T_11!$B20*100000</f>
        <v>153.07424100688834</v>
      </c>
    </row>
    <row r="20" spans="1:8" ht="13.5" customHeight="1" x14ac:dyDescent="0.2">
      <c r="A20" s="343" t="s">
        <v>38</v>
      </c>
      <c r="B20" s="1145">
        <f>T_11!C21</f>
        <v>123</v>
      </c>
      <c r="C20" s="1145">
        <f>T_11!D21</f>
        <v>66</v>
      </c>
      <c r="D20" s="1141">
        <f t="shared" si="0"/>
        <v>189</v>
      </c>
      <c r="E20" s="7"/>
      <c r="F20" s="1516">
        <f>B20/T_11!$B21*100000</f>
        <v>156.17064499746064</v>
      </c>
      <c r="G20" s="1516">
        <f>C20/T_11!$B21*100000</f>
        <v>83.798882681564251</v>
      </c>
      <c r="H20" s="1517">
        <f>D20/T_11!$B21*100000</f>
        <v>239.96952767902491</v>
      </c>
    </row>
    <row r="21" spans="1:8" ht="13.5" customHeight="1" x14ac:dyDescent="0.2">
      <c r="A21" s="46" t="s">
        <v>39</v>
      </c>
      <c r="B21" s="1143">
        <f>T_11!C22</f>
        <v>116</v>
      </c>
      <c r="C21" s="1143">
        <f>T_11!D22</f>
        <v>95</v>
      </c>
      <c r="D21" s="1144">
        <f t="shared" si="0"/>
        <v>211</v>
      </c>
      <c r="E21" s="7"/>
      <c r="F21" s="1518">
        <f>B21/T_11!$B22*100000</f>
        <v>128.76012876012877</v>
      </c>
      <c r="G21" s="1518">
        <f>C21/T_11!$B22*100000</f>
        <v>105.45010545010545</v>
      </c>
      <c r="H21" s="1519">
        <f>D21/T_11!$B22*100000</f>
        <v>234.2102342102342</v>
      </c>
    </row>
    <row r="22" spans="1:8" ht="13.5" customHeight="1" x14ac:dyDescent="0.2">
      <c r="A22" s="343" t="s">
        <v>40</v>
      </c>
      <c r="B22" s="1145">
        <f>T_11!C23</f>
        <v>89</v>
      </c>
      <c r="C22" s="1145">
        <f>T_11!D23</f>
        <v>25</v>
      </c>
      <c r="D22" s="1141">
        <f t="shared" si="0"/>
        <v>114</v>
      </c>
      <c r="E22" s="7"/>
      <c r="F22" s="1516">
        <f>B22/T_11!$B23*100000</f>
        <v>92.921277928586335</v>
      </c>
      <c r="G22" s="1516">
        <f>C22/T_11!$B23*100000</f>
        <v>26.101482564209647</v>
      </c>
      <c r="H22" s="1517">
        <f>D22/T_11!$B23*100000</f>
        <v>119.02276049279598</v>
      </c>
    </row>
    <row r="23" spans="1:8" ht="13.5" customHeight="1" x14ac:dyDescent="0.2">
      <c r="A23" s="46" t="s">
        <v>393</v>
      </c>
      <c r="B23" s="1143">
        <f>T_11!C24</f>
        <v>36</v>
      </c>
      <c r="C23" s="1143">
        <f>T_11!D24</f>
        <v>3</v>
      </c>
      <c r="D23" s="1144">
        <f t="shared" si="0"/>
        <v>39</v>
      </c>
      <c r="E23" s="7"/>
      <c r="F23" s="1518">
        <f>B23/T_11!$B24*100000</f>
        <v>133.58070500927644</v>
      </c>
      <c r="G23" s="1518">
        <f>C23/T_11!$B24*100000</f>
        <v>11.131725417439704</v>
      </c>
      <c r="H23" s="1519">
        <f>D23/T_11!$B24*100000</f>
        <v>144.71243042671614</v>
      </c>
    </row>
    <row r="24" spans="1:8" ht="13.5" customHeight="1" x14ac:dyDescent="0.2">
      <c r="A24" s="343" t="s">
        <v>41</v>
      </c>
      <c r="B24" s="1145">
        <f>T_11!C25</f>
        <v>222</v>
      </c>
      <c r="C24" s="1145">
        <f>T_11!D25</f>
        <v>50</v>
      </c>
      <c r="D24" s="1141">
        <f t="shared" si="0"/>
        <v>272</v>
      </c>
      <c r="E24" s="7"/>
      <c r="F24" s="1516">
        <f>B24/T_11!$B25*100000</f>
        <v>163.48773841961852</v>
      </c>
      <c r="G24" s="1516">
        <f>C24/T_11!$B25*100000</f>
        <v>36.821562707121288</v>
      </c>
      <c r="H24" s="1517">
        <f>D24/T_11!$B25*100000</f>
        <v>200.3093011267398</v>
      </c>
    </row>
    <row r="25" spans="1:8" ht="13.5" customHeight="1" x14ac:dyDescent="0.2">
      <c r="A25" s="46" t="s">
        <v>42</v>
      </c>
      <c r="B25" s="1143">
        <f>T_11!C26</f>
        <v>448</v>
      </c>
      <c r="C25" s="1143">
        <f>T_11!D26</f>
        <v>209</v>
      </c>
      <c r="D25" s="1144">
        <f t="shared" si="0"/>
        <v>657</v>
      </c>
      <c r="E25" s="7"/>
      <c r="F25" s="1518">
        <f>B25/T_11!$B26*100000</f>
        <v>131.78020943640431</v>
      </c>
      <c r="G25" s="1518">
        <f>C25/T_11!$B26*100000</f>
        <v>61.47782092010825</v>
      </c>
      <c r="H25" s="1519">
        <f>D25/T_11!$B26*100000</f>
        <v>193.25803035651253</v>
      </c>
    </row>
    <row r="26" spans="1:8" ht="13.5" customHeight="1" x14ac:dyDescent="0.2">
      <c r="A26" s="343" t="s">
        <v>43</v>
      </c>
      <c r="B26" s="1145">
        <f>T_11!C27</f>
        <v>15</v>
      </c>
      <c r="C26" s="1146">
        <f>T_11!D27</f>
        <v>0</v>
      </c>
      <c r="D26" s="1141">
        <f t="shared" si="0"/>
        <v>15</v>
      </c>
      <c r="E26" s="638"/>
      <c r="F26" s="1516">
        <f>B26/T_11!$B27*100000</f>
        <v>68.181818181818187</v>
      </c>
      <c r="G26" s="1516">
        <f>C26/T_11!$B27*100000</f>
        <v>0</v>
      </c>
      <c r="H26" s="1517">
        <f>D26/T_11!$B27*100000</f>
        <v>68.181818181818187</v>
      </c>
    </row>
    <row r="27" spans="1:8" ht="13.5" customHeight="1" x14ac:dyDescent="0.2">
      <c r="A27" s="46" t="s">
        <v>44</v>
      </c>
      <c r="B27" s="1143">
        <f>T_11!C28</f>
        <v>207</v>
      </c>
      <c r="C27" s="1143">
        <f>T_11!D28</f>
        <v>27</v>
      </c>
      <c r="D27" s="1144">
        <f t="shared" si="0"/>
        <v>234</v>
      </c>
      <c r="E27" s="638"/>
      <c r="F27" s="1518">
        <f>B27/T_11!$B28*100000</f>
        <v>136.99536730641958</v>
      </c>
      <c r="G27" s="1518">
        <f>C27/T_11!$B28*100000</f>
        <v>17.86896095301125</v>
      </c>
      <c r="H27" s="1519">
        <f>D27/T_11!$B28*100000</f>
        <v>154.86432825943083</v>
      </c>
    </row>
    <row r="28" spans="1:8" ht="13.5" customHeight="1" x14ac:dyDescent="0.2">
      <c r="A28" s="343" t="s">
        <v>45</v>
      </c>
      <c r="B28" s="1145">
        <f>T_11!C29</f>
        <v>283</v>
      </c>
      <c r="C28" s="1145">
        <f>T_11!D29</f>
        <v>113</v>
      </c>
      <c r="D28" s="1141">
        <f t="shared" si="0"/>
        <v>396</v>
      </c>
      <c r="E28" s="638"/>
      <c r="F28" s="1516">
        <f>B28/T_11!$B29*100000</f>
        <v>160.04071707289486</v>
      </c>
      <c r="G28" s="1516">
        <f>C28/T_11!$B29*100000</f>
        <v>63.903183848894415</v>
      </c>
      <c r="H28" s="1517">
        <f>D28/T_11!$B29*100000</f>
        <v>223.94390092178926</v>
      </c>
    </row>
    <row r="29" spans="1:8" ht="13.5" customHeight="1" x14ac:dyDescent="0.2">
      <c r="A29" s="10" t="s">
        <v>46</v>
      </c>
      <c r="B29" s="1143">
        <f>T_11!C30</f>
        <v>148</v>
      </c>
      <c r="C29" s="1143">
        <f>T_11!D30</f>
        <v>56</v>
      </c>
      <c r="D29" s="1144">
        <f t="shared" si="0"/>
        <v>204</v>
      </c>
      <c r="E29" s="638"/>
      <c r="F29" s="1518">
        <f>B29/T_11!$B30*100000</f>
        <v>128.67327421318032</v>
      </c>
      <c r="G29" s="1518">
        <f>C29/T_11!$B30*100000</f>
        <v>48.687184837419579</v>
      </c>
      <c r="H29" s="1519">
        <f>D29/T_11!$B30*100000</f>
        <v>177.3604590505999</v>
      </c>
    </row>
    <row r="30" spans="1:8" ht="13.5" customHeight="1" x14ac:dyDescent="0.2">
      <c r="A30" s="343" t="s">
        <v>47</v>
      </c>
      <c r="B30" s="1145">
        <f>T_11!C31</f>
        <v>32</v>
      </c>
      <c r="C30" s="1145">
        <f>T_11!D31</f>
        <v>1</v>
      </c>
      <c r="D30" s="1141">
        <f t="shared" si="0"/>
        <v>33</v>
      </c>
      <c r="E30" s="638"/>
      <c r="F30" s="1516">
        <f>B30/T_11!$B31*100000</f>
        <v>138.64818024263431</v>
      </c>
      <c r="G30" s="1516">
        <f>C30/T_11!$B31*100000</f>
        <v>4.3327556325823222</v>
      </c>
      <c r="H30" s="1517">
        <f>D30/T_11!$B31*100000</f>
        <v>142.98093587521663</v>
      </c>
    </row>
    <row r="31" spans="1:8" ht="13.5" customHeight="1" x14ac:dyDescent="0.2">
      <c r="A31" s="46" t="s">
        <v>48</v>
      </c>
      <c r="B31" s="1143">
        <f>T_11!C32</f>
        <v>164</v>
      </c>
      <c r="C31" s="1143">
        <f>T_11!D32</f>
        <v>40</v>
      </c>
      <c r="D31" s="1144">
        <f t="shared" si="0"/>
        <v>204</v>
      </c>
      <c r="E31" s="638"/>
      <c r="F31" s="1518">
        <f>B31/T_11!$B32*100000</f>
        <v>145.54490592829251</v>
      </c>
      <c r="G31" s="1518">
        <f>C31/T_11!$B32*100000</f>
        <v>35.498757543485979</v>
      </c>
      <c r="H31" s="1519">
        <f>D31/T_11!$B32*100000</f>
        <v>181.0436634717785</v>
      </c>
    </row>
    <row r="32" spans="1:8" ht="13.5" customHeight="1" x14ac:dyDescent="0.2">
      <c r="A32" s="343" t="s">
        <v>49</v>
      </c>
      <c r="B32" s="1145">
        <f>T_11!C33</f>
        <v>401</v>
      </c>
      <c r="C32" s="1145">
        <f>T_11!D33</f>
        <v>182</v>
      </c>
      <c r="D32" s="1141">
        <f t="shared" si="0"/>
        <v>583</v>
      </c>
      <c r="E32" s="638"/>
      <c r="F32" s="1516">
        <f>B32/T_11!$B33*100000</f>
        <v>126.03325266367037</v>
      </c>
      <c r="G32" s="1516">
        <f>C32/T_11!$B33*100000</f>
        <v>57.20212465034416</v>
      </c>
      <c r="H32" s="1517">
        <f>D32/T_11!$B33*100000</f>
        <v>183.2353773140145</v>
      </c>
    </row>
    <row r="33" spans="1:11" ht="13.5" customHeight="1" x14ac:dyDescent="0.2">
      <c r="A33" s="46" t="s">
        <v>50</v>
      </c>
      <c r="B33" s="1143">
        <f>T_11!C34</f>
        <v>136</v>
      </c>
      <c r="C33" s="1143">
        <f>T_11!D34</f>
        <v>39</v>
      </c>
      <c r="D33" s="1144">
        <f t="shared" si="0"/>
        <v>175</v>
      </c>
      <c r="E33" s="638"/>
      <c r="F33" s="1518">
        <f>B33/T_11!$B34*100000</f>
        <v>144.68085106382978</v>
      </c>
      <c r="G33" s="1518">
        <f>C33/T_11!$B34*100000</f>
        <v>41.48936170212766</v>
      </c>
      <c r="H33" s="1519">
        <f>D33/T_11!$B34*100000</f>
        <v>186.17021276595744</v>
      </c>
    </row>
    <row r="34" spans="1:11" ht="13.5" customHeight="1" x14ac:dyDescent="0.2">
      <c r="A34" s="343" t="s">
        <v>51</v>
      </c>
      <c r="B34" s="1145">
        <f>T_11!C35</f>
        <v>199</v>
      </c>
      <c r="C34" s="1145">
        <f>T_11!D35</f>
        <v>70</v>
      </c>
      <c r="D34" s="1141">
        <f t="shared" si="0"/>
        <v>269</v>
      </c>
      <c r="E34" s="638"/>
      <c r="F34" s="1516">
        <f>B34/T_11!$B35*100000</f>
        <v>222.07342930476511</v>
      </c>
      <c r="G34" s="1516">
        <f>C34/T_11!$B35*100000</f>
        <v>78.116281664992741</v>
      </c>
      <c r="H34" s="1517">
        <f>D34/T_11!$B35*100000</f>
        <v>300.18971096975787</v>
      </c>
    </row>
    <row r="35" spans="1:11" ht="13.5" customHeight="1" x14ac:dyDescent="0.2">
      <c r="A35" s="46" t="s">
        <v>52</v>
      </c>
      <c r="B35" s="1143">
        <f>T_11!C36</f>
        <v>258</v>
      </c>
      <c r="C35" s="1143">
        <f>T_11!D36</f>
        <v>164</v>
      </c>
      <c r="D35" s="1144">
        <f t="shared" si="0"/>
        <v>422</v>
      </c>
      <c r="E35" s="638"/>
      <c r="F35" s="1518">
        <f>B35/T_11!$B36*100000</f>
        <v>142.29772213336273</v>
      </c>
      <c r="G35" s="1518">
        <f>C35/T_11!$B36*100000</f>
        <v>90.452815619656946</v>
      </c>
      <c r="H35" s="1519">
        <f>D35/T_11!$B36*100000</f>
        <v>232.7505377530197</v>
      </c>
    </row>
    <row r="36" spans="1:11" ht="13.5" customHeight="1" x14ac:dyDescent="0.2">
      <c r="A36" s="378"/>
      <c r="B36" s="1147"/>
      <c r="C36" s="1147"/>
      <c r="D36" s="1148"/>
      <c r="E36" s="638"/>
      <c r="F36" s="1142"/>
      <c r="G36" s="1142"/>
      <c r="H36" s="1211"/>
    </row>
    <row r="37" spans="1:11" ht="30" customHeight="1" x14ac:dyDescent="0.2">
      <c r="A37" s="232" t="s">
        <v>159</v>
      </c>
      <c r="B37" s="1149">
        <f>SUM(B4:B36)</f>
        <v>7929</v>
      </c>
      <c r="C37" s="1149">
        <f>SUM(C4:C36)</f>
        <v>2725</v>
      </c>
      <c r="D37" s="1150">
        <f>SUM(D4:D36)</f>
        <v>10654</v>
      </c>
      <c r="E37" s="638"/>
      <c r="F37" s="1378">
        <f>B37/T_11!$B37*100000</f>
        <v>146.16207049107803</v>
      </c>
      <c r="G37" s="1378">
        <f>C37/T_11!$B37*100000</f>
        <v>50.232266627341104</v>
      </c>
      <c r="H37" s="1379">
        <f>D37/T_11!$B37*100000</f>
        <v>196.39433711841912</v>
      </c>
    </row>
    <row r="38" spans="1:11" ht="13.5" customHeight="1" x14ac:dyDescent="0.2">
      <c r="A38" s="237"/>
      <c r="B38" s="426"/>
      <c r="C38" s="426"/>
      <c r="D38" s="426"/>
      <c r="E38" s="67"/>
      <c r="F38" s="427"/>
      <c r="G38" s="427"/>
      <c r="H38" s="427"/>
      <c r="J38" s="113"/>
    </row>
    <row r="39" spans="1:11" x14ac:dyDescent="0.2">
      <c r="A39" s="13" t="s">
        <v>162</v>
      </c>
    </row>
    <row r="40" spans="1:11" x14ac:dyDescent="0.2">
      <c r="A40" s="71" t="s">
        <v>963</v>
      </c>
      <c r="B40" s="71"/>
      <c r="C40" s="71"/>
      <c r="D40" s="71"/>
      <c r="E40" s="71"/>
      <c r="F40" s="71"/>
      <c r="G40" s="71"/>
      <c r="H40" s="71"/>
      <c r="I40" s="71"/>
      <c r="J40" s="71"/>
      <c r="K40" s="71"/>
    </row>
    <row r="41" spans="1:11" x14ac:dyDescent="0.2">
      <c r="A41" s="292"/>
    </row>
    <row r="42" spans="1:11" ht="38.25" customHeight="1" x14ac:dyDescent="0.2">
      <c r="A42" s="1671" t="s">
        <v>627</v>
      </c>
      <c r="B42" s="1671"/>
      <c r="C42" s="1671"/>
      <c r="D42" s="1671"/>
      <c r="E42" s="1671"/>
      <c r="F42" s="1671"/>
      <c r="G42" s="1671"/>
      <c r="H42" s="1671"/>
      <c r="I42" s="1671"/>
    </row>
    <row r="43" spans="1:11" ht="13.5" customHeight="1" x14ac:dyDescent="0.25">
      <c r="C43" s="234" t="s">
        <v>0</v>
      </c>
      <c r="H43" s="145" t="s">
        <v>58</v>
      </c>
    </row>
    <row r="44" spans="1:11" ht="15" customHeight="1" x14ac:dyDescent="0.2">
      <c r="A44" s="1629" t="s">
        <v>335</v>
      </c>
      <c r="B44" s="1659" t="s">
        <v>59</v>
      </c>
      <c r="C44" s="1705" t="s">
        <v>131</v>
      </c>
      <c r="E44" s="1708" t="s">
        <v>75</v>
      </c>
      <c r="F44" s="1709"/>
      <c r="G44" s="1709"/>
      <c r="H44" s="1710"/>
    </row>
    <row r="45" spans="1:11" ht="13.5" customHeight="1" x14ac:dyDescent="0.2">
      <c r="A45" s="1687"/>
      <c r="B45" s="1660"/>
      <c r="C45" s="1706"/>
      <c r="D45" s="2"/>
      <c r="E45" s="1711" t="s">
        <v>62</v>
      </c>
      <c r="F45" s="1712"/>
      <c r="G45" s="1711" t="s">
        <v>118</v>
      </c>
      <c r="H45" s="1712"/>
    </row>
    <row r="46" spans="1:11" ht="30" customHeight="1" x14ac:dyDescent="0.2">
      <c r="A46" s="1687"/>
      <c r="B46" s="1665"/>
      <c r="C46" s="1707"/>
      <c r="D46" s="228"/>
      <c r="E46" s="117" t="s">
        <v>0</v>
      </c>
      <c r="F46" s="229" t="s">
        <v>61</v>
      </c>
      <c r="G46" s="1115" t="s">
        <v>0</v>
      </c>
      <c r="H46" s="229" t="s">
        <v>61</v>
      </c>
    </row>
    <row r="47" spans="1:11" ht="18.75" customHeight="1" x14ac:dyDescent="0.2">
      <c r="A47" s="1017" t="s">
        <v>16</v>
      </c>
      <c r="B47" s="40">
        <f>'11'!$B$5</f>
        <v>5479</v>
      </c>
      <c r="C47" s="1053">
        <f>'11'!$B$21</f>
        <v>1187</v>
      </c>
      <c r="D47" s="7"/>
      <c r="E47" s="93">
        <f>'11'!D5</f>
        <v>1247</v>
      </c>
      <c r="F47" s="1151">
        <f>E47/B47*1000</f>
        <v>227.59627669282716</v>
      </c>
      <c r="G47" s="93">
        <f>'11'!D21</f>
        <v>290</v>
      </c>
      <c r="H47" s="959">
        <f>G47/C47*1000</f>
        <v>244.3133951137321</v>
      </c>
    </row>
    <row r="48" spans="1:11" ht="13.5" customHeight="1" thickBot="1" x14ac:dyDescent="0.25">
      <c r="A48" s="1215" t="s">
        <v>18</v>
      </c>
      <c r="B48" s="1216">
        <f>'11'!$B$6</f>
        <v>5397</v>
      </c>
      <c r="C48" s="1214">
        <f>'11'!$B$22</f>
        <v>1308</v>
      </c>
      <c r="D48" s="7"/>
      <c r="E48" s="1087">
        <f>'11'!D6</f>
        <v>1188</v>
      </c>
      <c r="F48" s="1152">
        <f t="shared" ref="F48:F57" si="1">E48/B48*1000</f>
        <v>220.12229016120065</v>
      </c>
      <c r="G48" s="1087">
        <f>'11'!D22</f>
        <v>269</v>
      </c>
      <c r="H48" s="1153">
        <f t="shared" ref="H48:H54" si="2">G48/C48*1000</f>
        <v>205.65749235474007</v>
      </c>
    </row>
    <row r="49" spans="1:9" ht="13.5" customHeight="1" x14ac:dyDescent="0.2">
      <c r="A49" s="1212" t="s">
        <v>19</v>
      </c>
      <c r="B49" s="1217">
        <f>'11'!$B$7</f>
        <v>5379</v>
      </c>
      <c r="C49" s="1213">
        <f>'11'!$B$23</f>
        <v>1194</v>
      </c>
      <c r="D49" s="7"/>
      <c r="E49" s="6">
        <f>'11'!D7</f>
        <v>886</v>
      </c>
      <c r="F49" s="1154">
        <f t="shared" si="1"/>
        <v>164.71463097229969</v>
      </c>
      <c r="G49" s="6">
        <f>'11'!D23</f>
        <v>138</v>
      </c>
      <c r="H49" s="243">
        <f t="shared" si="2"/>
        <v>115.57788944723619</v>
      </c>
    </row>
    <row r="50" spans="1:9" ht="13.5" customHeight="1" x14ac:dyDescent="0.2">
      <c r="A50" s="30" t="s">
        <v>20</v>
      </c>
      <c r="B50" s="9">
        <f>'11'!$B$8</f>
        <v>5214</v>
      </c>
      <c r="C50" s="8">
        <f>'11'!$B$24</f>
        <v>1086</v>
      </c>
      <c r="D50" s="7"/>
      <c r="E50" s="6">
        <f>'11'!D8</f>
        <v>975</v>
      </c>
      <c r="F50" s="1154">
        <f t="shared" si="1"/>
        <v>186.99654775604142</v>
      </c>
      <c r="G50" s="18">
        <f>'11'!D24</f>
        <v>167</v>
      </c>
      <c r="H50" s="243">
        <f t="shared" si="2"/>
        <v>153.77532228360957</v>
      </c>
    </row>
    <row r="51" spans="1:9" ht="13.5" customHeight="1" x14ac:dyDescent="0.2">
      <c r="A51" s="30" t="s">
        <v>13</v>
      </c>
      <c r="B51" s="9">
        <f>'11'!$B$9</f>
        <v>5121</v>
      </c>
      <c r="C51" s="8">
        <f>'11'!$B$25</f>
        <v>1039</v>
      </c>
      <c r="D51" s="7"/>
      <c r="E51" s="6">
        <f>'11'!D9</f>
        <v>985</v>
      </c>
      <c r="F51" s="1154">
        <f t="shared" si="1"/>
        <v>192.3452450693224</v>
      </c>
      <c r="G51" s="18">
        <f>'11'!D25</f>
        <v>236</v>
      </c>
      <c r="H51" s="243">
        <f t="shared" si="2"/>
        <v>227.1414821944177</v>
      </c>
    </row>
    <row r="52" spans="1:9" ht="13.5" customHeight="1" x14ac:dyDescent="0.2">
      <c r="A52" s="30" t="s">
        <v>15</v>
      </c>
      <c r="B52" s="9">
        <f>'11'!$B$10</f>
        <v>5004</v>
      </c>
      <c r="C52" s="8">
        <f>'11'!$B$26</f>
        <v>832</v>
      </c>
      <c r="D52" s="7"/>
      <c r="E52" s="6">
        <f>'11'!D10</f>
        <v>1014</v>
      </c>
      <c r="F52" s="1154">
        <f t="shared" si="1"/>
        <v>202.6378896882494</v>
      </c>
      <c r="G52" s="6">
        <f>'11'!D26</f>
        <v>152</v>
      </c>
      <c r="H52" s="243">
        <f t="shared" si="2"/>
        <v>182.69230769230768</v>
      </c>
    </row>
    <row r="53" spans="1:9" ht="13.5" customHeight="1" x14ac:dyDescent="0.2">
      <c r="A53" s="30" t="s">
        <v>17</v>
      </c>
      <c r="B53" s="9">
        <f>'11'!$B$11</f>
        <v>4684</v>
      </c>
      <c r="C53" s="8">
        <f>'11'!$B$27</f>
        <v>650</v>
      </c>
      <c r="D53" s="7"/>
      <c r="E53" s="6">
        <f>'11'!D11</f>
        <v>986</v>
      </c>
      <c r="F53" s="1154">
        <f t="shared" si="1"/>
        <v>210.50384286934246</v>
      </c>
      <c r="G53" s="18">
        <f>'11'!D27</f>
        <v>154</v>
      </c>
      <c r="H53" s="243">
        <f t="shared" si="2"/>
        <v>236.92307692307693</v>
      </c>
    </row>
    <row r="54" spans="1:9" ht="13.5" customHeight="1" x14ac:dyDescent="0.2">
      <c r="A54" s="5" t="s">
        <v>147</v>
      </c>
      <c r="B54" s="9">
        <f>'11'!$B$12</f>
        <v>4961</v>
      </c>
      <c r="C54" s="8">
        <f>'11'!$B$28</f>
        <v>621</v>
      </c>
      <c r="D54" s="7"/>
      <c r="E54" s="6">
        <f>'11'!D12</f>
        <v>828</v>
      </c>
      <c r="F54" s="1154">
        <f t="shared" si="1"/>
        <v>166.90183430759927</v>
      </c>
      <c r="G54" s="6">
        <f>'11'!D28</f>
        <v>121</v>
      </c>
      <c r="H54" s="243">
        <f t="shared" si="2"/>
        <v>194.84702093397746</v>
      </c>
    </row>
    <row r="55" spans="1:9" ht="13.5" customHeight="1" x14ac:dyDescent="0.2">
      <c r="A55" s="30" t="s">
        <v>160</v>
      </c>
      <c r="B55" s="9">
        <f>'11'!$B13</f>
        <v>5072</v>
      </c>
      <c r="C55" s="8">
        <f>'11'!$B29</f>
        <v>605</v>
      </c>
      <c r="D55" s="7"/>
      <c r="E55" s="6">
        <f>'11'!D13</f>
        <v>925</v>
      </c>
      <c r="F55" s="1154">
        <f t="shared" si="1"/>
        <v>182.37381703470032</v>
      </c>
      <c r="G55" s="18">
        <f>'11'!D29</f>
        <v>138</v>
      </c>
      <c r="H55" s="243">
        <f>G55/C55*1000</f>
        <v>228.099173553719</v>
      </c>
    </row>
    <row r="56" spans="1:9" ht="13.5" customHeight="1" x14ac:dyDescent="0.2">
      <c r="A56" s="30" t="s">
        <v>379</v>
      </c>
      <c r="B56" s="9">
        <f>'11'!$B14</f>
        <v>4930</v>
      </c>
      <c r="C56" s="8">
        <f>'11'!$B30</f>
        <v>618</v>
      </c>
      <c r="D56" s="7"/>
      <c r="E56" s="6">
        <f>'11'!D14</f>
        <v>940</v>
      </c>
      <c r="F56" s="1154">
        <f t="shared" si="1"/>
        <v>190.66937119675455</v>
      </c>
      <c r="G56" s="18">
        <f>'11'!D30</f>
        <v>175</v>
      </c>
      <c r="H56" s="243">
        <f t="shared" ref="H56:H57" si="3">G56/C56*1000</f>
        <v>283.17152103559874</v>
      </c>
      <c r="I56" s="1" t="s">
        <v>145</v>
      </c>
    </row>
    <row r="57" spans="1:9" ht="13.5" customHeight="1" x14ac:dyDescent="0.2">
      <c r="A57" s="1261" t="s">
        <v>603</v>
      </c>
      <c r="B57" s="12">
        <f>'11'!$B15</f>
        <v>4752</v>
      </c>
      <c r="C57" s="1052">
        <f>'11'!$B31</f>
        <v>558</v>
      </c>
      <c r="D57" s="7"/>
      <c r="E57" s="363">
        <f>'11'!D15</f>
        <v>797</v>
      </c>
      <c r="F57" s="1155">
        <f t="shared" si="1"/>
        <v>167.71885521885523</v>
      </c>
      <c r="G57" s="11">
        <f>'11'!D31</f>
        <v>124</v>
      </c>
      <c r="H57" s="960">
        <f t="shared" si="3"/>
        <v>222.2222222222222</v>
      </c>
      <c r="I57" s="1" t="s">
        <v>143</v>
      </c>
    </row>
    <row r="58" spans="1:9" ht="13.5" customHeight="1" x14ac:dyDescent="0.2">
      <c r="A58" s="2"/>
      <c r="B58" s="55"/>
      <c r="C58" s="55"/>
      <c r="F58" s="32"/>
      <c r="G58" s="19"/>
      <c r="H58" s="96"/>
    </row>
    <row r="59" spans="1:9" x14ac:dyDescent="0.2">
      <c r="A59" s="13" t="s">
        <v>162</v>
      </c>
    </row>
    <row r="60" spans="1:9" x14ac:dyDescent="0.2">
      <c r="A60" s="71" t="s">
        <v>975</v>
      </c>
    </row>
    <row r="61" spans="1:9" ht="13.5" customHeight="1" x14ac:dyDescent="0.2">
      <c r="A61" s="71" t="s">
        <v>968</v>
      </c>
    </row>
    <row r="62" spans="1:9" ht="12.75" customHeight="1" x14ac:dyDescent="0.2">
      <c r="A62" s="1672" t="s">
        <v>998</v>
      </c>
      <c r="B62" s="1672"/>
      <c r="C62" s="1672"/>
      <c r="D62" s="1672"/>
      <c r="E62" s="1672"/>
      <c r="F62" s="1672"/>
      <c r="G62" s="1672"/>
      <c r="H62" s="1672"/>
      <c r="I62" s="1672"/>
    </row>
    <row r="63" spans="1:9" ht="25.5" customHeight="1" x14ac:dyDescent="0.2">
      <c r="A63" s="1672" t="s">
        <v>964</v>
      </c>
      <c r="B63" s="1672"/>
      <c r="C63" s="1672"/>
      <c r="D63" s="1672"/>
      <c r="E63" s="1672"/>
      <c r="F63" s="1672"/>
      <c r="G63" s="1672"/>
      <c r="H63" s="1672"/>
      <c r="I63" s="1672"/>
    </row>
    <row r="65" spans="1:1" x14ac:dyDescent="0.2">
      <c r="A65" s="51" t="s">
        <v>169</v>
      </c>
    </row>
  </sheetData>
  <sheetProtection algorithmName="SHA-512" hashValue="t0iLbwPKKGqKKLD+Lxdbx2Bfj4TChek4wvDpcVVBeIw7Q/ZVkv9zKZz6E7M7g4zClYY6MNe/v0NtfPegaVVfbw==" saltValue="WJP9wBjxY4SE65v462iyhg==" spinCount="100000" sheet="1" objects="1" scenarios="1"/>
  <mergeCells count="11">
    <mergeCell ref="A1:E1"/>
    <mergeCell ref="F2:H2"/>
    <mergeCell ref="A62:I62"/>
    <mergeCell ref="A63:I63"/>
    <mergeCell ref="A42:I42"/>
    <mergeCell ref="A44:A46"/>
    <mergeCell ref="B44:B46"/>
    <mergeCell ref="C44:C46"/>
    <mergeCell ref="E44:H44"/>
    <mergeCell ref="E45:F45"/>
    <mergeCell ref="G45:H45"/>
  </mergeCells>
  <hyperlinks>
    <hyperlink ref="A65" location="Contents!A1" display="Return to contents" xr:uid="{00000000-0004-0000-3700-000000000000}"/>
  </hyperlinks>
  <pageMargins left="0.70866141732283472" right="0.70866141732283472" top="0.74803149606299213" bottom="0.74803149606299213" header="0.31496062992125984" footer="0.31496062992125984"/>
  <pageSetup paperSize="9" scale="76"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4"/>
  <dimension ref="A2:D37"/>
  <sheetViews>
    <sheetView workbookViewId="0">
      <selection activeCell="I28" sqref="I28"/>
    </sheetView>
  </sheetViews>
  <sheetFormatPr defaultRowHeight="12.75" x14ac:dyDescent="0.2"/>
  <cols>
    <col min="1" max="1" width="20.28515625" bestFit="1" customWidth="1"/>
    <col min="2" max="2" width="11.42578125" bestFit="1" customWidth="1"/>
    <col min="3" max="3" width="17.85546875" bestFit="1" customWidth="1"/>
    <col min="4" max="4" width="17.7109375" bestFit="1" customWidth="1"/>
  </cols>
  <sheetData>
    <row r="2" spans="1:4" x14ac:dyDescent="0.2">
      <c r="A2" s="1300" t="s">
        <v>4</v>
      </c>
      <c r="B2" t="s">
        <v>603</v>
      </c>
    </row>
    <row r="4" spans="1:4" x14ac:dyDescent="0.2">
      <c r="A4" s="1300" t="s">
        <v>658</v>
      </c>
      <c r="B4" t="s">
        <v>669</v>
      </c>
      <c r="C4" t="s">
        <v>755</v>
      </c>
      <c r="D4" t="s">
        <v>756</v>
      </c>
    </row>
    <row r="5" spans="1:4" x14ac:dyDescent="0.2">
      <c r="A5" s="1301" t="s">
        <v>23</v>
      </c>
      <c r="B5">
        <v>228800</v>
      </c>
      <c r="C5">
        <v>355</v>
      </c>
      <c r="D5">
        <v>100</v>
      </c>
    </row>
    <row r="6" spans="1:4" x14ac:dyDescent="0.2">
      <c r="A6" s="1301" t="s">
        <v>24</v>
      </c>
      <c r="B6">
        <v>261800</v>
      </c>
      <c r="C6">
        <v>344</v>
      </c>
      <c r="D6">
        <v>50</v>
      </c>
    </row>
    <row r="7" spans="1:4" x14ac:dyDescent="0.2">
      <c r="A7" s="1301" t="s">
        <v>25</v>
      </c>
      <c r="B7">
        <v>116280</v>
      </c>
      <c r="C7">
        <v>133</v>
      </c>
      <c r="D7">
        <v>30</v>
      </c>
    </row>
    <row r="8" spans="1:4" x14ac:dyDescent="0.2">
      <c r="A8" s="1301" t="s">
        <v>26</v>
      </c>
      <c r="B8">
        <v>86810</v>
      </c>
      <c r="C8">
        <v>159</v>
      </c>
      <c r="D8">
        <v>25</v>
      </c>
    </row>
    <row r="9" spans="1:4" x14ac:dyDescent="0.2">
      <c r="A9" s="1301" t="s">
        <v>27</v>
      </c>
      <c r="B9">
        <v>51450</v>
      </c>
      <c r="C9">
        <v>69</v>
      </c>
      <c r="D9">
        <v>24</v>
      </c>
    </row>
    <row r="10" spans="1:4" x14ac:dyDescent="0.2">
      <c r="A10" s="1301" t="s">
        <v>28</v>
      </c>
      <c r="B10">
        <v>149200</v>
      </c>
      <c r="C10">
        <v>199</v>
      </c>
      <c r="D10">
        <v>37</v>
      </c>
    </row>
    <row r="11" spans="1:4" x14ac:dyDescent="0.2">
      <c r="A11" s="1301" t="s">
        <v>29</v>
      </c>
      <c r="B11">
        <v>148710</v>
      </c>
      <c r="C11">
        <v>271</v>
      </c>
      <c r="D11">
        <v>73</v>
      </c>
    </row>
    <row r="12" spans="1:4" x14ac:dyDescent="0.2">
      <c r="A12" s="1301" t="s">
        <v>30</v>
      </c>
      <c r="B12">
        <v>121940</v>
      </c>
      <c r="C12">
        <v>133</v>
      </c>
      <c r="D12">
        <v>47</v>
      </c>
    </row>
    <row r="13" spans="1:4" x14ac:dyDescent="0.2">
      <c r="A13" s="1301" t="s">
        <v>31</v>
      </c>
      <c r="B13">
        <v>108130</v>
      </c>
      <c r="C13">
        <v>101</v>
      </c>
      <c r="D13">
        <v>57</v>
      </c>
    </row>
    <row r="14" spans="1:4" x14ac:dyDescent="0.2">
      <c r="A14" s="1301" t="s">
        <v>32</v>
      </c>
      <c r="B14">
        <v>104840</v>
      </c>
      <c r="C14">
        <v>130</v>
      </c>
      <c r="D14">
        <v>59</v>
      </c>
    </row>
    <row r="15" spans="1:4" x14ac:dyDescent="0.2">
      <c r="A15" s="1301" t="s">
        <v>33</v>
      </c>
      <c r="B15">
        <v>94760</v>
      </c>
      <c r="C15">
        <v>111</v>
      </c>
      <c r="D15">
        <v>19</v>
      </c>
    </row>
    <row r="16" spans="1:4" x14ac:dyDescent="0.2">
      <c r="A16" s="1301" t="s">
        <v>665</v>
      </c>
      <c r="B16">
        <v>513210</v>
      </c>
      <c r="C16">
        <v>742</v>
      </c>
      <c r="D16">
        <v>296</v>
      </c>
    </row>
    <row r="17" spans="1:4" x14ac:dyDescent="0.2">
      <c r="A17" s="1301" t="s">
        <v>34</v>
      </c>
      <c r="B17">
        <v>160130</v>
      </c>
      <c r="C17">
        <v>199</v>
      </c>
      <c r="D17">
        <v>144</v>
      </c>
    </row>
    <row r="18" spans="1:4" x14ac:dyDescent="0.2">
      <c r="A18" s="1301" t="s">
        <v>35</v>
      </c>
      <c r="B18">
        <v>371410</v>
      </c>
      <c r="C18">
        <v>508</v>
      </c>
      <c r="D18">
        <v>153</v>
      </c>
    </row>
    <row r="19" spans="1:4" x14ac:dyDescent="0.2">
      <c r="A19" s="1301" t="s">
        <v>36</v>
      </c>
      <c r="B19">
        <v>621020</v>
      </c>
      <c r="C19">
        <v>1261</v>
      </c>
      <c r="D19">
        <v>448</v>
      </c>
    </row>
    <row r="20" spans="1:4" x14ac:dyDescent="0.2">
      <c r="A20" s="1301" t="s">
        <v>37</v>
      </c>
      <c r="B20">
        <v>235180</v>
      </c>
      <c r="C20">
        <v>337</v>
      </c>
      <c r="D20">
        <v>23</v>
      </c>
    </row>
    <row r="21" spans="1:4" x14ac:dyDescent="0.2">
      <c r="A21" s="1301" t="s">
        <v>38</v>
      </c>
      <c r="B21">
        <v>78760</v>
      </c>
      <c r="C21">
        <v>123</v>
      </c>
      <c r="D21">
        <v>66</v>
      </c>
    </row>
    <row r="22" spans="1:4" x14ac:dyDescent="0.2">
      <c r="A22" s="1301" t="s">
        <v>39</v>
      </c>
      <c r="B22">
        <v>90090</v>
      </c>
      <c r="C22">
        <v>116</v>
      </c>
      <c r="D22">
        <v>95</v>
      </c>
    </row>
    <row r="23" spans="1:4" x14ac:dyDescent="0.2">
      <c r="A23" s="1301" t="s">
        <v>40</v>
      </c>
      <c r="B23">
        <v>95780</v>
      </c>
      <c r="C23">
        <v>89</v>
      </c>
      <c r="D23">
        <v>25</v>
      </c>
    </row>
    <row r="24" spans="1:4" x14ac:dyDescent="0.2">
      <c r="A24" s="1301" t="s">
        <v>393</v>
      </c>
      <c r="B24">
        <v>26950</v>
      </c>
      <c r="C24">
        <v>36</v>
      </c>
      <c r="D24">
        <v>3</v>
      </c>
    </row>
    <row r="25" spans="1:4" x14ac:dyDescent="0.2">
      <c r="A25" s="1301" t="s">
        <v>41</v>
      </c>
      <c r="B25">
        <v>135790</v>
      </c>
      <c r="C25">
        <v>222</v>
      </c>
      <c r="D25">
        <v>50</v>
      </c>
    </row>
    <row r="26" spans="1:4" x14ac:dyDescent="0.2">
      <c r="A26" s="1301" t="s">
        <v>42</v>
      </c>
      <c r="B26">
        <v>339960</v>
      </c>
      <c r="C26">
        <v>448</v>
      </c>
      <c r="D26">
        <v>209</v>
      </c>
    </row>
    <row r="27" spans="1:4" x14ac:dyDescent="0.2">
      <c r="A27" s="1301" t="s">
        <v>43</v>
      </c>
      <c r="B27">
        <v>22000</v>
      </c>
      <c r="C27">
        <v>15</v>
      </c>
    </row>
    <row r="28" spans="1:4" x14ac:dyDescent="0.2">
      <c r="A28" s="1301" t="s">
        <v>44</v>
      </c>
      <c r="B28">
        <v>151100</v>
      </c>
      <c r="C28">
        <v>207</v>
      </c>
      <c r="D28">
        <v>27</v>
      </c>
    </row>
    <row r="29" spans="1:4" x14ac:dyDescent="0.2">
      <c r="A29" s="1301" t="s">
        <v>45</v>
      </c>
      <c r="B29">
        <v>176830</v>
      </c>
      <c r="C29">
        <v>283</v>
      </c>
      <c r="D29">
        <v>113</v>
      </c>
    </row>
    <row r="30" spans="1:4" x14ac:dyDescent="0.2">
      <c r="A30" s="1301" t="s">
        <v>46</v>
      </c>
      <c r="B30">
        <v>115020</v>
      </c>
      <c r="C30">
        <v>148</v>
      </c>
      <c r="D30">
        <v>56</v>
      </c>
    </row>
    <row r="31" spans="1:4" x14ac:dyDescent="0.2">
      <c r="A31" s="1301" t="s">
        <v>47</v>
      </c>
      <c r="B31">
        <v>23080</v>
      </c>
      <c r="C31">
        <v>32</v>
      </c>
      <c r="D31">
        <v>1</v>
      </c>
    </row>
    <row r="32" spans="1:4" x14ac:dyDescent="0.2">
      <c r="A32" s="1301" t="s">
        <v>48</v>
      </c>
      <c r="B32">
        <v>112680</v>
      </c>
      <c r="C32">
        <v>164</v>
      </c>
      <c r="D32">
        <v>40</v>
      </c>
    </row>
    <row r="33" spans="1:4" x14ac:dyDescent="0.2">
      <c r="A33" s="1301" t="s">
        <v>49</v>
      </c>
      <c r="B33">
        <v>318170</v>
      </c>
      <c r="C33">
        <v>401</v>
      </c>
      <c r="D33">
        <v>182</v>
      </c>
    </row>
    <row r="34" spans="1:4" x14ac:dyDescent="0.2">
      <c r="A34" s="1301" t="s">
        <v>50</v>
      </c>
      <c r="B34">
        <v>94000</v>
      </c>
      <c r="C34">
        <v>136</v>
      </c>
      <c r="D34">
        <v>39</v>
      </c>
    </row>
    <row r="35" spans="1:4" x14ac:dyDescent="0.2">
      <c r="A35" s="1301" t="s">
        <v>51</v>
      </c>
      <c r="B35">
        <v>89610</v>
      </c>
      <c r="C35">
        <v>199</v>
      </c>
      <c r="D35">
        <v>70</v>
      </c>
    </row>
    <row r="36" spans="1:4" x14ac:dyDescent="0.2">
      <c r="A36" s="1301" t="s">
        <v>52</v>
      </c>
      <c r="B36">
        <v>181310</v>
      </c>
      <c r="C36">
        <v>258</v>
      </c>
      <c r="D36">
        <v>164</v>
      </c>
    </row>
    <row r="37" spans="1:4" x14ac:dyDescent="0.2">
      <c r="A37" s="1301" t="s">
        <v>666</v>
      </c>
      <c r="B37">
        <v>5424800</v>
      </c>
      <c r="C37">
        <v>7929</v>
      </c>
      <c r="D37">
        <v>2725</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4">
    <tabColor theme="4"/>
    <pageSetUpPr fitToPage="1"/>
  </sheetPr>
  <dimension ref="A1:S84"/>
  <sheetViews>
    <sheetView showGridLines="0" zoomScaleNormal="100" zoomScaleSheetLayoutView="100" workbookViewId="0">
      <selection sqref="A1:G1"/>
    </sheetView>
  </sheetViews>
  <sheetFormatPr defaultRowHeight="12.75" x14ac:dyDescent="0.2"/>
  <cols>
    <col min="1" max="1" width="26.5703125" style="1" customWidth="1"/>
    <col min="2" max="2" width="10.28515625" style="1" customWidth="1"/>
    <col min="3" max="3" width="12.140625" style="1" customWidth="1"/>
    <col min="4" max="4" width="11.42578125" style="1" customWidth="1"/>
    <col min="5" max="5" width="2.85546875" style="1" customWidth="1"/>
    <col min="6" max="6" width="9.140625" style="1"/>
    <col min="7" max="7" width="12.140625" style="1" customWidth="1"/>
    <col min="8" max="8" width="12" style="1" customWidth="1"/>
    <col min="9" max="9" width="2.85546875" style="1" customWidth="1"/>
    <col min="10" max="10" width="9.140625" style="1"/>
    <col min="11" max="11" width="12.140625" style="1" customWidth="1"/>
    <col min="12" max="12" width="12.5703125" style="1" customWidth="1"/>
    <col min="13" max="18" width="9.140625" style="1"/>
    <col min="19" max="19" width="14.28515625" style="1" customWidth="1"/>
    <col min="20" max="245" width="9.140625" style="1"/>
    <col min="246" max="246" width="26.5703125" style="1" customWidth="1"/>
    <col min="247" max="247" width="9.140625" style="1"/>
    <col min="248" max="248" width="12.140625" style="1" customWidth="1"/>
    <col min="249" max="249" width="10.5703125" style="1" customWidth="1"/>
    <col min="250" max="250" width="2.85546875" style="1" customWidth="1"/>
    <col min="251" max="251" width="9.140625" style="1"/>
    <col min="252" max="252" width="12.140625" style="1" customWidth="1"/>
    <col min="253" max="253" width="10.5703125" style="1" customWidth="1"/>
    <col min="254" max="254" width="2.85546875" style="1" customWidth="1"/>
    <col min="255" max="255" width="9.140625" style="1"/>
    <col min="256" max="256" width="12.140625" style="1" customWidth="1"/>
    <col min="257" max="257" width="10.5703125" style="1" customWidth="1"/>
    <col min="258" max="501" width="9.140625" style="1"/>
    <col min="502" max="502" width="26.5703125" style="1" customWidth="1"/>
    <col min="503" max="503" width="9.140625" style="1"/>
    <col min="504" max="504" width="12.140625" style="1" customWidth="1"/>
    <col min="505" max="505" width="10.5703125" style="1" customWidth="1"/>
    <col min="506" max="506" width="2.85546875" style="1" customWidth="1"/>
    <col min="507" max="507" width="9.140625" style="1"/>
    <col min="508" max="508" width="12.140625" style="1" customWidth="1"/>
    <col min="509" max="509" width="10.5703125" style="1" customWidth="1"/>
    <col min="510" max="510" width="2.85546875" style="1" customWidth="1"/>
    <col min="511" max="511" width="9.140625" style="1"/>
    <col min="512" max="512" width="12.140625" style="1" customWidth="1"/>
    <col min="513" max="513" width="10.5703125" style="1" customWidth="1"/>
    <col min="514" max="757" width="9.140625" style="1"/>
    <col min="758" max="758" width="26.5703125" style="1" customWidth="1"/>
    <col min="759" max="759" width="9.140625" style="1"/>
    <col min="760" max="760" width="12.140625" style="1" customWidth="1"/>
    <col min="761" max="761" width="10.5703125" style="1" customWidth="1"/>
    <col min="762" max="762" width="2.85546875" style="1" customWidth="1"/>
    <col min="763" max="763" width="9.140625" style="1"/>
    <col min="764" max="764" width="12.140625" style="1" customWidth="1"/>
    <col min="765" max="765" width="10.5703125" style="1" customWidth="1"/>
    <col min="766" max="766" width="2.85546875" style="1" customWidth="1"/>
    <col min="767" max="767" width="9.140625" style="1"/>
    <col min="768" max="768" width="12.140625" style="1" customWidth="1"/>
    <col min="769" max="769" width="10.5703125" style="1" customWidth="1"/>
    <col min="770" max="1013" width="9.140625" style="1"/>
    <col min="1014" max="1014" width="26.5703125" style="1" customWidth="1"/>
    <col min="1015" max="1015" width="9.140625" style="1"/>
    <col min="1016" max="1016" width="12.140625" style="1" customWidth="1"/>
    <col min="1017" max="1017" width="10.5703125" style="1" customWidth="1"/>
    <col min="1018" max="1018" width="2.85546875" style="1" customWidth="1"/>
    <col min="1019" max="1019" width="9.140625" style="1"/>
    <col min="1020" max="1020" width="12.140625" style="1" customWidth="1"/>
    <col min="1021" max="1021" width="10.5703125" style="1" customWidth="1"/>
    <col min="1022" max="1022" width="2.85546875" style="1" customWidth="1"/>
    <col min="1023" max="1023" width="9.140625" style="1"/>
    <col min="1024" max="1024" width="12.140625" style="1" customWidth="1"/>
    <col min="1025" max="1025" width="10.5703125" style="1" customWidth="1"/>
    <col min="1026" max="1269" width="9.140625" style="1"/>
    <col min="1270" max="1270" width="26.5703125" style="1" customWidth="1"/>
    <col min="1271" max="1271" width="9.140625" style="1"/>
    <col min="1272" max="1272" width="12.140625" style="1" customWidth="1"/>
    <col min="1273" max="1273" width="10.5703125" style="1" customWidth="1"/>
    <col min="1274" max="1274" width="2.85546875" style="1" customWidth="1"/>
    <col min="1275" max="1275" width="9.140625" style="1"/>
    <col min="1276" max="1276" width="12.140625" style="1" customWidth="1"/>
    <col min="1277" max="1277" width="10.5703125" style="1" customWidth="1"/>
    <col min="1278" max="1278" width="2.85546875" style="1" customWidth="1"/>
    <col min="1279" max="1279" width="9.140625" style="1"/>
    <col min="1280" max="1280" width="12.140625" style="1" customWidth="1"/>
    <col min="1281" max="1281" width="10.5703125" style="1" customWidth="1"/>
    <col min="1282" max="1525" width="9.140625" style="1"/>
    <col min="1526" max="1526" width="26.5703125" style="1" customWidth="1"/>
    <col min="1527" max="1527" width="9.140625" style="1"/>
    <col min="1528" max="1528" width="12.140625" style="1" customWidth="1"/>
    <col min="1529" max="1529" width="10.5703125" style="1" customWidth="1"/>
    <col min="1530" max="1530" width="2.85546875" style="1" customWidth="1"/>
    <col min="1531" max="1531" width="9.140625" style="1"/>
    <col min="1532" max="1532" width="12.140625" style="1" customWidth="1"/>
    <col min="1533" max="1533" width="10.5703125" style="1" customWidth="1"/>
    <col min="1534" max="1534" width="2.85546875" style="1" customWidth="1"/>
    <col min="1535" max="1535" width="9.140625" style="1"/>
    <col min="1536" max="1536" width="12.140625" style="1" customWidth="1"/>
    <col min="1537" max="1537" width="10.5703125" style="1" customWidth="1"/>
    <col min="1538" max="1781" width="9.140625" style="1"/>
    <col min="1782" max="1782" width="26.5703125" style="1" customWidth="1"/>
    <col min="1783" max="1783" width="9.140625" style="1"/>
    <col min="1784" max="1784" width="12.140625" style="1" customWidth="1"/>
    <col min="1785" max="1785" width="10.5703125" style="1" customWidth="1"/>
    <col min="1786" max="1786" width="2.85546875" style="1" customWidth="1"/>
    <col min="1787" max="1787" width="9.140625" style="1"/>
    <col min="1788" max="1788" width="12.140625" style="1" customWidth="1"/>
    <col min="1789" max="1789" width="10.5703125" style="1" customWidth="1"/>
    <col min="1790" max="1790" width="2.85546875" style="1" customWidth="1"/>
    <col min="1791" max="1791" width="9.140625" style="1"/>
    <col min="1792" max="1792" width="12.140625" style="1" customWidth="1"/>
    <col min="1793" max="1793" width="10.5703125" style="1" customWidth="1"/>
    <col min="1794" max="2037" width="9.140625" style="1"/>
    <col min="2038" max="2038" width="26.5703125" style="1" customWidth="1"/>
    <col min="2039" max="2039" width="9.140625" style="1"/>
    <col min="2040" max="2040" width="12.140625" style="1" customWidth="1"/>
    <col min="2041" max="2041" width="10.5703125" style="1" customWidth="1"/>
    <col min="2042" max="2042" width="2.85546875" style="1" customWidth="1"/>
    <col min="2043" max="2043" width="9.140625" style="1"/>
    <col min="2044" max="2044" width="12.140625" style="1" customWidth="1"/>
    <col min="2045" max="2045" width="10.5703125" style="1" customWidth="1"/>
    <col min="2046" max="2046" width="2.85546875" style="1" customWidth="1"/>
    <col min="2047" max="2047" width="9.140625" style="1"/>
    <col min="2048" max="2048" width="12.140625" style="1" customWidth="1"/>
    <col min="2049" max="2049" width="10.5703125" style="1" customWidth="1"/>
    <col min="2050" max="2293" width="9.140625" style="1"/>
    <col min="2294" max="2294" width="26.5703125" style="1" customWidth="1"/>
    <col min="2295" max="2295" width="9.140625" style="1"/>
    <col min="2296" max="2296" width="12.140625" style="1" customWidth="1"/>
    <col min="2297" max="2297" width="10.5703125" style="1" customWidth="1"/>
    <col min="2298" max="2298" width="2.85546875" style="1" customWidth="1"/>
    <col min="2299" max="2299" width="9.140625" style="1"/>
    <col min="2300" max="2300" width="12.140625" style="1" customWidth="1"/>
    <col min="2301" max="2301" width="10.5703125" style="1" customWidth="1"/>
    <col min="2302" max="2302" width="2.85546875" style="1" customWidth="1"/>
    <col min="2303" max="2303" width="9.140625" style="1"/>
    <col min="2304" max="2304" width="12.140625" style="1" customWidth="1"/>
    <col min="2305" max="2305" width="10.5703125" style="1" customWidth="1"/>
    <col min="2306" max="2549" width="9.140625" style="1"/>
    <col min="2550" max="2550" width="26.5703125" style="1" customWidth="1"/>
    <col min="2551" max="2551" width="9.140625" style="1"/>
    <col min="2552" max="2552" width="12.140625" style="1" customWidth="1"/>
    <col min="2553" max="2553" width="10.5703125" style="1" customWidth="1"/>
    <col min="2554" max="2554" width="2.85546875" style="1" customWidth="1"/>
    <col min="2555" max="2555" width="9.140625" style="1"/>
    <col min="2556" max="2556" width="12.140625" style="1" customWidth="1"/>
    <col min="2557" max="2557" width="10.5703125" style="1" customWidth="1"/>
    <col min="2558" max="2558" width="2.85546875" style="1" customWidth="1"/>
    <col min="2559" max="2559" width="9.140625" style="1"/>
    <col min="2560" max="2560" width="12.140625" style="1" customWidth="1"/>
    <col min="2561" max="2561" width="10.5703125" style="1" customWidth="1"/>
    <col min="2562" max="2805" width="9.140625" style="1"/>
    <col min="2806" max="2806" width="26.5703125" style="1" customWidth="1"/>
    <col min="2807" max="2807" width="9.140625" style="1"/>
    <col min="2808" max="2808" width="12.140625" style="1" customWidth="1"/>
    <col min="2809" max="2809" width="10.5703125" style="1" customWidth="1"/>
    <col min="2810" max="2810" width="2.85546875" style="1" customWidth="1"/>
    <col min="2811" max="2811" width="9.140625" style="1"/>
    <col min="2812" max="2812" width="12.140625" style="1" customWidth="1"/>
    <col min="2813" max="2813" width="10.5703125" style="1" customWidth="1"/>
    <col min="2814" max="2814" width="2.85546875" style="1" customWidth="1"/>
    <col min="2815" max="2815" width="9.140625" style="1"/>
    <col min="2816" max="2816" width="12.140625" style="1" customWidth="1"/>
    <col min="2817" max="2817" width="10.5703125" style="1" customWidth="1"/>
    <col min="2818" max="3061" width="9.140625" style="1"/>
    <col min="3062" max="3062" width="26.5703125" style="1" customWidth="1"/>
    <col min="3063" max="3063" width="9.140625" style="1"/>
    <col min="3064" max="3064" width="12.140625" style="1" customWidth="1"/>
    <col min="3065" max="3065" width="10.5703125" style="1" customWidth="1"/>
    <col min="3066" max="3066" width="2.85546875" style="1" customWidth="1"/>
    <col min="3067" max="3067" width="9.140625" style="1"/>
    <col min="3068" max="3068" width="12.140625" style="1" customWidth="1"/>
    <col min="3069" max="3069" width="10.5703125" style="1" customWidth="1"/>
    <col min="3070" max="3070" width="2.85546875" style="1" customWidth="1"/>
    <col min="3071" max="3071" width="9.140625" style="1"/>
    <col min="3072" max="3072" width="12.140625" style="1" customWidth="1"/>
    <col min="3073" max="3073" width="10.5703125" style="1" customWidth="1"/>
    <col min="3074" max="3317" width="9.140625" style="1"/>
    <col min="3318" max="3318" width="26.5703125" style="1" customWidth="1"/>
    <col min="3319" max="3319" width="9.140625" style="1"/>
    <col min="3320" max="3320" width="12.140625" style="1" customWidth="1"/>
    <col min="3321" max="3321" width="10.5703125" style="1" customWidth="1"/>
    <col min="3322" max="3322" width="2.85546875" style="1" customWidth="1"/>
    <col min="3323" max="3323" width="9.140625" style="1"/>
    <col min="3324" max="3324" width="12.140625" style="1" customWidth="1"/>
    <col min="3325" max="3325" width="10.5703125" style="1" customWidth="1"/>
    <col min="3326" max="3326" width="2.85546875" style="1" customWidth="1"/>
    <col min="3327" max="3327" width="9.140625" style="1"/>
    <col min="3328" max="3328" width="12.140625" style="1" customWidth="1"/>
    <col min="3329" max="3329" width="10.5703125" style="1" customWidth="1"/>
    <col min="3330" max="3573" width="9.140625" style="1"/>
    <col min="3574" max="3574" width="26.5703125" style="1" customWidth="1"/>
    <col min="3575" max="3575" width="9.140625" style="1"/>
    <col min="3576" max="3576" width="12.140625" style="1" customWidth="1"/>
    <col min="3577" max="3577" width="10.5703125" style="1" customWidth="1"/>
    <col min="3578" max="3578" width="2.85546875" style="1" customWidth="1"/>
    <col min="3579" max="3579" width="9.140625" style="1"/>
    <col min="3580" max="3580" width="12.140625" style="1" customWidth="1"/>
    <col min="3581" max="3581" width="10.5703125" style="1" customWidth="1"/>
    <col min="3582" max="3582" width="2.85546875" style="1" customWidth="1"/>
    <col min="3583" max="3583" width="9.140625" style="1"/>
    <col min="3584" max="3584" width="12.140625" style="1" customWidth="1"/>
    <col min="3585" max="3585" width="10.5703125" style="1" customWidth="1"/>
    <col min="3586" max="3829" width="9.140625" style="1"/>
    <col min="3830" max="3830" width="26.5703125" style="1" customWidth="1"/>
    <col min="3831" max="3831" width="9.140625" style="1"/>
    <col min="3832" max="3832" width="12.140625" style="1" customWidth="1"/>
    <col min="3833" max="3833" width="10.5703125" style="1" customWidth="1"/>
    <col min="3834" max="3834" width="2.85546875" style="1" customWidth="1"/>
    <col min="3835" max="3835" width="9.140625" style="1"/>
    <col min="3836" max="3836" width="12.140625" style="1" customWidth="1"/>
    <col min="3837" max="3837" width="10.5703125" style="1" customWidth="1"/>
    <col min="3838" max="3838" width="2.85546875" style="1" customWidth="1"/>
    <col min="3839" max="3839" width="9.140625" style="1"/>
    <col min="3840" max="3840" width="12.140625" style="1" customWidth="1"/>
    <col min="3841" max="3841" width="10.5703125" style="1" customWidth="1"/>
    <col min="3842" max="4085" width="9.140625" style="1"/>
    <col min="4086" max="4086" width="26.5703125" style="1" customWidth="1"/>
    <col min="4087" max="4087" width="9.140625" style="1"/>
    <col min="4088" max="4088" width="12.140625" style="1" customWidth="1"/>
    <col min="4089" max="4089" width="10.5703125" style="1" customWidth="1"/>
    <col min="4090" max="4090" width="2.85546875" style="1" customWidth="1"/>
    <col min="4091" max="4091" width="9.140625" style="1"/>
    <col min="4092" max="4092" width="12.140625" style="1" customWidth="1"/>
    <col min="4093" max="4093" width="10.5703125" style="1" customWidth="1"/>
    <col min="4094" max="4094" width="2.85546875" style="1" customWidth="1"/>
    <col min="4095" max="4095" width="9.140625" style="1"/>
    <col min="4096" max="4096" width="12.140625" style="1" customWidth="1"/>
    <col min="4097" max="4097" width="10.5703125" style="1" customWidth="1"/>
    <col min="4098" max="4341" width="9.140625" style="1"/>
    <col min="4342" max="4342" width="26.5703125" style="1" customWidth="1"/>
    <col min="4343" max="4343" width="9.140625" style="1"/>
    <col min="4344" max="4344" width="12.140625" style="1" customWidth="1"/>
    <col min="4345" max="4345" width="10.5703125" style="1" customWidth="1"/>
    <col min="4346" max="4346" width="2.85546875" style="1" customWidth="1"/>
    <col min="4347" max="4347" width="9.140625" style="1"/>
    <col min="4348" max="4348" width="12.140625" style="1" customWidth="1"/>
    <col min="4349" max="4349" width="10.5703125" style="1" customWidth="1"/>
    <col min="4350" max="4350" width="2.85546875" style="1" customWidth="1"/>
    <col min="4351" max="4351" width="9.140625" style="1"/>
    <col min="4352" max="4352" width="12.140625" style="1" customWidth="1"/>
    <col min="4353" max="4353" width="10.5703125" style="1" customWidth="1"/>
    <col min="4354" max="4597" width="9.140625" style="1"/>
    <col min="4598" max="4598" width="26.5703125" style="1" customWidth="1"/>
    <col min="4599" max="4599" width="9.140625" style="1"/>
    <col min="4600" max="4600" width="12.140625" style="1" customWidth="1"/>
    <col min="4601" max="4601" width="10.5703125" style="1" customWidth="1"/>
    <col min="4602" max="4602" width="2.85546875" style="1" customWidth="1"/>
    <col min="4603" max="4603" width="9.140625" style="1"/>
    <col min="4604" max="4604" width="12.140625" style="1" customWidth="1"/>
    <col min="4605" max="4605" width="10.5703125" style="1" customWidth="1"/>
    <col min="4606" max="4606" width="2.85546875" style="1" customWidth="1"/>
    <col min="4607" max="4607" width="9.140625" style="1"/>
    <col min="4608" max="4608" width="12.140625" style="1" customWidth="1"/>
    <col min="4609" max="4609" width="10.5703125" style="1" customWidth="1"/>
    <col min="4610" max="4853" width="9.140625" style="1"/>
    <col min="4854" max="4854" width="26.5703125" style="1" customWidth="1"/>
    <col min="4855" max="4855" width="9.140625" style="1"/>
    <col min="4856" max="4856" width="12.140625" style="1" customWidth="1"/>
    <col min="4857" max="4857" width="10.5703125" style="1" customWidth="1"/>
    <col min="4858" max="4858" width="2.85546875" style="1" customWidth="1"/>
    <col min="4859" max="4859" width="9.140625" style="1"/>
    <col min="4860" max="4860" width="12.140625" style="1" customWidth="1"/>
    <col min="4861" max="4861" width="10.5703125" style="1" customWidth="1"/>
    <col min="4862" max="4862" width="2.85546875" style="1" customWidth="1"/>
    <col min="4863" max="4863" width="9.140625" style="1"/>
    <col min="4864" max="4864" width="12.140625" style="1" customWidth="1"/>
    <col min="4865" max="4865" width="10.5703125" style="1" customWidth="1"/>
    <col min="4866" max="5109" width="9.140625" style="1"/>
    <col min="5110" max="5110" width="26.5703125" style="1" customWidth="1"/>
    <col min="5111" max="5111" width="9.140625" style="1"/>
    <col min="5112" max="5112" width="12.140625" style="1" customWidth="1"/>
    <col min="5113" max="5113" width="10.5703125" style="1" customWidth="1"/>
    <col min="5114" max="5114" width="2.85546875" style="1" customWidth="1"/>
    <col min="5115" max="5115" width="9.140625" style="1"/>
    <col min="5116" max="5116" width="12.140625" style="1" customWidth="1"/>
    <col min="5117" max="5117" width="10.5703125" style="1" customWidth="1"/>
    <col min="5118" max="5118" width="2.85546875" style="1" customWidth="1"/>
    <col min="5119" max="5119" width="9.140625" style="1"/>
    <col min="5120" max="5120" width="12.140625" style="1" customWidth="1"/>
    <col min="5121" max="5121" width="10.5703125" style="1" customWidth="1"/>
    <col min="5122" max="5365" width="9.140625" style="1"/>
    <col min="5366" max="5366" width="26.5703125" style="1" customWidth="1"/>
    <col min="5367" max="5367" width="9.140625" style="1"/>
    <col min="5368" max="5368" width="12.140625" style="1" customWidth="1"/>
    <col min="5369" max="5369" width="10.5703125" style="1" customWidth="1"/>
    <col min="5370" max="5370" width="2.85546875" style="1" customWidth="1"/>
    <col min="5371" max="5371" width="9.140625" style="1"/>
    <col min="5372" max="5372" width="12.140625" style="1" customWidth="1"/>
    <col min="5373" max="5373" width="10.5703125" style="1" customWidth="1"/>
    <col min="5374" max="5374" width="2.85546875" style="1" customWidth="1"/>
    <col min="5375" max="5375" width="9.140625" style="1"/>
    <col min="5376" max="5376" width="12.140625" style="1" customWidth="1"/>
    <col min="5377" max="5377" width="10.5703125" style="1" customWidth="1"/>
    <col min="5378" max="5621" width="9.140625" style="1"/>
    <col min="5622" max="5622" width="26.5703125" style="1" customWidth="1"/>
    <col min="5623" max="5623" width="9.140625" style="1"/>
    <col min="5624" max="5624" width="12.140625" style="1" customWidth="1"/>
    <col min="5625" max="5625" width="10.5703125" style="1" customWidth="1"/>
    <col min="5626" max="5626" width="2.85546875" style="1" customWidth="1"/>
    <col min="5627" max="5627" width="9.140625" style="1"/>
    <col min="5628" max="5628" width="12.140625" style="1" customWidth="1"/>
    <col min="5629" max="5629" width="10.5703125" style="1" customWidth="1"/>
    <col min="5630" max="5630" width="2.85546875" style="1" customWidth="1"/>
    <col min="5631" max="5631" width="9.140625" style="1"/>
    <col min="5632" max="5632" width="12.140625" style="1" customWidth="1"/>
    <col min="5633" max="5633" width="10.5703125" style="1" customWidth="1"/>
    <col min="5634" max="5877" width="9.140625" style="1"/>
    <col min="5878" max="5878" width="26.5703125" style="1" customWidth="1"/>
    <col min="5879" max="5879" width="9.140625" style="1"/>
    <col min="5880" max="5880" width="12.140625" style="1" customWidth="1"/>
    <col min="5881" max="5881" width="10.5703125" style="1" customWidth="1"/>
    <col min="5882" max="5882" width="2.85546875" style="1" customWidth="1"/>
    <col min="5883" max="5883" width="9.140625" style="1"/>
    <col min="5884" max="5884" width="12.140625" style="1" customWidth="1"/>
    <col min="5885" max="5885" width="10.5703125" style="1" customWidth="1"/>
    <col min="5886" max="5886" width="2.85546875" style="1" customWidth="1"/>
    <col min="5887" max="5887" width="9.140625" style="1"/>
    <col min="5888" max="5888" width="12.140625" style="1" customWidth="1"/>
    <col min="5889" max="5889" width="10.5703125" style="1" customWidth="1"/>
    <col min="5890" max="6133" width="9.140625" style="1"/>
    <col min="6134" max="6134" width="26.5703125" style="1" customWidth="1"/>
    <col min="6135" max="6135" width="9.140625" style="1"/>
    <col min="6136" max="6136" width="12.140625" style="1" customWidth="1"/>
    <col min="6137" max="6137" width="10.5703125" style="1" customWidth="1"/>
    <col min="6138" max="6138" width="2.85546875" style="1" customWidth="1"/>
    <col min="6139" max="6139" width="9.140625" style="1"/>
    <col min="6140" max="6140" width="12.140625" style="1" customWidth="1"/>
    <col min="6141" max="6141" width="10.5703125" style="1" customWidth="1"/>
    <col min="6142" max="6142" width="2.85546875" style="1" customWidth="1"/>
    <col min="6143" max="6143" width="9.140625" style="1"/>
    <col min="6144" max="6144" width="12.140625" style="1" customWidth="1"/>
    <col min="6145" max="6145" width="10.5703125" style="1" customWidth="1"/>
    <col min="6146" max="6389" width="9.140625" style="1"/>
    <col min="6390" max="6390" width="26.5703125" style="1" customWidth="1"/>
    <col min="6391" max="6391" width="9.140625" style="1"/>
    <col min="6392" max="6392" width="12.140625" style="1" customWidth="1"/>
    <col min="6393" max="6393" width="10.5703125" style="1" customWidth="1"/>
    <col min="6394" max="6394" width="2.85546875" style="1" customWidth="1"/>
    <col min="6395" max="6395" width="9.140625" style="1"/>
    <col min="6396" max="6396" width="12.140625" style="1" customWidth="1"/>
    <col min="6397" max="6397" width="10.5703125" style="1" customWidth="1"/>
    <col min="6398" max="6398" width="2.85546875" style="1" customWidth="1"/>
    <col min="6399" max="6399" width="9.140625" style="1"/>
    <col min="6400" max="6400" width="12.140625" style="1" customWidth="1"/>
    <col min="6401" max="6401" width="10.5703125" style="1" customWidth="1"/>
    <col min="6402" max="6645" width="9.140625" style="1"/>
    <col min="6646" max="6646" width="26.5703125" style="1" customWidth="1"/>
    <col min="6647" max="6647" width="9.140625" style="1"/>
    <col min="6648" max="6648" width="12.140625" style="1" customWidth="1"/>
    <col min="6649" max="6649" width="10.5703125" style="1" customWidth="1"/>
    <col min="6650" max="6650" width="2.85546875" style="1" customWidth="1"/>
    <col min="6651" max="6651" width="9.140625" style="1"/>
    <col min="6652" max="6652" width="12.140625" style="1" customWidth="1"/>
    <col min="6653" max="6653" width="10.5703125" style="1" customWidth="1"/>
    <col min="6654" max="6654" width="2.85546875" style="1" customWidth="1"/>
    <col min="6655" max="6655" width="9.140625" style="1"/>
    <col min="6656" max="6656" width="12.140625" style="1" customWidth="1"/>
    <col min="6657" max="6657" width="10.5703125" style="1" customWidth="1"/>
    <col min="6658" max="6901" width="9.140625" style="1"/>
    <col min="6902" max="6902" width="26.5703125" style="1" customWidth="1"/>
    <col min="6903" max="6903" width="9.140625" style="1"/>
    <col min="6904" max="6904" width="12.140625" style="1" customWidth="1"/>
    <col min="6905" max="6905" width="10.5703125" style="1" customWidth="1"/>
    <col min="6906" max="6906" width="2.85546875" style="1" customWidth="1"/>
    <col min="6907" max="6907" width="9.140625" style="1"/>
    <col min="6908" max="6908" width="12.140625" style="1" customWidth="1"/>
    <col min="6909" max="6909" width="10.5703125" style="1" customWidth="1"/>
    <col min="6910" max="6910" width="2.85546875" style="1" customWidth="1"/>
    <col min="6911" max="6911" width="9.140625" style="1"/>
    <col min="6912" max="6912" width="12.140625" style="1" customWidth="1"/>
    <col min="6913" max="6913" width="10.5703125" style="1" customWidth="1"/>
    <col min="6914" max="7157" width="9.140625" style="1"/>
    <col min="7158" max="7158" width="26.5703125" style="1" customWidth="1"/>
    <col min="7159" max="7159" width="9.140625" style="1"/>
    <col min="7160" max="7160" width="12.140625" style="1" customWidth="1"/>
    <col min="7161" max="7161" width="10.5703125" style="1" customWidth="1"/>
    <col min="7162" max="7162" width="2.85546875" style="1" customWidth="1"/>
    <col min="7163" max="7163" width="9.140625" style="1"/>
    <col min="7164" max="7164" width="12.140625" style="1" customWidth="1"/>
    <col min="7165" max="7165" width="10.5703125" style="1" customWidth="1"/>
    <col min="7166" max="7166" width="2.85546875" style="1" customWidth="1"/>
    <col min="7167" max="7167" width="9.140625" style="1"/>
    <col min="7168" max="7168" width="12.140625" style="1" customWidth="1"/>
    <col min="7169" max="7169" width="10.5703125" style="1" customWidth="1"/>
    <col min="7170" max="7413" width="9.140625" style="1"/>
    <col min="7414" max="7414" width="26.5703125" style="1" customWidth="1"/>
    <col min="7415" max="7415" width="9.140625" style="1"/>
    <col min="7416" max="7416" width="12.140625" style="1" customWidth="1"/>
    <col min="7417" max="7417" width="10.5703125" style="1" customWidth="1"/>
    <col min="7418" max="7418" width="2.85546875" style="1" customWidth="1"/>
    <col min="7419" max="7419" width="9.140625" style="1"/>
    <col min="7420" max="7420" width="12.140625" style="1" customWidth="1"/>
    <col min="7421" max="7421" width="10.5703125" style="1" customWidth="1"/>
    <col min="7422" max="7422" width="2.85546875" style="1" customWidth="1"/>
    <col min="7423" max="7423" width="9.140625" style="1"/>
    <col min="7424" max="7424" width="12.140625" style="1" customWidth="1"/>
    <col min="7425" max="7425" width="10.5703125" style="1" customWidth="1"/>
    <col min="7426" max="7669" width="9.140625" style="1"/>
    <col min="7670" max="7670" width="26.5703125" style="1" customWidth="1"/>
    <col min="7671" max="7671" width="9.140625" style="1"/>
    <col min="7672" max="7672" width="12.140625" style="1" customWidth="1"/>
    <col min="7673" max="7673" width="10.5703125" style="1" customWidth="1"/>
    <col min="7674" max="7674" width="2.85546875" style="1" customWidth="1"/>
    <col min="7675" max="7675" width="9.140625" style="1"/>
    <col min="7676" max="7676" width="12.140625" style="1" customWidth="1"/>
    <col min="7677" max="7677" width="10.5703125" style="1" customWidth="1"/>
    <col min="7678" max="7678" width="2.85546875" style="1" customWidth="1"/>
    <col min="7679" max="7679" width="9.140625" style="1"/>
    <col min="7680" max="7680" width="12.140625" style="1" customWidth="1"/>
    <col min="7681" max="7681" width="10.5703125" style="1" customWidth="1"/>
    <col min="7682" max="7925" width="9.140625" style="1"/>
    <col min="7926" max="7926" width="26.5703125" style="1" customWidth="1"/>
    <col min="7927" max="7927" width="9.140625" style="1"/>
    <col min="7928" max="7928" width="12.140625" style="1" customWidth="1"/>
    <col min="7929" max="7929" width="10.5703125" style="1" customWidth="1"/>
    <col min="7930" max="7930" width="2.85546875" style="1" customWidth="1"/>
    <col min="7931" max="7931" width="9.140625" style="1"/>
    <col min="7932" max="7932" width="12.140625" style="1" customWidth="1"/>
    <col min="7933" max="7933" width="10.5703125" style="1" customWidth="1"/>
    <col min="7934" max="7934" width="2.85546875" style="1" customWidth="1"/>
    <col min="7935" max="7935" width="9.140625" style="1"/>
    <col min="7936" max="7936" width="12.140625" style="1" customWidth="1"/>
    <col min="7937" max="7937" width="10.5703125" style="1" customWidth="1"/>
    <col min="7938" max="8181" width="9.140625" style="1"/>
    <col min="8182" max="8182" width="26.5703125" style="1" customWidth="1"/>
    <col min="8183" max="8183" width="9.140625" style="1"/>
    <col min="8184" max="8184" width="12.140625" style="1" customWidth="1"/>
    <col min="8185" max="8185" width="10.5703125" style="1" customWidth="1"/>
    <col min="8186" max="8186" width="2.85546875" style="1" customWidth="1"/>
    <col min="8187" max="8187" width="9.140625" style="1"/>
    <col min="8188" max="8188" width="12.140625" style="1" customWidth="1"/>
    <col min="8189" max="8189" width="10.5703125" style="1" customWidth="1"/>
    <col min="8190" max="8190" width="2.85546875" style="1" customWidth="1"/>
    <col min="8191" max="8191" width="9.140625" style="1"/>
    <col min="8192" max="8192" width="12.140625" style="1" customWidth="1"/>
    <col min="8193" max="8193" width="10.5703125" style="1" customWidth="1"/>
    <col min="8194" max="8437" width="9.140625" style="1"/>
    <col min="8438" max="8438" width="26.5703125" style="1" customWidth="1"/>
    <col min="8439" max="8439" width="9.140625" style="1"/>
    <col min="8440" max="8440" width="12.140625" style="1" customWidth="1"/>
    <col min="8441" max="8441" width="10.5703125" style="1" customWidth="1"/>
    <col min="8442" max="8442" width="2.85546875" style="1" customWidth="1"/>
    <col min="8443" max="8443" width="9.140625" style="1"/>
    <col min="8444" max="8444" width="12.140625" style="1" customWidth="1"/>
    <col min="8445" max="8445" width="10.5703125" style="1" customWidth="1"/>
    <col min="8446" max="8446" width="2.85546875" style="1" customWidth="1"/>
    <col min="8447" max="8447" width="9.140625" style="1"/>
    <col min="8448" max="8448" width="12.140625" style="1" customWidth="1"/>
    <col min="8449" max="8449" width="10.5703125" style="1" customWidth="1"/>
    <col min="8450" max="8693" width="9.140625" style="1"/>
    <col min="8694" max="8694" width="26.5703125" style="1" customWidth="1"/>
    <col min="8695" max="8695" width="9.140625" style="1"/>
    <col min="8696" max="8696" width="12.140625" style="1" customWidth="1"/>
    <col min="8697" max="8697" width="10.5703125" style="1" customWidth="1"/>
    <col min="8698" max="8698" width="2.85546875" style="1" customWidth="1"/>
    <col min="8699" max="8699" width="9.140625" style="1"/>
    <col min="8700" max="8700" width="12.140625" style="1" customWidth="1"/>
    <col min="8701" max="8701" width="10.5703125" style="1" customWidth="1"/>
    <col min="8702" max="8702" width="2.85546875" style="1" customWidth="1"/>
    <col min="8703" max="8703" width="9.140625" style="1"/>
    <col min="8704" max="8704" width="12.140625" style="1" customWidth="1"/>
    <col min="8705" max="8705" width="10.5703125" style="1" customWidth="1"/>
    <col min="8706" max="8949" width="9.140625" style="1"/>
    <col min="8950" max="8950" width="26.5703125" style="1" customWidth="1"/>
    <col min="8951" max="8951" width="9.140625" style="1"/>
    <col min="8952" max="8952" width="12.140625" style="1" customWidth="1"/>
    <col min="8953" max="8953" width="10.5703125" style="1" customWidth="1"/>
    <col min="8954" max="8954" width="2.85546875" style="1" customWidth="1"/>
    <col min="8955" max="8955" width="9.140625" style="1"/>
    <col min="8956" max="8956" width="12.140625" style="1" customWidth="1"/>
    <col min="8957" max="8957" width="10.5703125" style="1" customWidth="1"/>
    <col min="8958" max="8958" width="2.85546875" style="1" customWidth="1"/>
    <col min="8959" max="8959" width="9.140625" style="1"/>
    <col min="8960" max="8960" width="12.140625" style="1" customWidth="1"/>
    <col min="8961" max="8961" width="10.5703125" style="1" customWidth="1"/>
    <col min="8962" max="9205" width="9.140625" style="1"/>
    <col min="9206" max="9206" width="26.5703125" style="1" customWidth="1"/>
    <col min="9207" max="9207" width="9.140625" style="1"/>
    <col min="9208" max="9208" width="12.140625" style="1" customWidth="1"/>
    <col min="9209" max="9209" width="10.5703125" style="1" customWidth="1"/>
    <col min="9210" max="9210" width="2.85546875" style="1" customWidth="1"/>
    <col min="9211" max="9211" width="9.140625" style="1"/>
    <col min="9212" max="9212" width="12.140625" style="1" customWidth="1"/>
    <col min="9213" max="9213" width="10.5703125" style="1" customWidth="1"/>
    <col min="9214" max="9214" width="2.85546875" style="1" customWidth="1"/>
    <col min="9215" max="9215" width="9.140625" style="1"/>
    <col min="9216" max="9216" width="12.140625" style="1" customWidth="1"/>
    <col min="9217" max="9217" width="10.5703125" style="1" customWidth="1"/>
    <col min="9218" max="9461" width="9.140625" style="1"/>
    <col min="9462" max="9462" width="26.5703125" style="1" customWidth="1"/>
    <col min="9463" max="9463" width="9.140625" style="1"/>
    <col min="9464" max="9464" width="12.140625" style="1" customWidth="1"/>
    <col min="9465" max="9465" width="10.5703125" style="1" customWidth="1"/>
    <col min="9466" max="9466" width="2.85546875" style="1" customWidth="1"/>
    <col min="9467" max="9467" width="9.140625" style="1"/>
    <col min="9468" max="9468" width="12.140625" style="1" customWidth="1"/>
    <col min="9469" max="9469" width="10.5703125" style="1" customWidth="1"/>
    <col min="9470" max="9470" width="2.85546875" style="1" customWidth="1"/>
    <col min="9471" max="9471" width="9.140625" style="1"/>
    <col min="9472" max="9472" width="12.140625" style="1" customWidth="1"/>
    <col min="9473" max="9473" width="10.5703125" style="1" customWidth="1"/>
    <col min="9474" max="9717" width="9.140625" style="1"/>
    <col min="9718" max="9718" width="26.5703125" style="1" customWidth="1"/>
    <col min="9719" max="9719" width="9.140625" style="1"/>
    <col min="9720" max="9720" width="12.140625" style="1" customWidth="1"/>
    <col min="9721" max="9721" width="10.5703125" style="1" customWidth="1"/>
    <col min="9722" max="9722" width="2.85546875" style="1" customWidth="1"/>
    <col min="9723" max="9723" width="9.140625" style="1"/>
    <col min="9724" max="9724" width="12.140625" style="1" customWidth="1"/>
    <col min="9725" max="9725" width="10.5703125" style="1" customWidth="1"/>
    <col min="9726" max="9726" width="2.85546875" style="1" customWidth="1"/>
    <col min="9727" max="9727" width="9.140625" style="1"/>
    <col min="9728" max="9728" width="12.140625" style="1" customWidth="1"/>
    <col min="9729" max="9729" width="10.5703125" style="1" customWidth="1"/>
    <col min="9730" max="9973" width="9.140625" style="1"/>
    <col min="9974" max="9974" width="26.5703125" style="1" customWidth="1"/>
    <col min="9975" max="9975" width="9.140625" style="1"/>
    <col min="9976" max="9976" width="12.140625" style="1" customWidth="1"/>
    <col min="9977" max="9977" width="10.5703125" style="1" customWidth="1"/>
    <col min="9978" max="9978" width="2.85546875" style="1" customWidth="1"/>
    <col min="9979" max="9979" width="9.140625" style="1"/>
    <col min="9980" max="9980" width="12.140625" style="1" customWidth="1"/>
    <col min="9981" max="9981" width="10.5703125" style="1" customWidth="1"/>
    <col min="9982" max="9982" width="2.85546875" style="1" customWidth="1"/>
    <col min="9983" max="9983" width="9.140625" style="1"/>
    <col min="9984" max="9984" width="12.140625" style="1" customWidth="1"/>
    <col min="9985" max="9985" width="10.5703125" style="1" customWidth="1"/>
    <col min="9986" max="10229" width="9.140625" style="1"/>
    <col min="10230" max="10230" width="26.5703125" style="1" customWidth="1"/>
    <col min="10231" max="10231" width="9.140625" style="1"/>
    <col min="10232" max="10232" width="12.140625" style="1" customWidth="1"/>
    <col min="10233" max="10233" width="10.5703125" style="1" customWidth="1"/>
    <col min="10234" max="10234" width="2.85546875" style="1" customWidth="1"/>
    <col min="10235" max="10235" width="9.140625" style="1"/>
    <col min="10236" max="10236" width="12.140625" style="1" customWidth="1"/>
    <col min="10237" max="10237" width="10.5703125" style="1" customWidth="1"/>
    <col min="10238" max="10238" width="2.85546875" style="1" customWidth="1"/>
    <col min="10239" max="10239" width="9.140625" style="1"/>
    <col min="10240" max="10240" width="12.140625" style="1" customWidth="1"/>
    <col min="10241" max="10241" width="10.5703125" style="1" customWidth="1"/>
    <col min="10242" max="10485" width="9.140625" style="1"/>
    <col min="10486" max="10486" width="26.5703125" style="1" customWidth="1"/>
    <col min="10487" max="10487" width="9.140625" style="1"/>
    <col min="10488" max="10488" width="12.140625" style="1" customWidth="1"/>
    <col min="10489" max="10489" width="10.5703125" style="1" customWidth="1"/>
    <col min="10490" max="10490" width="2.85546875" style="1" customWidth="1"/>
    <col min="10491" max="10491" width="9.140625" style="1"/>
    <col min="10492" max="10492" width="12.140625" style="1" customWidth="1"/>
    <col min="10493" max="10493" width="10.5703125" style="1" customWidth="1"/>
    <col min="10494" max="10494" width="2.85546875" style="1" customWidth="1"/>
    <col min="10495" max="10495" width="9.140625" style="1"/>
    <col min="10496" max="10496" width="12.140625" style="1" customWidth="1"/>
    <col min="10497" max="10497" width="10.5703125" style="1" customWidth="1"/>
    <col min="10498" max="10741" width="9.140625" style="1"/>
    <col min="10742" max="10742" width="26.5703125" style="1" customWidth="1"/>
    <col min="10743" max="10743" width="9.140625" style="1"/>
    <col min="10744" max="10744" width="12.140625" style="1" customWidth="1"/>
    <col min="10745" max="10745" width="10.5703125" style="1" customWidth="1"/>
    <col min="10746" max="10746" width="2.85546875" style="1" customWidth="1"/>
    <col min="10747" max="10747" width="9.140625" style="1"/>
    <col min="10748" max="10748" width="12.140625" style="1" customWidth="1"/>
    <col min="10749" max="10749" width="10.5703125" style="1" customWidth="1"/>
    <col min="10750" max="10750" width="2.85546875" style="1" customWidth="1"/>
    <col min="10751" max="10751" width="9.140625" style="1"/>
    <col min="10752" max="10752" width="12.140625" style="1" customWidth="1"/>
    <col min="10753" max="10753" width="10.5703125" style="1" customWidth="1"/>
    <col min="10754" max="10997" width="9.140625" style="1"/>
    <col min="10998" max="10998" width="26.5703125" style="1" customWidth="1"/>
    <col min="10999" max="10999" width="9.140625" style="1"/>
    <col min="11000" max="11000" width="12.140625" style="1" customWidth="1"/>
    <col min="11001" max="11001" width="10.5703125" style="1" customWidth="1"/>
    <col min="11002" max="11002" width="2.85546875" style="1" customWidth="1"/>
    <col min="11003" max="11003" width="9.140625" style="1"/>
    <col min="11004" max="11004" width="12.140625" style="1" customWidth="1"/>
    <col min="11005" max="11005" width="10.5703125" style="1" customWidth="1"/>
    <col min="11006" max="11006" width="2.85546875" style="1" customWidth="1"/>
    <col min="11007" max="11007" width="9.140625" style="1"/>
    <col min="11008" max="11008" width="12.140625" style="1" customWidth="1"/>
    <col min="11009" max="11009" width="10.5703125" style="1" customWidth="1"/>
    <col min="11010" max="11253" width="9.140625" style="1"/>
    <col min="11254" max="11254" width="26.5703125" style="1" customWidth="1"/>
    <col min="11255" max="11255" width="9.140625" style="1"/>
    <col min="11256" max="11256" width="12.140625" style="1" customWidth="1"/>
    <col min="11257" max="11257" width="10.5703125" style="1" customWidth="1"/>
    <col min="11258" max="11258" width="2.85546875" style="1" customWidth="1"/>
    <col min="11259" max="11259" width="9.140625" style="1"/>
    <col min="11260" max="11260" width="12.140625" style="1" customWidth="1"/>
    <col min="11261" max="11261" width="10.5703125" style="1" customWidth="1"/>
    <col min="11262" max="11262" width="2.85546875" style="1" customWidth="1"/>
    <col min="11263" max="11263" width="9.140625" style="1"/>
    <col min="11264" max="11264" width="12.140625" style="1" customWidth="1"/>
    <col min="11265" max="11265" width="10.5703125" style="1" customWidth="1"/>
    <col min="11266" max="11509" width="9.140625" style="1"/>
    <col min="11510" max="11510" width="26.5703125" style="1" customWidth="1"/>
    <col min="11511" max="11511" width="9.140625" style="1"/>
    <col min="11512" max="11512" width="12.140625" style="1" customWidth="1"/>
    <col min="11513" max="11513" width="10.5703125" style="1" customWidth="1"/>
    <col min="11514" max="11514" width="2.85546875" style="1" customWidth="1"/>
    <col min="11515" max="11515" width="9.140625" style="1"/>
    <col min="11516" max="11516" width="12.140625" style="1" customWidth="1"/>
    <col min="11517" max="11517" width="10.5703125" style="1" customWidth="1"/>
    <col min="11518" max="11518" width="2.85546875" style="1" customWidth="1"/>
    <col min="11519" max="11519" width="9.140625" style="1"/>
    <col min="11520" max="11520" width="12.140625" style="1" customWidth="1"/>
    <col min="11521" max="11521" width="10.5703125" style="1" customWidth="1"/>
    <col min="11522" max="11765" width="9.140625" style="1"/>
    <col min="11766" max="11766" width="26.5703125" style="1" customWidth="1"/>
    <col min="11767" max="11767" width="9.140625" style="1"/>
    <col min="11768" max="11768" width="12.140625" style="1" customWidth="1"/>
    <col min="11769" max="11769" width="10.5703125" style="1" customWidth="1"/>
    <col min="11770" max="11770" width="2.85546875" style="1" customWidth="1"/>
    <col min="11771" max="11771" width="9.140625" style="1"/>
    <col min="11772" max="11772" width="12.140625" style="1" customWidth="1"/>
    <col min="11773" max="11773" width="10.5703125" style="1" customWidth="1"/>
    <col min="11774" max="11774" width="2.85546875" style="1" customWidth="1"/>
    <col min="11775" max="11775" width="9.140625" style="1"/>
    <col min="11776" max="11776" width="12.140625" style="1" customWidth="1"/>
    <col min="11777" max="11777" width="10.5703125" style="1" customWidth="1"/>
    <col min="11778" max="12021" width="9.140625" style="1"/>
    <col min="12022" max="12022" width="26.5703125" style="1" customWidth="1"/>
    <col min="12023" max="12023" width="9.140625" style="1"/>
    <col min="12024" max="12024" width="12.140625" style="1" customWidth="1"/>
    <col min="12025" max="12025" width="10.5703125" style="1" customWidth="1"/>
    <col min="12026" max="12026" width="2.85546875" style="1" customWidth="1"/>
    <col min="12027" max="12027" width="9.140625" style="1"/>
    <col min="12028" max="12028" width="12.140625" style="1" customWidth="1"/>
    <col min="12029" max="12029" width="10.5703125" style="1" customWidth="1"/>
    <col min="12030" max="12030" width="2.85546875" style="1" customWidth="1"/>
    <col min="12031" max="12031" width="9.140625" style="1"/>
    <col min="12032" max="12032" width="12.140625" style="1" customWidth="1"/>
    <col min="12033" max="12033" width="10.5703125" style="1" customWidth="1"/>
    <col min="12034" max="12277" width="9.140625" style="1"/>
    <col min="12278" max="12278" width="26.5703125" style="1" customWidth="1"/>
    <col min="12279" max="12279" width="9.140625" style="1"/>
    <col min="12280" max="12280" width="12.140625" style="1" customWidth="1"/>
    <col min="12281" max="12281" width="10.5703125" style="1" customWidth="1"/>
    <col min="12282" max="12282" width="2.85546875" style="1" customWidth="1"/>
    <col min="12283" max="12283" width="9.140625" style="1"/>
    <col min="12284" max="12284" width="12.140625" style="1" customWidth="1"/>
    <col min="12285" max="12285" width="10.5703125" style="1" customWidth="1"/>
    <col min="12286" max="12286" width="2.85546875" style="1" customWidth="1"/>
    <col min="12287" max="12287" width="9.140625" style="1"/>
    <col min="12288" max="12288" width="12.140625" style="1" customWidth="1"/>
    <col min="12289" max="12289" width="10.5703125" style="1" customWidth="1"/>
    <col min="12290" max="12533" width="9.140625" style="1"/>
    <col min="12534" max="12534" width="26.5703125" style="1" customWidth="1"/>
    <col min="12535" max="12535" width="9.140625" style="1"/>
    <col min="12536" max="12536" width="12.140625" style="1" customWidth="1"/>
    <col min="12537" max="12537" width="10.5703125" style="1" customWidth="1"/>
    <col min="12538" max="12538" width="2.85546875" style="1" customWidth="1"/>
    <col min="12539" max="12539" width="9.140625" style="1"/>
    <col min="12540" max="12540" width="12.140625" style="1" customWidth="1"/>
    <col min="12541" max="12541" width="10.5703125" style="1" customWidth="1"/>
    <col min="12542" max="12542" width="2.85546875" style="1" customWidth="1"/>
    <col min="12543" max="12543" width="9.140625" style="1"/>
    <col min="12544" max="12544" width="12.140625" style="1" customWidth="1"/>
    <col min="12545" max="12545" width="10.5703125" style="1" customWidth="1"/>
    <col min="12546" max="12789" width="9.140625" style="1"/>
    <col min="12790" max="12790" width="26.5703125" style="1" customWidth="1"/>
    <col min="12791" max="12791" width="9.140625" style="1"/>
    <col min="12792" max="12792" width="12.140625" style="1" customWidth="1"/>
    <col min="12793" max="12793" width="10.5703125" style="1" customWidth="1"/>
    <col min="12794" max="12794" width="2.85546875" style="1" customWidth="1"/>
    <col min="12795" max="12795" width="9.140625" style="1"/>
    <col min="12796" max="12796" width="12.140625" style="1" customWidth="1"/>
    <col min="12797" max="12797" width="10.5703125" style="1" customWidth="1"/>
    <col min="12798" max="12798" width="2.85546875" style="1" customWidth="1"/>
    <col min="12799" max="12799" width="9.140625" style="1"/>
    <col min="12800" max="12800" width="12.140625" style="1" customWidth="1"/>
    <col min="12801" max="12801" width="10.5703125" style="1" customWidth="1"/>
    <col min="12802" max="13045" width="9.140625" style="1"/>
    <col min="13046" max="13046" width="26.5703125" style="1" customWidth="1"/>
    <col min="13047" max="13047" width="9.140625" style="1"/>
    <col min="13048" max="13048" width="12.140625" style="1" customWidth="1"/>
    <col min="13049" max="13049" width="10.5703125" style="1" customWidth="1"/>
    <col min="13050" max="13050" width="2.85546875" style="1" customWidth="1"/>
    <col min="13051" max="13051" width="9.140625" style="1"/>
    <col min="13052" max="13052" width="12.140625" style="1" customWidth="1"/>
    <col min="13053" max="13053" width="10.5703125" style="1" customWidth="1"/>
    <col min="13054" max="13054" width="2.85546875" style="1" customWidth="1"/>
    <col min="13055" max="13055" width="9.140625" style="1"/>
    <col min="13056" max="13056" width="12.140625" style="1" customWidth="1"/>
    <col min="13057" max="13057" width="10.5703125" style="1" customWidth="1"/>
    <col min="13058" max="13301" width="9.140625" style="1"/>
    <col min="13302" max="13302" width="26.5703125" style="1" customWidth="1"/>
    <col min="13303" max="13303" width="9.140625" style="1"/>
    <col min="13304" max="13304" width="12.140625" style="1" customWidth="1"/>
    <col min="13305" max="13305" width="10.5703125" style="1" customWidth="1"/>
    <col min="13306" max="13306" width="2.85546875" style="1" customWidth="1"/>
    <col min="13307" max="13307" width="9.140625" style="1"/>
    <col min="13308" max="13308" width="12.140625" style="1" customWidth="1"/>
    <col min="13309" max="13309" width="10.5703125" style="1" customWidth="1"/>
    <col min="13310" max="13310" width="2.85546875" style="1" customWidth="1"/>
    <col min="13311" max="13311" width="9.140625" style="1"/>
    <col min="13312" max="13312" width="12.140625" style="1" customWidth="1"/>
    <col min="13313" max="13313" width="10.5703125" style="1" customWidth="1"/>
    <col min="13314" max="13557" width="9.140625" style="1"/>
    <col min="13558" max="13558" width="26.5703125" style="1" customWidth="1"/>
    <col min="13559" max="13559" width="9.140625" style="1"/>
    <col min="13560" max="13560" width="12.140625" style="1" customWidth="1"/>
    <col min="13561" max="13561" width="10.5703125" style="1" customWidth="1"/>
    <col min="13562" max="13562" width="2.85546875" style="1" customWidth="1"/>
    <col min="13563" max="13563" width="9.140625" style="1"/>
    <col min="13564" max="13564" width="12.140625" style="1" customWidth="1"/>
    <col min="13565" max="13565" width="10.5703125" style="1" customWidth="1"/>
    <col min="13566" max="13566" width="2.85546875" style="1" customWidth="1"/>
    <col min="13567" max="13567" width="9.140625" style="1"/>
    <col min="13568" max="13568" width="12.140625" style="1" customWidth="1"/>
    <col min="13569" max="13569" width="10.5703125" style="1" customWidth="1"/>
    <col min="13570" max="13813" width="9.140625" style="1"/>
    <col min="13814" max="13814" width="26.5703125" style="1" customWidth="1"/>
    <col min="13815" max="13815" width="9.140625" style="1"/>
    <col min="13816" max="13816" width="12.140625" style="1" customWidth="1"/>
    <col min="13817" max="13817" width="10.5703125" style="1" customWidth="1"/>
    <col min="13818" max="13818" width="2.85546875" style="1" customWidth="1"/>
    <col min="13819" max="13819" width="9.140625" style="1"/>
    <col min="13820" max="13820" width="12.140625" style="1" customWidth="1"/>
    <col min="13821" max="13821" width="10.5703125" style="1" customWidth="1"/>
    <col min="13822" max="13822" width="2.85546875" style="1" customWidth="1"/>
    <col min="13823" max="13823" width="9.140625" style="1"/>
    <col min="13824" max="13824" width="12.140625" style="1" customWidth="1"/>
    <col min="13825" max="13825" width="10.5703125" style="1" customWidth="1"/>
    <col min="13826" max="14069" width="9.140625" style="1"/>
    <col min="14070" max="14070" width="26.5703125" style="1" customWidth="1"/>
    <col min="14071" max="14071" width="9.140625" style="1"/>
    <col min="14072" max="14072" width="12.140625" style="1" customWidth="1"/>
    <col min="14073" max="14073" width="10.5703125" style="1" customWidth="1"/>
    <col min="14074" max="14074" width="2.85546875" style="1" customWidth="1"/>
    <col min="14075" max="14075" width="9.140625" style="1"/>
    <col min="14076" max="14076" width="12.140625" style="1" customWidth="1"/>
    <col min="14077" max="14077" width="10.5703125" style="1" customWidth="1"/>
    <col min="14078" max="14078" width="2.85546875" style="1" customWidth="1"/>
    <col min="14079" max="14079" width="9.140625" style="1"/>
    <col min="14080" max="14080" width="12.140625" style="1" customWidth="1"/>
    <col min="14081" max="14081" width="10.5703125" style="1" customWidth="1"/>
    <col min="14082" max="14325" width="9.140625" style="1"/>
    <col min="14326" max="14326" width="26.5703125" style="1" customWidth="1"/>
    <col min="14327" max="14327" width="9.140625" style="1"/>
    <col min="14328" max="14328" width="12.140625" style="1" customWidth="1"/>
    <col min="14329" max="14329" width="10.5703125" style="1" customWidth="1"/>
    <col min="14330" max="14330" width="2.85546875" style="1" customWidth="1"/>
    <col min="14331" max="14331" width="9.140625" style="1"/>
    <col min="14332" max="14332" width="12.140625" style="1" customWidth="1"/>
    <col min="14333" max="14333" width="10.5703125" style="1" customWidth="1"/>
    <col min="14334" max="14334" width="2.85546875" style="1" customWidth="1"/>
    <col min="14335" max="14335" width="9.140625" style="1"/>
    <col min="14336" max="14336" width="12.140625" style="1" customWidth="1"/>
    <col min="14337" max="14337" width="10.5703125" style="1" customWidth="1"/>
    <col min="14338" max="14581" width="9.140625" style="1"/>
    <col min="14582" max="14582" width="26.5703125" style="1" customWidth="1"/>
    <col min="14583" max="14583" width="9.140625" style="1"/>
    <col min="14584" max="14584" width="12.140625" style="1" customWidth="1"/>
    <col min="14585" max="14585" width="10.5703125" style="1" customWidth="1"/>
    <col min="14586" max="14586" width="2.85546875" style="1" customWidth="1"/>
    <col min="14587" max="14587" width="9.140625" style="1"/>
    <col min="14588" max="14588" width="12.140625" style="1" customWidth="1"/>
    <col min="14589" max="14589" width="10.5703125" style="1" customWidth="1"/>
    <col min="14590" max="14590" width="2.85546875" style="1" customWidth="1"/>
    <col min="14591" max="14591" width="9.140625" style="1"/>
    <col min="14592" max="14592" width="12.140625" style="1" customWidth="1"/>
    <col min="14593" max="14593" width="10.5703125" style="1" customWidth="1"/>
    <col min="14594" max="14837" width="9.140625" style="1"/>
    <col min="14838" max="14838" width="26.5703125" style="1" customWidth="1"/>
    <col min="14839" max="14839" width="9.140625" style="1"/>
    <col min="14840" max="14840" width="12.140625" style="1" customWidth="1"/>
    <col min="14841" max="14841" width="10.5703125" style="1" customWidth="1"/>
    <col min="14842" max="14842" width="2.85546875" style="1" customWidth="1"/>
    <col min="14843" max="14843" width="9.140625" style="1"/>
    <col min="14844" max="14844" width="12.140625" style="1" customWidth="1"/>
    <col min="14845" max="14845" width="10.5703125" style="1" customWidth="1"/>
    <col min="14846" max="14846" width="2.85546875" style="1" customWidth="1"/>
    <col min="14847" max="14847" width="9.140625" style="1"/>
    <col min="14848" max="14848" width="12.140625" style="1" customWidth="1"/>
    <col min="14849" max="14849" width="10.5703125" style="1" customWidth="1"/>
    <col min="14850" max="15093" width="9.140625" style="1"/>
    <col min="15094" max="15094" width="26.5703125" style="1" customWidth="1"/>
    <col min="15095" max="15095" width="9.140625" style="1"/>
    <col min="15096" max="15096" width="12.140625" style="1" customWidth="1"/>
    <col min="15097" max="15097" width="10.5703125" style="1" customWidth="1"/>
    <col min="15098" max="15098" width="2.85546875" style="1" customWidth="1"/>
    <col min="15099" max="15099" width="9.140625" style="1"/>
    <col min="15100" max="15100" width="12.140625" style="1" customWidth="1"/>
    <col min="15101" max="15101" width="10.5703125" style="1" customWidth="1"/>
    <col min="15102" max="15102" width="2.85546875" style="1" customWidth="1"/>
    <col min="15103" max="15103" width="9.140625" style="1"/>
    <col min="15104" max="15104" width="12.140625" style="1" customWidth="1"/>
    <col min="15105" max="15105" width="10.5703125" style="1" customWidth="1"/>
    <col min="15106" max="15349" width="9.140625" style="1"/>
    <col min="15350" max="15350" width="26.5703125" style="1" customWidth="1"/>
    <col min="15351" max="15351" width="9.140625" style="1"/>
    <col min="15352" max="15352" width="12.140625" style="1" customWidth="1"/>
    <col min="15353" max="15353" width="10.5703125" style="1" customWidth="1"/>
    <col min="15354" max="15354" width="2.85546875" style="1" customWidth="1"/>
    <col min="15355" max="15355" width="9.140625" style="1"/>
    <col min="15356" max="15356" width="12.140625" style="1" customWidth="1"/>
    <col min="15357" max="15357" width="10.5703125" style="1" customWidth="1"/>
    <col min="15358" max="15358" width="2.85546875" style="1" customWidth="1"/>
    <col min="15359" max="15359" width="9.140625" style="1"/>
    <col min="15360" max="15360" width="12.140625" style="1" customWidth="1"/>
    <col min="15361" max="15361" width="10.5703125" style="1" customWidth="1"/>
    <col min="15362" max="15605" width="9.140625" style="1"/>
    <col min="15606" max="15606" width="26.5703125" style="1" customWidth="1"/>
    <col min="15607" max="15607" width="9.140625" style="1"/>
    <col min="15608" max="15608" width="12.140625" style="1" customWidth="1"/>
    <col min="15609" max="15609" width="10.5703125" style="1" customWidth="1"/>
    <col min="15610" max="15610" width="2.85546875" style="1" customWidth="1"/>
    <col min="15611" max="15611" width="9.140625" style="1"/>
    <col min="15612" max="15612" width="12.140625" style="1" customWidth="1"/>
    <col min="15613" max="15613" width="10.5703125" style="1" customWidth="1"/>
    <col min="15614" max="15614" width="2.85546875" style="1" customWidth="1"/>
    <col min="15615" max="15615" width="9.140625" style="1"/>
    <col min="15616" max="15616" width="12.140625" style="1" customWidth="1"/>
    <col min="15617" max="15617" width="10.5703125" style="1" customWidth="1"/>
    <col min="15618" max="15861" width="9.140625" style="1"/>
    <col min="15862" max="15862" width="26.5703125" style="1" customWidth="1"/>
    <col min="15863" max="15863" width="9.140625" style="1"/>
    <col min="15864" max="15864" width="12.140625" style="1" customWidth="1"/>
    <col min="15865" max="15865" width="10.5703125" style="1" customWidth="1"/>
    <col min="15866" max="15866" width="2.85546875" style="1" customWidth="1"/>
    <col min="15867" max="15867" width="9.140625" style="1"/>
    <col min="15868" max="15868" width="12.140625" style="1" customWidth="1"/>
    <col min="15869" max="15869" width="10.5703125" style="1" customWidth="1"/>
    <col min="15870" max="15870" width="2.85546875" style="1" customWidth="1"/>
    <col min="15871" max="15871" width="9.140625" style="1"/>
    <col min="15872" max="15872" width="12.140625" style="1" customWidth="1"/>
    <col min="15873" max="15873" width="10.5703125" style="1" customWidth="1"/>
    <col min="15874" max="16117" width="9.140625" style="1"/>
    <col min="16118" max="16118" width="26.5703125" style="1" customWidth="1"/>
    <col min="16119" max="16119" width="9.140625" style="1"/>
    <col min="16120" max="16120" width="12.140625" style="1" customWidth="1"/>
    <col min="16121" max="16121" width="10.5703125" style="1" customWidth="1"/>
    <col min="16122" max="16122" width="2.85546875" style="1" customWidth="1"/>
    <col min="16123" max="16123" width="9.140625" style="1"/>
    <col min="16124" max="16124" width="12.140625" style="1" customWidth="1"/>
    <col min="16125" max="16125" width="10.5703125" style="1" customWidth="1"/>
    <col min="16126" max="16126" width="2.85546875" style="1" customWidth="1"/>
    <col min="16127" max="16127" width="9.140625" style="1"/>
    <col min="16128" max="16128" width="12.140625" style="1" customWidth="1"/>
    <col min="16129" max="16129" width="10.5703125" style="1" customWidth="1"/>
    <col min="16130" max="16384" width="9.140625" style="1"/>
  </cols>
  <sheetData>
    <row r="1" spans="1:19" ht="38.25" customHeight="1" x14ac:dyDescent="0.2">
      <c r="A1" s="1653" t="s">
        <v>759</v>
      </c>
      <c r="B1" s="1653"/>
      <c r="C1" s="1653"/>
      <c r="D1" s="1653"/>
      <c r="E1" s="1653"/>
      <c r="F1" s="1653"/>
      <c r="G1" s="1653"/>
      <c r="H1" s="467"/>
      <c r="I1" s="467"/>
      <c r="J1" s="467"/>
      <c r="K1" s="467"/>
      <c r="L1" s="467"/>
    </row>
    <row r="2" spans="1:19" ht="15" x14ac:dyDescent="0.25">
      <c r="D2" s="253"/>
      <c r="H2" s="253"/>
      <c r="L2" s="253" t="s">
        <v>0</v>
      </c>
    </row>
    <row r="3" spans="1:19" x14ac:dyDescent="0.2">
      <c r="A3" s="51"/>
      <c r="B3" s="1701" t="s">
        <v>110</v>
      </c>
      <c r="C3" s="1702"/>
      <c r="D3" s="1703"/>
      <c r="F3" s="1701" t="s">
        <v>111</v>
      </c>
      <c r="G3" s="1702"/>
      <c r="H3" s="1703"/>
      <c r="J3" s="1701" t="s">
        <v>112</v>
      </c>
      <c r="K3" s="1702"/>
      <c r="L3" s="1703"/>
    </row>
    <row r="4" spans="1:19" ht="25.5" x14ac:dyDescent="0.2">
      <c r="A4" s="4" t="s">
        <v>22</v>
      </c>
      <c r="B4" s="102" t="s">
        <v>105</v>
      </c>
      <c r="C4" s="102" t="s">
        <v>60</v>
      </c>
      <c r="D4" s="102" t="s">
        <v>113</v>
      </c>
      <c r="E4" s="385"/>
      <c r="F4" s="102" t="s">
        <v>105</v>
      </c>
      <c r="G4" s="102" t="s">
        <v>60</v>
      </c>
      <c r="H4" s="102" t="s">
        <v>113</v>
      </c>
      <c r="I4" s="101"/>
      <c r="J4" s="102" t="s">
        <v>105</v>
      </c>
      <c r="K4" s="102" t="s">
        <v>60</v>
      </c>
      <c r="L4" s="102" t="s">
        <v>113</v>
      </c>
      <c r="O4"/>
      <c r="P4"/>
      <c r="Q4"/>
      <c r="R4"/>
      <c r="S4"/>
    </row>
    <row r="5" spans="1:19" ht="18.75" customHeight="1" x14ac:dyDescent="0.2">
      <c r="A5" s="355" t="s">
        <v>23</v>
      </c>
      <c r="B5" s="429">
        <f>T_12!B7</f>
        <v>355</v>
      </c>
      <c r="C5" s="430">
        <f>T_12!C7</f>
        <v>3</v>
      </c>
      <c r="D5" s="431">
        <f>T_12!D7</f>
        <v>23</v>
      </c>
      <c r="E5" s="612"/>
      <c r="F5" s="1317">
        <f>T_12!E7</f>
        <v>100</v>
      </c>
      <c r="G5" s="430">
        <f>T_12!F7</f>
        <v>0</v>
      </c>
      <c r="H5" s="431">
        <f>T_12!G7</f>
        <v>9</v>
      </c>
      <c r="I5" s="612"/>
      <c r="J5" s="1156">
        <f>B5+F5</f>
        <v>455</v>
      </c>
      <c r="K5" s="1157">
        <f t="shared" ref="K5:L5" si="0">C5+G5</f>
        <v>3</v>
      </c>
      <c r="L5" s="1158">
        <f t="shared" si="0"/>
        <v>32</v>
      </c>
      <c r="O5"/>
      <c r="P5"/>
      <c r="Q5"/>
      <c r="R5"/>
      <c r="S5"/>
    </row>
    <row r="6" spans="1:19" ht="13.5" customHeight="1" x14ac:dyDescent="0.2">
      <c r="A6" s="5" t="s">
        <v>24</v>
      </c>
      <c r="B6" s="238">
        <f>T_12!B8</f>
        <v>344</v>
      </c>
      <c r="C6" s="239">
        <f>T_12!C8</f>
        <v>1</v>
      </c>
      <c r="D6" s="240">
        <f>T_12!D8</f>
        <v>44</v>
      </c>
      <c r="E6" s="612"/>
      <c r="F6" s="238">
        <f>T_12!E8</f>
        <v>50</v>
      </c>
      <c r="G6" s="242">
        <f>T_12!F8</f>
        <v>0</v>
      </c>
      <c r="H6" s="240">
        <f>T_12!G8</f>
        <v>2</v>
      </c>
      <c r="I6" s="612"/>
      <c r="J6" s="1159">
        <f t="shared" ref="J6:J36" si="1">B6+F6</f>
        <v>394</v>
      </c>
      <c r="K6" s="1160">
        <f t="shared" ref="K6:K36" si="2">C6+G6</f>
        <v>1</v>
      </c>
      <c r="L6" s="1161">
        <f t="shared" ref="L6:L36" si="3">D6+H6</f>
        <v>46</v>
      </c>
      <c r="O6"/>
      <c r="P6"/>
      <c r="Q6"/>
      <c r="R6"/>
      <c r="S6"/>
    </row>
    <row r="7" spans="1:19" ht="13.5" customHeight="1" x14ac:dyDescent="0.2">
      <c r="A7" s="355" t="s">
        <v>25</v>
      </c>
      <c r="B7" s="429">
        <f>T_12!B9</f>
        <v>133</v>
      </c>
      <c r="C7" s="430">
        <f>T_12!C9</f>
        <v>0</v>
      </c>
      <c r="D7" s="431">
        <f>T_12!D9</f>
        <v>20</v>
      </c>
      <c r="E7" s="612"/>
      <c r="F7" s="429">
        <f>T_12!E9</f>
        <v>30</v>
      </c>
      <c r="G7" s="432">
        <f>T_12!F9</f>
        <v>0</v>
      </c>
      <c r="H7" s="431">
        <f>T_12!G9</f>
        <v>1</v>
      </c>
      <c r="I7" s="612"/>
      <c r="J7" s="1156">
        <f t="shared" si="1"/>
        <v>163</v>
      </c>
      <c r="K7" s="1157">
        <f t="shared" si="2"/>
        <v>0</v>
      </c>
      <c r="L7" s="1158">
        <f t="shared" si="3"/>
        <v>21</v>
      </c>
      <c r="O7"/>
      <c r="P7"/>
      <c r="Q7"/>
      <c r="R7"/>
      <c r="S7"/>
    </row>
    <row r="8" spans="1:19" ht="13.5" customHeight="1" x14ac:dyDescent="0.2">
      <c r="A8" s="5" t="s">
        <v>26</v>
      </c>
      <c r="B8" s="238">
        <f>T_12!B10</f>
        <v>159</v>
      </c>
      <c r="C8" s="239">
        <f>T_12!C10</f>
        <v>1</v>
      </c>
      <c r="D8" s="240">
        <f>T_12!D10</f>
        <v>18</v>
      </c>
      <c r="E8" s="612"/>
      <c r="F8" s="238">
        <f>T_12!E10</f>
        <v>25</v>
      </c>
      <c r="G8" s="242">
        <f>T_12!F10</f>
        <v>0</v>
      </c>
      <c r="H8" s="240">
        <f>T_12!G10</f>
        <v>2</v>
      </c>
      <c r="I8" s="612"/>
      <c r="J8" s="1159">
        <f t="shared" si="1"/>
        <v>184</v>
      </c>
      <c r="K8" s="1160">
        <f t="shared" si="2"/>
        <v>1</v>
      </c>
      <c r="L8" s="1161">
        <f t="shared" si="3"/>
        <v>20</v>
      </c>
      <c r="O8"/>
      <c r="P8"/>
      <c r="Q8"/>
      <c r="R8"/>
      <c r="S8"/>
    </row>
    <row r="9" spans="1:19" ht="13.5" customHeight="1" x14ac:dyDescent="0.2">
      <c r="A9" s="355" t="s">
        <v>27</v>
      </c>
      <c r="B9" s="429">
        <f>T_12!B11</f>
        <v>69</v>
      </c>
      <c r="C9" s="430">
        <f>T_12!C11</f>
        <v>0</v>
      </c>
      <c r="D9" s="431">
        <f>T_12!D11</f>
        <v>8</v>
      </c>
      <c r="E9" s="612"/>
      <c r="F9" s="429">
        <f>T_12!E11</f>
        <v>24</v>
      </c>
      <c r="G9" s="432">
        <f>T_12!F11</f>
        <v>0</v>
      </c>
      <c r="H9" s="431">
        <f>T_12!G11</f>
        <v>1</v>
      </c>
      <c r="I9" s="612"/>
      <c r="J9" s="1156">
        <f t="shared" si="1"/>
        <v>93</v>
      </c>
      <c r="K9" s="1157">
        <f t="shared" si="2"/>
        <v>0</v>
      </c>
      <c r="L9" s="1158">
        <f t="shared" si="3"/>
        <v>9</v>
      </c>
      <c r="O9"/>
      <c r="P9"/>
      <c r="Q9"/>
      <c r="R9"/>
      <c r="S9"/>
    </row>
    <row r="10" spans="1:19" ht="13.5" customHeight="1" x14ac:dyDescent="0.2">
      <c r="A10" s="5" t="s">
        <v>28</v>
      </c>
      <c r="B10" s="238">
        <f>T_12!B12</f>
        <v>199</v>
      </c>
      <c r="C10" s="239">
        <f>T_12!C12</f>
        <v>5</v>
      </c>
      <c r="D10" s="240">
        <f>T_12!D12</f>
        <v>5</v>
      </c>
      <c r="E10" s="612"/>
      <c r="F10" s="238">
        <f>T_12!E12</f>
        <v>37</v>
      </c>
      <c r="G10" s="242">
        <f>T_12!F12</f>
        <v>0</v>
      </c>
      <c r="H10" s="240">
        <f>T_12!G12</f>
        <v>1</v>
      </c>
      <c r="I10" s="612"/>
      <c r="J10" s="1159">
        <f t="shared" si="1"/>
        <v>236</v>
      </c>
      <c r="K10" s="1160">
        <f t="shared" si="2"/>
        <v>5</v>
      </c>
      <c r="L10" s="1161">
        <f t="shared" si="3"/>
        <v>6</v>
      </c>
      <c r="O10"/>
      <c r="P10"/>
      <c r="Q10"/>
      <c r="R10"/>
      <c r="S10"/>
    </row>
    <row r="11" spans="1:19" ht="13.5" customHeight="1" x14ac:dyDescent="0.2">
      <c r="A11" s="355" t="s">
        <v>29</v>
      </c>
      <c r="B11" s="429">
        <f>T_12!B13</f>
        <v>271</v>
      </c>
      <c r="C11" s="430">
        <f>T_12!C13</f>
        <v>0</v>
      </c>
      <c r="D11" s="431">
        <f>T_12!D13</f>
        <v>34</v>
      </c>
      <c r="E11" s="612"/>
      <c r="F11" s="429">
        <f>T_12!E13</f>
        <v>73</v>
      </c>
      <c r="G11" s="432">
        <f>T_12!F13</f>
        <v>0</v>
      </c>
      <c r="H11" s="431">
        <f>T_12!G13</f>
        <v>4</v>
      </c>
      <c r="I11" s="612"/>
      <c r="J11" s="1156">
        <f t="shared" si="1"/>
        <v>344</v>
      </c>
      <c r="K11" s="1157">
        <f t="shared" si="2"/>
        <v>0</v>
      </c>
      <c r="L11" s="1158">
        <f t="shared" si="3"/>
        <v>38</v>
      </c>
      <c r="O11"/>
      <c r="P11"/>
      <c r="Q11"/>
      <c r="R11"/>
      <c r="S11"/>
    </row>
    <row r="12" spans="1:19" ht="13.5" customHeight="1" x14ac:dyDescent="0.2">
      <c r="A12" s="5" t="s">
        <v>30</v>
      </c>
      <c r="B12" s="238">
        <f>T_12!B14</f>
        <v>133</v>
      </c>
      <c r="C12" s="239">
        <f>T_12!C14</f>
        <v>1</v>
      </c>
      <c r="D12" s="240">
        <f>T_12!D14</f>
        <v>24</v>
      </c>
      <c r="E12" s="612"/>
      <c r="F12" s="238">
        <f>T_12!E14</f>
        <v>47</v>
      </c>
      <c r="G12" s="242">
        <f>T_12!F14</f>
        <v>0</v>
      </c>
      <c r="H12" s="240">
        <f>T_12!G14</f>
        <v>7</v>
      </c>
      <c r="I12" s="612"/>
      <c r="J12" s="1159">
        <f t="shared" si="1"/>
        <v>180</v>
      </c>
      <c r="K12" s="1160">
        <f t="shared" si="2"/>
        <v>1</v>
      </c>
      <c r="L12" s="1161">
        <f t="shared" si="3"/>
        <v>31</v>
      </c>
      <c r="O12"/>
      <c r="P12"/>
      <c r="Q12"/>
      <c r="R12"/>
      <c r="S12"/>
    </row>
    <row r="13" spans="1:19" ht="13.5" customHeight="1" x14ac:dyDescent="0.2">
      <c r="A13" s="355" t="s">
        <v>31</v>
      </c>
      <c r="B13" s="429">
        <f>T_12!B15</f>
        <v>101</v>
      </c>
      <c r="C13" s="430">
        <f>T_12!C15</f>
        <v>0</v>
      </c>
      <c r="D13" s="431">
        <f>T_12!D15</f>
        <v>16</v>
      </c>
      <c r="E13" s="612"/>
      <c r="F13" s="429">
        <f>T_12!E15</f>
        <v>57</v>
      </c>
      <c r="G13" s="432">
        <f>T_12!F15</f>
        <v>0</v>
      </c>
      <c r="H13" s="431">
        <f>T_12!G15</f>
        <v>1</v>
      </c>
      <c r="I13" s="612"/>
      <c r="J13" s="1156">
        <f t="shared" si="1"/>
        <v>158</v>
      </c>
      <c r="K13" s="1157">
        <f t="shared" si="2"/>
        <v>0</v>
      </c>
      <c r="L13" s="1158">
        <f t="shared" si="3"/>
        <v>17</v>
      </c>
      <c r="O13"/>
      <c r="P13"/>
      <c r="Q13"/>
      <c r="R13"/>
      <c r="S13"/>
    </row>
    <row r="14" spans="1:19" ht="13.5" customHeight="1" x14ac:dyDescent="0.2">
      <c r="A14" s="5" t="s">
        <v>32</v>
      </c>
      <c r="B14" s="238">
        <f>T_12!B16</f>
        <v>130</v>
      </c>
      <c r="C14" s="239">
        <f>T_12!C16</f>
        <v>2</v>
      </c>
      <c r="D14" s="240">
        <f>T_12!D16</f>
        <v>12</v>
      </c>
      <c r="E14" s="612"/>
      <c r="F14" s="238">
        <f>T_12!E16</f>
        <v>59</v>
      </c>
      <c r="G14" s="239">
        <f>T_12!F16</f>
        <v>0</v>
      </c>
      <c r="H14" s="240">
        <f>T_12!G16</f>
        <v>0</v>
      </c>
      <c r="I14" s="612"/>
      <c r="J14" s="1159">
        <f t="shared" si="1"/>
        <v>189</v>
      </c>
      <c r="K14" s="1160">
        <f t="shared" si="2"/>
        <v>2</v>
      </c>
      <c r="L14" s="1161">
        <f t="shared" si="3"/>
        <v>12</v>
      </c>
      <c r="O14"/>
      <c r="P14"/>
      <c r="Q14"/>
      <c r="R14"/>
      <c r="S14"/>
    </row>
    <row r="15" spans="1:19" ht="13.5" customHeight="1" x14ac:dyDescent="0.2">
      <c r="A15" s="355" t="s">
        <v>33</v>
      </c>
      <c r="B15" s="429">
        <f>T_12!B17</f>
        <v>111</v>
      </c>
      <c r="C15" s="430">
        <f>T_12!C17</f>
        <v>0</v>
      </c>
      <c r="D15" s="431">
        <f>T_12!D17</f>
        <v>7</v>
      </c>
      <c r="E15" s="612"/>
      <c r="F15" s="429">
        <f>T_12!E17</f>
        <v>19</v>
      </c>
      <c r="G15" s="430">
        <f>T_12!F17</f>
        <v>0</v>
      </c>
      <c r="H15" s="431">
        <f>T_12!G17</f>
        <v>2</v>
      </c>
      <c r="I15" s="612"/>
      <c r="J15" s="1156">
        <f t="shared" si="1"/>
        <v>130</v>
      </c>
      <c r="K15" s="1157">
        <f t="shared" si="2"/>
        <v>0</v>
      </c>
      <c r="L15" s="1158">
        <f t="shared" si="3"/>
        <v>9</v>
      </c>
      <c r="O15"/>
      <c r="P15"/>
      <c r="Q15"/>
      <c r="R15"/>
      <c r="S15"/>
    </row>
    <row r="16" spans="1:19" ht="13.5" customHeight="1" x14ac:dyDescent="0.2">
      <c r="A16" s="5" t="s">
        <v>137</v>
      </c>
      <c r="B16" s="238">
        <f>T_12!B18</f>
        <v>742</v>
      </c>
      <c r="C16" s="239">
        <f>T_12!C18</f>
        <v>1</v>
      </c>
      <c r="D16" s="240">
        <f>T_12!D18</f>
        <v>78</v>
      </c>
      <c r="E16" s="612"/>
      <c r="F16" s="238">
        <f>T_12!E18</f>
        <v>296</v>
      </c>
      <c r="G16" s="239">
        <f>T_12!F18</f>
        <v>0</v>
      </c>
      <c r="H16" s="240">
        <f>T_12!G18</f>
        <v>13</v>
      </c>
      <c r="I16" s="612"/>
      <c r="J16" s="1159">
        <f t="shared" si="1"/>
        <v>1038</v>
      </c>
      <c r="K16" s="1160">
        <f t="shared" si="2"/>
        <v>1</v>
      </c>
      <c r="L16" s="1161">
        <f t="shared" si="3"/>
        <v>91</v>
      </c>
      <c r="O16"/>
      <c r="P16"/>
      <c r="Q16"/>
      <c r="R16"/>
      <c r="S16"/>
    </row>
    <row r="17" spans="1:19" ht="13.5" customHeight="1" x14ac:dyDescent="0.2">
      <c r="A17" s="355" t="s">
        <v>34</v>
      </c>
      <c r="B17" s="429">
        <f>T_12!B19</f>
        <v>199</v>
      </c>
      <c r="C17" s="430">
        <f>T_12!C19</f>
        <v>2</v>
      </c>
      <c r="D17" s="431">
        <f>T_12!D19</f>
        <v>21</v>
      </c>
      <c r="E17" s="612"/>
      <c r="F17" s="429">
        <f>T_12!E19</f>
        <v>144</v>
      </c>
      <c r="G17" s="430">
        <f>T_12!F19</f>
        <v>0</v>
      </c>
      <c r="H17" s="431">
        <f>T_12!G19</f>
        <v>8</v>
      </c>
      <c r="I17" s="612"/>
      <c r="J17" s="1156">
        <f t="shared" si="1"/>
        <v>343</v>
      </c>
      <c r="K17" s="1157">
        <f t="shared" si="2"/>
        <v>2</v>
      </c>
      <c r="L17" s="1158">
        <f t="shared" si="3"/>
        <v>29</v>
      </c>
      <c r="O17"/>
      <c r="P17"/>
      <c r="Q17"/>
      <c r="R17"/>
      <c r="S17"/>
    </row>
    <row r="18" spans="1:19" ht="13.5" customHeight="1" x14ac:dyDescent="0.2">
      <c r="A18" s="5" t="s">
        <v>35</v>
      </c>
      <c r="B18" s="238">
        <f>T_12!B20</f>
        <v>508</v>
      </c>
      <c r="C18" s="239">
        <f>T_12!C20</f>
        <v>2</v>
      </c>
      <c r="D18" s="240">
        <f>T_12!D20</f>
        <v>37</v>
      </c>
      <c r="E18" s="612"/>
      <c r="F18" s="238">
        <f>T_12!E20</f>
        <v>153</v>
      </c>
      <c r="G18" s="239">
        <f>T_12!F20</f>
        <v>0</v>
      </c>
      <c r="H18" s="240">
        <f>T_12!G20</f>
        <v>3</v>
      </c>
      <c r="I18" s="612"/>
      <c r="J18" s="1159">
        <f t="shared" si="1"/>
        <v>661</v>
      </c>
      <c r="K18" s="1160">
        <f t="shared" si="2"/>
        <v>2</v>
      </c>
      <c r="L18" s="1161">
        <f t="shared" si="3"/>
        <v>40</v>
      </c>
      <c r="O18"/>
      <c r="P18"/>
      <c r="Q18"/>
      <c r="R18"/>
      <c r="S18"/>
    </row>
    <row r="19" spans="1:19" ht="13.5" customHeight="1" x14ac:dyDescent="0.2">
      <c r="A19" s="355" t="s">
        <v>36</v>
      </c>
      <c r="B19" s="429">
        <f>T_12!B21</f>
        <v>1261</v>
      </c>
      <c r="C19" s="430">
        <f>T_12!C21</f>
        <v>4</v>
      </c>
      <c r="D19" s="431">
        <f>T_12!D21</f>
        <v>172</v>
      </c>
      <c r="E19" s="612"/>
      <c r="F19" s="429">
        <f>T_12!E21</f>
        <v>448</v>
      </c>
      <c r="G19" s="430">
        <f>T_12!F21</f>
        <v>1</v>
      </c>
      <c r="H19" s="431">
        <f>T_12!G21</f>
        <v>41</v>
      </c>
      <c r="I19" s="612"/>
      <c r="J19" s="1156">
        <f t="shared" si="1"/>
        <v>1709</v>
      </c>
      <c r="K19" s="1157">
        <f t="shared" si="2"/>
        <v>5</v>
      </c>
      <c r="L19" s="1158">
        <f t="shared" si="3"/>
        <v>213</v>
      </c>
      <c r="O19"/>
      <c r="P19"/>
      <c r="Q19"/>
      <c r="R19"/>
      <c r="S19"/>
    </row>
    <row r="20" spans="1:19" ht="13.5" customHeight="1" x14ac:dyDescent="0.2">
      <c r="A20" s="5" t="s">
        <v>37</v>
      </c>
      <c r="B20" s="238">
        <f>T_12!B22</f>
        <v>337</v>
      </c>
      <c r="C20" s="239">
        <f>T_12!C22</f>
        <v>2</v>
      </c>
      <c r="D20" s="240">
        <f>T_12!D22</f>
        <v>40</v>
      </c>
      <c r="E20" s="612"/>
      <c r="F20" s="238">
        <f>T_12!E22</f>
        <v>23</v>
      </c>
      <c r="G20" s="239">
        <f>T_12!F22</f>
        <v>0</v>
      </c>
      <c r="H20" s="240">
        <f>T_12!G22</f>
        <v>1</v>
      </c>
      <c r="I20" s="612"/>
      <c r="J20" s="1159">
        <f t="shared" si="1"/>
        <v>360</v>
      </c>
      <c r="K20" s="1160">
        <f t="shared" si="2"/>
        <v>2</v>
      </c>
      <c r="L20" s="1162">
        <f t="shared" si="3"/>
        <v>41</v>
      </c>
      <c r="O20"/>
      <c r="P20"/>
      <c r="Q20"/>
      <c r="R20"/>
      <c r="S20"/>
    </row>
    <row r="21" spans="1:19" ht="13.5" customHeight="1" x14ac:dyDescent="0.2">
      <c r="A21" s="355" t="s">
        <v>38</v>
      </c>
      <c r="B21" s="429">
        <f>T_12!B23</f>
        <v>123</v>
      </c>
      <c r="C21" s="430">
        <f>T_12!C23</f>
        <v>0</v>
      </c>
      <c r="D21" s="431">
        <f>T_12!D23</f>
        <v>14</v>
      </c>
      <c r="E21" s="612"/>
      <c r="F21" s="429">
        <f>T_12!E23</f>
        <v>66</v>
      </c>
      <c r="G21" s="430">
        <f>T_12!F23</f>
        <v>0</v>
      </c>
      <c r="H21" s="431">
        <f>T_12!G23</f>
        <v>9</v>
      </c>
      <c r="I21" s="612"/>
      <c r="J21" s="1156">
        <f t="shared" si="1"/>
        <v>189</v>
      </c>
      <c r="K21" s="1157">
        <f t="shared" si="2"/>
        <v>0</v>
      </c>
      <c r="L21" s="1158">
        <f t="shared" si="3"/>
        <v>23</v>
      </c>
      <c r="O21"/>
      <c r="P21"/>
      <c r="Q21"/>
      <c r="R21"/>
      <c r="S21"/>
    </row>
    <row r="22" spans="1:19" ht="13.5" customHeight="1" x14ac:dyDescent="0.2">
      <c r="A22" s="5" t="s">
        <v>39</v>
      </c>
      <c r="B22" s="238">
        <f>T_12!B24</f>
        <v>116</v>
      </c>
      <c r="C22" s="239">
        <f>T_12!C24</f>
        <v>0</v>
      </c>
      <c r="D22" s="240">
        <f>T_12!D24</f>
        <v>14</v>
      </c>
      <c r="E22" s="612"/>
      <c r="F22" s="238">
        <f>T_12!E24</f>
        <v>95</v>
      </c>
      <c r="G22" s="239">
        <f>T_12!F24</f>
        <v>0</v>
      </c>
      <c r="H22" s="240">
        <f>T_12!G24</f>
        <v>1</v>
      </c>
      <c r="I22" s="612"/>
      <c r="J22" s="1159">
        <f t="shared" si="1"/>
        <v>211</v>
      </c>
      <c r="K22" s="1160">
        <f t="shared" si="2"/>
        <v>0</v>
      </c>
      <c r="L22" s="1161">
        <f t="shared" si="3"/>
        <v>15</v>
      </c>
      <c r="O22"/>
      <c r="P22"/>
      <c r="Q22"/>
      <c r="R22"/>
      <c r="S22"/>
    </row>
    <row r="23" spans="1:19" ht="13.5" customHeight="1" x14ac:dyDescent="0.2">
      <c r="A23" s="355" t="s">
        <v>40</v>
      </c>
      <c r="B23" s="429">
        <f>T_12!B25</f>
        <v>89</v>
      </c>
      <c r="C23" s="430">
        <f>T_12!C25</f>
        <v>1</v>
      </c>
      <c r="D23" s="431">
        <f>T_12!D25</f>
        <v>17</v>
      </c>
      <c r="E23" s="612"/>
      <c r="F23" s="429">
        <f>T_12!E25</f>
        <v>25</v>
      </c>
      <c r="G23" s="430">
        <f>T_12!F25</f>
        <v>0</v>
      </c>
      <c r="H23" s="431">
        <f>T_12!G25</f>
        <v>4</v>
      </c>
      <c r="I23" s="612"/>
      <c r="J23" s="1156">
        <f t="shared" si="1"/>
        <v>114</v>
      </c>
      <c r="K23" s="1157">
        <f t="shared" si="2"/>
        <v>1</v>
      </c>
      <c r="L23" s="1158">
        <f t="shared" si="3"/>
        <v>21</v>
      </c>
      <c r="O23"/>
      <c r="P23"/>
      <c r="Q23"/>
      <c r="R23"/>
      <c r="S23"/>
    </row>
    <row r="24" spans="1:19" ht="13.5" customHeight="1" x14ac:dyDescent="0.2">
      <c r="A24" s="5" t="s">
        <v>393</v>
      </c>
      <c r="B24" s="238">
        <f>T_12!B26</f>
        <v>36</v>
      </c>
      <c r="C24" s="239">
        <f>T_12!C26</f>
        <v>0</v>
      </c>
      <c r="D24" s="240">
        <f>T_12!D26</f>
        <v>2</v>
      </c>
      <c r="E24" s="612"/>
      <c r="F24" s="238">
        <f>T_12!E26</f>
        <v>3</v>
      </c>
      <c r="G24" s="239">
        <f>T_12!F26</f>
        <v>1</v>
      </c>
      <c r="H24" s="240">
        <f>T_12!G26</f>
        <v>0</v>
      </c>
      <c r="I24" s="612"/>
      <c r="J24" s="1159">
        <f t="shared" si="1"/>
        <v>39</v>
      </c>
      <c r="K24" s="1160">
        <f t="shared" si="2"/>
        <v>1</v>
      </c>
      <c r="L24" s="1161">
        <f t="shared" si="3"/>
        <v>2</v>
      </c>
      <c r="O24"/>
      <c r="P24"/>
      <c r="Q24"/>
      <c r="R24"/>
      <c r="S24"/>
    </row>
    <row r="25" spans="1:19" ht="13.5" customHeight="1" x14ac:dyDescent="0.2">
      <c r="A25" s="355" t="s">
        <v>41</v>
      </c>
      <c r="B25" s="429">
        <f>T_12!B27</f>
        <v>222</v>
      </c>
      <c r="C25" s="430">
        <f>T_12!C27</f>
        <v>0</v>
      </c>
      <c r="D25" s="431">
        <f>T_12!D27</f>
        <v>20</v>
      </c>
      <c r="E25" s="612"/>
      <c r="F25" s="429">
        <f>T_12!E27</f>
        <v>50</v>
      </c>
      <c r="G25" s="430">
        <f>T_12!F27</f>
        <v>0</v>
      </c>
      <c r="H25" s="431">
        <f>T_12!G27</f>
        <v>0</v>
      </c>
      <c r="I25" s="612"/>
      <c r="J25" s="1156">
        <f t="shared" si="1"/>
        <v>272</v>
      </c>
      <c r="K25" s="1157">
        <f t="shared" si="2"/>
        <v>0</v>
      </c>
      <c r="L25" s="1158">
        <f t="shared" si="3"/>
        <v>20</v>
      </c>
      <c r="O25"/>
      <c r="P25"/>
      <c r="Q25"/>
      <c r="R25"/>
      <c r="S25"/>
    </row>
    <row r="26" spans="1:19" ht="13.5" customHeight="1" x14ac:dyDescent="0.2">
      <c r="A26" s="5" t="s">
        <v>42</v>
      </c>
      <c r="B26" s="238">
        <f>T_12!B28</f>
        <v>448</v>
      </c>
      <c r="C26" s="239">
        <f>T_12!C28</f>
        <v>2</v>
      </c>
      <c r="D26" s="240">
        <f>T_12!D28</f>
        <v>87</v>
      </c>
      <c r="E26" s="612"/>
      <c r="F26" s="238">
        <f>T_12!E28</f>
        <v>209</v>
      </c>
      <c r="G26" s="239">
        <f>T_12!F28</f>
        <v>0</v>
      </c>
      <c r="H26" s="240">
        <f>T_12!G28</f>
        <v>11</v>
      </c>
      <c r="I26" s="612"/>
      <c r="J26" s="1159">
        <f t="shared" si="1"/>
        <v>657</v>
      </c>
      <c r="K26" s="1160">
        <f t="shared" si="2"/>
        <v>2</v>
      </c>
      <c r="L26" s="1161">
        <f t="shared" si="3"/>
        <v>98</v>
      </c>
      <c r="O26"/>
      <c r="P26"/>
      <c r="Q26"/>
      <c r="R26"/>
      <c r="S26"/>
    </row>
    <row r="27" spans="1:19" ht="13.5" customHeight="1" x14ac:dyDescent="0.2">
      <c r="A27" s="355" t="s">
        <v>43</v>
      </c>
      <c r="B27" s="429">
        <f>T_12!B29</f>
        <v>15</v>
      </c>
      <c r="C27" s="430">
        <f>T_12!C29</f>
        <v>0</v>
      </c>
      <c r="D27" s="431">
        <f>T_12!D29</f>
        <v>4</v>
      </c>
      <c r="E27" s="612"/>
      <c r="F27" s="429">
        <f>T_12!E29</f>
        <v>0</v>
      </c>
      <c r="G27" s="430">
        <f>T_12!F29</f>
        <v>0</v>
      </c>
      <c r="H27" s="431">
        <f>T_12!G29</f>
        <v>0</v>
      </c>
      <c r="I27" s="612"/>
      <c r="J27" s="1156">
        <f t="shared" si="1"/>
        <v>15</v>
      </c>
      <c r="K27" s="1157">
        <f t="shared" si="2"/>
        <v>0</v>
      </c>
      <c r="L27" s="1158">
        <f t="shared" si="3"/>
        <v>4</v>
      </c>
    </row>
    <row r="28" spans="1:19" ht="13.5" customHeight="1" x14ac:dyDescent="0.2">
      <c r="A28" s="5" t="s">
        <v>44</v>
      </c>
      <c r="B28" s="238">
        <f>T_12!B30</f>
        <v>207</v>
      </c>
      <c r="C28" s="239">
        <f>T_12!C30</f>
        <v>0</v>
      </c>
      <c r="D28" s="240">
        <f>T_12!D30</f>
        <v>22</v>
      </c>
      <c r="E28" s="612"/>
      <c r="F28" s="238">
        <f>T_12!E30</f>
        <v>27</v>
      </c>
      <c r="G28" s="239">
        <f>T_12!F30</f>
        <v>0</v>
      </c>
      <c r="H28" s="240">
        <f>T_12!G30</f>
        <v>0</v>
      </c>
      <c r="I28" s="612"/>
      <c r="J28" s="1159">
        <f t="shared" si="1"/>
        <v>234</v>
      </c>
      <c r="K28" s="1160">
        <f t="shared" si="2"/>
        <v>0</v>
      </c>
      <c r="L28" s="1161">
        <f t="shared" si="3"/>
        <v>22</v>
      </c>
    </row>
    <row r="29" spans="1:19" ht="13.5" customHeight="1" x14ac:dyDescent="0.2">
      <c r="A29" s="355" t="s">
        <v>45</v>
      </c>
      <c r="B29" s="429">
        <f>T_12!B31</f>
        <v>283</v>
      </c>
      <c r="C29" s="430">
        <f>T_12!C31</f>
        <v>1</v>
      </c>
      <c r="D29" s="431">
        <f>T_12!D31</f>
        <v>31</v>
      </c>
      <c r="E29" s="858"/>
      <c r="F29" s="429">
        <f>T_12!E31</f>
        <v>113</v>
      </c>
      <c r="G29" s="889">
        <f>T_12!F31</f>
        <v>0</v>
      </c>
      <c r="H29" s="431">
        <f>T_12!G31</f>
        <v>11</v>
      </c>
      <c r="I29" s="858"/>
      <c r="J29" s="1156">
        <f t="shared" si="1"/>
        <v>396</v>
      </c>
      <c r="K29" s="1157">
        <f t="shared" si="2"/>
        <v>1</v>
      </c>
      <c r="L29" s="1158">
        <f t="shared" si="3"/>
        <v>42</v>
      </c>
    </row>
    <row r="30" spans="1:19" ht="13.5" customHeight="1" x14ac:dyDescent="0.2">
      <c r="A30" s="30" t="s">
        <v>46</v>
      </c>
      <c r="B30" s="238">
        <f>T_12!B32</f>
        <v>148</v>
      </c>
      <c r="C30" s="888">
        <f>T_12!C32</f>
        <v>1</v>
      </c>
      <c r="D30" s="891">
        <f>T_12!D32</f>
        <v>15</v>
      </c>
      <c r="E30" s="858"/>
      <c r="F30" s="238">
        <f>T_12!E32</f>
        <v>56</v>
      </c>
      <c r="G30" s="888">
        <f>T_12!F32</f>
        <v>0</v>
      </c>
      <c r="H30" s="240">
        <f>T_12!G32</f>
        <v>2</v>
      </c>
      <c r="I30" s="858"/>
      <c r="J30" s="1159">
        <f t="shared" si="1"/>
        <v>204</v>
      </c>
      <c r="K30" s="1160">
        <f t="shared" si="2"/>
        <v>1</v>
      </c>
      <c r="L30" s="1161">
        <f t="shared" si="3"/>
        <v>17</v>
      </c>
    </row>
    <row r="31" spans="1:19" ht="13.5" customHeight="1" x14ac:dyDescent="0.2">
      <c r="A31" s="355" t="s">
        <v>47</v>
      </c>
      <c r="B31" s="429">
        <f>T_12!B33</f>
        <v>32</v>
      </c>
      <c r="C31" s="430">
        <f>T_12!C33</f>
        <v>0</v>
      </c>
      <c r="D31" s="431">
        <f>T_12!D33</f>
        <v>6</v>
      </c>
      <c r="E31" s="858"/>
      <c r="F31" s="429">
        <f>T_12!E33</f>
        <v>1</v>
      </c>
      <c r="G31" s="889">
        <f>T_12!F33</f>
        <v>0</v>
      </c>
      <c r="H31" s="431">
        <f>T_12!G33</f>
        <v>0</v>
      </c>
      <c r="I31" s="858"/>
      <c r="J31" s="1156">
        <f t="shared" si="1"/>
        <v>33</v>
      </c>
      <c r="K31" s="1157">
        <f t="shared" si="2"/>
        <v>0</v>
      </c>
      <c r="L31" s="1158">
        <f t="shared" si="3"/>
        <v>6</v>
      </c>
    </row>
    <row r="32" spans="1:19" ht="13.5" customHeight="1" x14ac:dyDescent="0.2">
      <c r="A32" s="5" t="s">
        <v>48</v>
      </c>
      <c r="B32" s="238">
        <f>T_12!B34</f>
        <v>164</v>
      </c>
      <c r="C32" s="239">
        <f>T_12!C34</f>
        <v>4</v>
      </c>
      <c r="D32" s="240">
        <f>T_12!D34</f>
        <v>24</v>
      </c>
      <c r="E32" s="858"/>
      <c r="F32" s="238">
        <f>T_12!E34</f>
        <v>40</v>
      </c>
      <c r="G32" s="888">
        <f>T_12!F34</f>
        <v>0</v>
      </c>
      <c r="H32" s="240">
        <f>T_12!G34</f>
        <v>5</v>
      </c>
      <c r="I32" s="858"/>
      <c r="J32" s="1159">
        <f t="shared" si="1"/>
        <v>204</v>
      </c>
      <c r="K32" s="1160">
        <f t="shared" si="2"/>
        <v>4</v>
      </c>
      <c r="L32" s="1161">
        <f t="shared" si="3"/>
        <v>29</v>
      </c>
    </row>
    <row r="33" spans="1:12" ht="13.5" customHeight="1" x14ac:dyDescent="0.2">
      <c r="A33" s="355" t="s">
        <v>49</v>
      </c>
      <c r="B33" s="429">
        <f>T_12!B35</f>
        <v>401</v>
      </c>
      <c r="C33" s="889">
        <f>T_12!C35</f>
        <v>4</v>
      </c>
      <c r="D33" s="892">
        <f>T_12!D35</f>
        <v>51</v>
      </c>
      <c r="E33" s="858"/>
      <c r="F33" s="429">
        <f>T_12!E35</f>
        <v>182</v>
      </c>
      <c r="G33" s="889">
        <f>T_12!F35</f>
        <v>0</v>
      </c>
      <c r="H33" s="431">
        <f>T_12!G35</f>
        <v>18</v>
      </c>
      <c r="I33" s="858"/>
      <c r="J33" s="1156">
        <f t="shared" si="1"/>
        <v>583</v>
      </c>
      <c r="K33" s="1157">
        <f t="shared" si="2"/>
        <v>4</v>
      </c>
      <c r="L33" s="1158">
        <f t="shared" si="3"/>
        <v>69</v>
      </c>
    </row>
    <row r="34" spans="1:12" ht="13.5" customHeight="1" x14ac:dyDescent="0.2">
      <c r="A34" s="5" t="s">
        <v>50</v>
      </c>
      <c r="B34" s="238">
        <f>T_12!B36</f>
        <v>136</v>
      </c>
      <c r="C34" s="239">
        <f>T_12!C36</f>
        <v>2</v>
      </c>
      <c r="D34" s="240">
        <f>T_12!D36</f>
        <v>20</v>
      </c>
      <c r="E34" s="858"/>
      <c r="F34" s="238">
        <f>T_12!E36</f>
        <v>39</v>
      </c>
      <c r="G34" s="888">
        <f>T_12!F36</f>
        <v>0</v>
      </c>
      <c r="H34" s="240">
        <f>T_12!G36</f>
        <v>4</v>
      </c>
      <c r="I34" s="858"/>
      <c r="J34" s="1159">
        <f t="shared" si="1"/>
        <v>175</v>
      </c>
      <c r="K34" s="1160">
        <f t="shared" si="2"/>
        <v>2</v>
      </c>
      <c r="L34" s="1161">
        <f t="shared" si="3"/>
        <v>24</v>
      </c>
    </row>
    <row r="35" spans="1:12" ht="13.5" customHeight="1" x14ac:dyDescent="0.2">
      <c r="A35" s="355" t="s">
        <v>51</v>
      </c>
      <c r="B35" s="429">
        <f>T_12!B37</f>
        <v>199</v>
      </c>
      <c r="C35" s="430">
        <f>T_12!C37</f>
        <v>3</v>
      </c>
      <c r="D35" s="431">
        <f>T_12!D37</f>
        <v>18</v>
      </c>
      <c r="E35" s="858"/>
      <c r="F35" s="429">
        <f>T_12!E37</f>
        <v>70</v>
      </c>
      <c r="G35" s="430">
        <f>T_12!F37</f>
        <v>0</v>
      </c>
      <c r="H35" s="431">
        <f>T_12!G37</f>
        <v>7</v>
      </c>
      <c r="I35" s="858"/>
      <c r="J35" s="1156">
        <f t="shared" si="1"/>
        <v>269</v>
      </c>
      <c r="K35" s="1157">
        <f t="shared" si="2"/>
        <v>3</v>
      </c>
      <c r="L35" s="1158">
        <f t="shared" si="3"/>
        <v>25</v>
      </c>
    </row>
    <row r="36" spans="1:12" ht="13.5" customHeight="1" x14ac:dyDescent="0.2">
      <c r="A36" s="5" t="s">
        <v>52</v>
      </c>
      <c r="B36" s="238">
        <f>T_12!B38</f>
        <v>258</v>
      </c>
      <c r="C36" s="239">
        <f>T_12!C38</f>
        <v>0</v>
      </c>
      <c r="D36" s="240">
        <f>T_12!D38</f>
        <v>29</v>
      </c>
      <c r="E36" s="858"/>
      <c r="F36" s="238">
        <f>T_12!E38</f>
        <v>164</v>
      </c>
      <c r="G36" s="888">
        <f>T_12!F38</f>
        <v>0</v>
      </c>
      <c r="H36" s="240">
        <f>T_12!G38</f>
        <v>12</v>
      </c>
      <c r="I36" s="858"/>
      <c r="J36" s="1159">
        <f t="shared" si="1"/>
        <v>422</v>
      </c>
      <c r="K36" s="1160">
        <f t="shared" si="2"/>
        <v>0</v>
      </c>
      <c r="L36" s="1161">
        <f t="shared" si="3"/>
        <v>41</v>
      </c>
    </row>
    <row r="37" spans="1:12" ht="13.5" customHeight="1" x14ac:dyDescent="0.2">
      <c r="A37" s="411"/>
      <c r="B37" s="429"/>
      <c r="C37" s="430"/>
      <c r="D37" s="431"/>
      <c r="E37" s="858"/>
      <c r="F37" s="429"/>
      <c r="G37" s="430"/>
      <c r="H37" s="431"/>
      <c r="I37" s="858"/>
      <c r="J37" s="429"/>
      <c r="K37" s="430"/>
      <c r="L37" s="431"/>
    </row>
    <row r="38" spans="1:12" s="2" customFormat="1" ht="30" customHeight="1" x14ac:dyDescent="0.2">
      <c r="A38" s="171" t="s">
        <v>159</v>
      </c>
      <c r="B38" s="887">
        <f>SUM(B5:B36)</f>
        <v>7929</v>
      </c>
      <c r="C38" s="890">
        <f>SUM(C5:C36)</f>
        <v>42</v>
      </c>
      <c r="D38" s="893">
        <f>SUM(D5:D36)</f>
        <v>933</v>
      </c>
      <c r="E38" s="859"/>
      <c r="F38" s="887">
        <f>SUM(F5:F36)</f>
        <v>2725</v>
      </c>
      <c r="G38" s="890">
        <f>SUM(G5:G36)</f>
        <v>2</v>
      </c>
      <c r="H38" s="893">
        <f>SUM(H5:H36)</f>
        <v>180</v>
      </c>
      <c r="I38" s="859"/>
      <c r="J38" s="887">
        <f>SUM(J5:J36)</f>
        <v>10654</v>
      </c>
      <c r="K38" s="890">
        <f t="shared" ref="K38:L38" si="4">SUM(K5:K36)</f>
        <v>44</v>
      </c>
      <c r="L38" s="893">
        <f t="shared" si="4"/>
        <v>1113</v>
      </c>
    </row>
    <row r="39" spans="1:12" s="2" customFormat="1" ht="13.5" customHeight="1" x14ac:dyDescent="0.2">
      <c r="A39" s="237"/>
      <c r="B39" s="236"/>
      <c r="C39" s="236"/>
      <c r="D39" s="236"/>
      <c r="E39" s="123"/>
      <c r="F39" s="236"/>
      <c r="G39" s="236"/>
      <c r="H39" s="236"/>
      <c r="I39" s="236"/>
      <c r="J39" s="236"/>
      <c r="K39" s="236"/>
      <c r="L39" s="236"/>
    </row>
    <row r="40" spans="1:12" s="2" customFormat="1" x14ac:dyDescent="0.2">
      <c r="A40" s="13" t="s">
        <v>162</v>
      </c>
      <c r="B40" s="55"/>
      <c r="C40" s="55"/>
      <c r="D40" s="55"/>
      <c r="E40" s="3"/>
      <c r="F40" s="55"/>
      <c r="G40" s="55"/>
      <c r="H40" s="55"/>
      <c r="I40" s="55"/>
      <c r="J40" s="55"/>
      <c r="K40" s="55"/>
      <c r="L40" s="55"/>
    </row>
    <row r="41" spans="1:12" s="53" customFormat="1" x14ac:dyDescent="0.2">
      <c r="A41" s="1649" t="s">
        <v>963</v>
      </c>
      <c r="B41" s="1649"/>
      <c r="C41" s="1649"/>
      <c r="D41" s="1649"/>
      <c r="E41" s="1649"/>
      <c r="F41" s="1649"/>
      <c r="G41" s="1649"/>
      <c r="H41" s="1649"/>
      <c r="I41" s="1649"/>
      <c r="J41" s="1649"/>
      <c r="K41" s="1649"/>
      <c r="L41" s="54"/>
    </row>
    <row r="42" spans="1:12" s="53" customFormat="1" x14ac:dyDescent="0.2">
      <c r="A42" s="292"/>
      <c r="B42" s="54"/>
      <c r="C42" s="54"/>
      <c r="D42" s="54"/>
      <c r="F42" s="54"/>
      <c r="G42" s="54"/>
      <c r="H42" s="54"/>
      <c r="I42" s="54"/>
      <c r="J42" s="54"/>
      <c r="K42" s="54"/>
      <c r="L42" s="54"/>
    </row>
    <row r="43" spans="1:12" ht="38.25" customHeight="1" x14ac:dyDescent="0.2">
      <c r="A43" s="1713" t="s">
        <v>760</v>
      </c>
      <c r="B43" s="1713"/>
      <c r="C43" s="1713"/>
      <c r="D43" s="1713"/>
      <c r="E43" s="1713"/>
      <c r="F43" s="1713"/>
      <c r="G43" s="1713"/>
      <c r="H43" s="1713"/>
      <c r="I43" s="1713"/>
      <c r="J43" s="201"/>
      <c r="K43" s="201"/>
      <c r="L43" s="201"/>
    </row>
    <row r="44" spans="1:12" ht="15" customHeight="1" x14ac:dyDescent="0.2">
      <c r="D44" s="146" t="s">
        <v>58</v>
      </c>
    </row>
    <row r="45" spans="1:12" ht="38.25" x14ac:dyDescent="0.2">
      <c r="A45" s="4" t="s">
        <v>22</v>
      </c>
      <c r="B45" s="117" t="s">
        <v>110</v>
      </c>
      <c r="C45" s="117" t="s">
        <v>111</v>
      </c>
      <c r="D45" s="102" t="s">
        <v>132</v>
      </c>
      <c r="G45"/>
    </row>
    <row r="46" spans="1:12" ht="18.75" customHeight="1" x14ac:dyDescent="0.2">
      <c r="A46" s="355" t="s">
        <v>23</v>
      </c>
      <c r="B46" s="433">
        <f>D5/B5*1000</f>
        <v>64.788732394366193</v>
      </c>
      <c r="C46" s="434">
        <f>H5/F5*1000</f>
        <v>90</v>
      </c>
      <c r="D46" s="389">
        <f>L5/J5*1000</f>
        <v>70.329670329670336</v>
      </c>
      <c r="G46"/>
    </row>
    <row r="47" spans="1:12" ht="13.5" customHeight="1" x14ac:dyDescent="0.2">
      <c r="A47" s="5" t="s">
        <v>24</v>
      </c>
      <c r="B47" s="88">
        <f t="shared" ref="B47:B77" si="5">D6/B6*1000</f>
        <v>127.90697674418605</v>
      </c>
      <c r="C47" s="107">
        <f t="shared" ref="C47:C77" si="6">H6/F6*1000</f>
        <v>40</v>
      </c>
      <c r="D47" s="89">
        <f>L6/J6*1000</f>
        <v>116.751269035533</v>
      </c>
      <c r="G47"/>
    </row>
    <row r="48" spans="1:12" ht="13.5" customHeight="1" x14ac:dyDescent="0.2">
      <c r="A48" s="355" t="s">
        <v>25</v>
      </c>
      <c r="B48" s="433">
        <f t="shared" si="5"/>
        <v>150.37593984962405</v>
      </c>
      <c r="C48" s="434">
        <f t="shared" si="6"/>
        <v>33.333333333333336</v>
      </c>
      <c r="D48" s="389">
        <f t="shared" ref="D48:D77" si="7">L7/J7*1000</f>
        <v>128.83435582822085</v>
      </c>
      <c r="G48"/>
    </row>
    <row r="49" spans="1:7" ht="13.5" customHeight="1" x14ac:dyDescent="0.2">
      <c r="A49" s="5" t="s">
        <v>26</v>
      </c>
      <c r="B49" s="88">
        <f t="shared" si="5"/>
        <v>113.20754716981132</v>
      </c>
      <c r="C49" s="107">
        <f t="shared" si="6"/>
        <v>80</v>
      </c>
      <c r="D49" s="89">
        <f t="shared" si="7"/>
        <v>108.69565217391305</v>
      </c>
      <c r="G49"/>
    </row>
    <row r="50" spans="1:7" ht="13.5" customHeight="1" x14ac:dyDescent="0.2">
      <c r="A50" s="355" t="s">
        <v>27</v>
      </c>
      <c r="B50" s="433">
        <f t="shared" si="5"/>
        <v>115.94202898550725</v>
      </c>
      <c r="C50" s="434">
        <f t="shared" si="6"/>
        <v>41.666666666666664</v>
      </c>
      <c r="D50" s="389">
        <f t="shared" si="7"/>
        <v>96.774193548387089</v>
      </c>
      <c r="G50"/>
    </row>
    <row r="51" spans="1:7" ht="13.5" customHeight="1" x14ac:dyDescent="0.2">
      <c r="A51" s="5" t="s">
        <v>28</v>
      </c>
      <c r="B51" s="88">
        <f t="shared" si="5"/>
        <v>25.125628140703519</v>
      </c>
      <c r="C51" s="107">
        <f t="shared" si="6"/>
        <v>27.027027027027028</v>
      </c>
      <c r="D51" s="89">
        <f t="shared" si="7"/>
        <v>25.423728813559325</v>
      </c>
      <c r="G51"/>
    </row>
    <row r="52" spans="1:7" ht="13.5" customHeight="1" x14ac:dyDescent="0.2">
      <c r="A52" s="355" t="s">
        <v>29</v>
      </c>
      <c r="B52" s="433">
        <f t="shared" si="5"/>
        <v>125.46125461254611</v>
      </c>
      <c r="C52" s="434">
        <f t="shared" si="6"/>
        <v>54.794520547945204</v>
      </c>
      <c r="D52" s="389">
        <f t="shared" si="7"/>
        <v>110.46511627906978</v>
      </c>
      <c r="G52"/>
    </row>
    <row r="53" spans="1:7" ht="13.5" customHeight="1" x14ac:dyDescent="0.2">
      <c r="A53" s="5" t="s">
        <v>30</v>
      </c>
      <c r="B53" s="88">
        <f t="shared" si="5"/>
        <v>180.45112781954887</v>
      </c>
      <c r="C53" s="107">
        <f t="shared" si="6"/>
        <v>148.93617021276594</v>
      </c>
      <c r="D53" s="89">
        <f t="shared" si="7"/>
        <v>172.22222222222223</v>
      </c>
      <c r="G53"/>
    </row>
    <row r="54" spans="1:7" ht="13.5" customHeight="1" x14ac:dyDescent="0.2">
      <c r="A54" s="355" t="s">
        <v>31</v>
      </c>
      <c r="B54" s="433">
        <f t="shared" si="5"/>
        <v>158.41584158415841</v>
      </c>
      <c r="C54" s="434">
        <f t="shared" si="6"/>
        <v>17.543859649122805</v>
      </c>
      <c r="D54" s="389">
        <f t="shared" si="7"/>
        <v>107.59493670886076</v>
      </c>
      <c r="G54"/>
    </row>
    <row r="55" spans="1:7" ht="13.5" customHeight="1" x14ac:dyDescent="0.2">
      <c r="A55" s="5" t="s">
        <v>32</v>
      </c>
      <c r="B55" s="88">
        <f t="shared" si="5"/>
        <v>92.307692307692307</v>
      </c>
      <c r="C55" s="107">
        <f t="shared" si="6"/>
        <v>0</v>
      </c>
      <c r="D55" s="89">
        <f t="shared" si="7"/>
        <v>63.492063492063487</v>
      </c>
      <c r="G55"/>
    </row>
    <row r="56" spans="1:7" ht="13.5" customHeight="1" x14ac:dyDescent="0.2">
      <c r="A56" s="355" t="s">
        <v>33</v>
      </c>
      <c r="B56" s="433">
        <f t="shared" si="5"/>
        <v>63.063063063063055</v>
      </c>
      <c r="C56" s="434">
        <f t="shared" si="6"/>
        <v>105.26315789473684</v>
      </c>
      <c r="D56" s="389">
        <f t="shared" si="7"/>
        <v>69.230769230769241</v>
      </c>
      <c r="G56"/>
    </row>
    <row r="57" spans="1:7" ht="13.5" customHeight="1" x14ac:dyDescent="0.2">
      <c r="A57" s="5" t="s">
        <v>137</v>
      </c>
      <c r="B57" s="88">
        <f t="shared" si="5"/>
        <v>105.12129380053908</v>
      </c>
      <c r="C57" s="107">
        <f t="shared" si="6"/>
        <v>43.918918918918919</v>
      </c>
      <c r="D57" s="89">
        <f t="shared" si="7"/>
        <v>87.668593448940257</v>
      </c>
      <c r="G57"/>
    </row>
    <row r="58" spans="1:7" ht="13.5" customHeight="1" x14ac:dyDescent="0.2">
      <c r="A58" s="355" t="s">
        <v>34</v>
      </c>
      <c r="B58" s="433">
        <f t="shared" si="5"/>
        <v>105.52763819095478</v>
      </c>
      <c r="C58" s="434">
        <f t="shared" si="6"/>
        <v>55.55555555555555</v>
      </c>
      <c r="D58" s="389">
        <f t="shared" si="7"/>
        <v>84.548104956268219</v>
      </c>
      <c r="G58"/>
    </row>
    <row r="59" spans="1:7" ht="13.5" customHeight="1" x14ac:dyDescent="0.2">
      <c r="A59" s="5" t="s">
        <v>35</v>
      </c>
      <c r="B59" s="88">
        <f t="shared" si="5"/>
        <v>72.834645669291334</v>
      </c>
      <c r="C59" s="107">
        <f t="shared" si="6"/>
        <v>19.607843137254903</v>
      </c>
      <c r="D59" s="89">
        <f t="shared" si="7"/>
        <v>60.514372163388806</v>
      </c>
      <c r="G59"/>
    </row>
    <row r="60" spans="1:7" ht="13.5" customHeight="1" x14ac:dyDescent="0.2">
      <c r="A60" s="355" t="s">
        <v>36</v>
      </c>
      <c r="B60" s="433">
        <f t="shared" si="5"/>
        <v>136.39968279143537</v>
      </c>
      <c r="C60" s="434">
        <f t="shared" si="6"/>
        <v>91.517857142857139</v>
      </c>
      <c r="D60" s="389">
        <f t="shared" si="7"/>
        <v>124.63428905792861</v>
      </c>
      <c r="G60"/>
    </row>
    <row r="61" spans="1:7" ht="13.5" customHeight="1" x14ac:dyDescent="0.2">
      <c r="A61" s="5" t="s">
        <v>37</v>
      </c>
      <c r="B61" s="88">
        <f t="shared" si="5"/>
        <v>118.69436201780415</v>
      </c>
      <c r="C61" s="107">
        <f t="shared" si="6"/>
        <v>43.478260869565219</v>
      </c>
      <c r="D61" s="89">
        <f t="shared" si="7"/>
        <v>113.88888888888889</v>
      </c>
      <c r="G61"/>
    </row>
    <row r="62" spans="1:7" ht="13.5" customHeight="1" x14ac:dyDescent="0.2">
      <c r="A62" s="355" t="s">
        <v>38</v>
      </c>
      <c r="B62" s="433">
        <f t="shared" si="5"/>
        <v>113.82113821138211</v>
      </c>
      <c r="C62" s="434">
        <f t="shared" si="6"/>
        <v>136.36363636363635</v>
      </c>
      <c r="D62" s="389">
        <f t="shared" si="7"/>
        <v>121.69312169312168</v>
      </c>
      <c r="G62"/>
    </row>
    <row r="63" spans="1:7" ht="13.5" customHeight="1" x14ac:dyDescent="0.2">
      <c r="A63" s="435" t="s">
        <v>39</v>
      </c>
      <c r="B63" s="88">
        <f t="shared" si="5"/>
        <v>120.68965517241379</v>
      </c>
      <c r="C63" s="107">
        <f t="shared" si="6"/>
        <v>10.526315789473683</v>
      </c>
      <c r="D63" s="89">
        <f t="shared" si="7"/>
        <v>71.090047393364927</v>
      </c>
      <c r="G63"/>
    </row>
    <row r="64" spans="1:7" ht="13.5" customHeight="1" x14ac:dyDescent="0.2">
      <c r="A64" s="355" t="s">
        <v>40</v>
      </c>
      <c r="B64" s="433">
        <f t="shared" si="5"/>
        <v>191.01123595505618</v>
      </c>
      <c r="C64" s="434">
        <f t="shared" si="6"/>
        <v>160</v>
      </c>
      <c r="D64" s="389">
        <f t="shared" si="7"/>
        <v>184.21052631578945</v>
      </c>
      <c r="G64"/>
    </row>
    <row r="65" spans="1:7" ht="13.5" customHeight="1" x14ac:dyDescent="0.2">
      <c r="A65" s="5" t="s">
        <v>393</v>
      </c>
      <c r="B65" s="88">
        <f t="shared" si="5"/>
        <v>55.55555555555555</v>
      </c>
      <c r="C65" s="107">
        <f>H24/F24*1000</f>
        <v>0</v>
      </c>
      <c r="D65" s="89">
        <f t="shared" si="7"/>
        <v>51.282051282051277</v>
      </c>
      <c r="G65"/>
    </row>
    <row r="66" spans="1:7" ht="13.5" customHeight="1" x14ac:dyDescent="0.2">
      <c r="A66" s="355" t="s">
        <v>41</v>
      </c>
      <c r="B66" s="433">
        <f t="shared" si="5"/>
        <v>90.090090090090087</v>
      </c>
      <c r="C66" s="434">
        <f t="shared" si="6"/>
        <v>0</v>
      </c>
      <c r="D66" s="389">
        <f t="shared" si="7"/>
        <v>73.529411764705884</v>
      </c>
      <c r="G66"/>
    </row>
    <row r="67" spans="1:7" ht="13.5" customHeight="1" x14ac:dyDescent="0.2">
      <c r="A67" s="5" t="s">
        <v>42</v>
      </c>
      <c r="B67" s="88">
        <f t="shared" si="5"/>
        <v>194.19642857142858</v>
      </c>
      <c r="C67" s="107">
        <f t="shared" si="6"/>
        <v>52.631578947368418</v>
      </c>
      <c r="D67" s="89">
        <f t="shared" si="7"/>
        <v>149.1628614916286</v>
      </c>
      <c r="G67"/>
    </row>
    <row r="68" spans="1:7" ht="13.5" customHeight="1" x14ac:dyDescent="0.2">
      <c r="A68" s="355" t="s">
        <v>43</v>
      </c>
      <c r="B68" s="433">
        <f t="shared" si="5"/>
        <v>266.66666666666669</v>
      </c>
      <c r="C68" s="434">
        <f>IFERROR(H27/F27*1000, 0)</f>
        <v>0</v>
      </c>
      <c r="D68" s="389">
        <f t="shared" si="7"/>
        <v>266.66666666666669</v>
      </c>
      <c r="G68"/>
    </row>
    <row r="69" spans="1:7" ht="13.5" customHeight="1" x14ac:dyDescent="0.2">
      <c r="A69" s="5" t="s">
        <v>44</v>
      </c>
      <c r="B69" s="88">
        <f t="shared" si="5"/>
        <v>106.28019323671498</v>
      </c>
      <c r="C69" s="107">
        <f t="shared" si="6"/>
        <v>0</v>
      </c>
      <c r="D69" s="89">
        <f t="shared" si="7"/>
        <v>94.01709401709401</v>
      </c>
      <c r="G69"/>
    </row>
    <row r="70" spans="1:7" ht="13.5" customHeight="1" x14ac:dyDescent="0.2">
      <c r="A70" s="355" t="s">
        <v>45</v>
      </c>
      <c r="B70" s="433">
        <f t="shared" si="5"/>
        <v>109.54063604240282</v>
      </c>
      <c r="C70" s="434">
        <f t="shared" si="6"/>
        <v>97.345132743362825</v>
      </c>
      <c r="D70" s="389">
        <f t="shared" si="7"/>
        <v>106.06060606060606</v>
      </c>
      <c r="G70"/>
    </row>
    <row r="71" spans="1:7" ht="13.5" customHeight="1" x14ac:dyDescent="0.2">
      <c r="A71" s="30" t="s">
        <v>46</v>
      </c>
      <c r="B71" s="88">
        <f t="shared" si="5"/>
        <v>101.35135135135135</v>
      </c>
      <c r="C71" s="107">
        <f t="shared" si="6"/>
        <v>35.714285714285715</v>
      </c>
      <c r="D71" s="89">
        <f t="shared" si="7"/>
        <v>83.333333333333329</v>
      </c>
      <c r="G71"/>
    </row>
    <row r="72" spans="1:7" ht="13.5" customHeight="1" x14ac:dyDescent="0.2">
      <c r="A72" s="355" t="s">
        <v>47</v>
      </c>
      <c r="B72" s="433">
        <f t="shared" si="5"/>
        <v>187.5</v>
      </c>
      <c r="C72" s="434">
        <f t="shared" si="6"/>
        <v>0</v>
      </c>
      <c r="D72" s="389">
        <f t="shared" si="7"/>
        <v>181.81818181818181</v>
      </c>
      <c r="G72"/>
    </row>
    <row r="73" spans="1:7" ht="13.5" customHeight="1" x14ac:dyDescent="0.2">
      <c r="A73" s="5" t="s">
        <v>48</v>
      </c>
      <c r="B73" s="88">
        <f t="shared" si="5"/>
        <v>146.34146341463415</v>
      </c>
      <c r="C73" s="107">
        <f t="shared" si="6"/>
        <v>125</v>
      </c>
      <c r="D73" s="89">
        <f t="shared" si="7"/>
        <v>142.15686274509804</v>
      </c>
      <c r="G73"/>
    </row>
    <row r="74" spans="1:7" ht="13.5" customHeight="1" x14ac:dyDescent="0.2">
      <c r="A74" s="355" t="s">
        <v>49</v>
      </c>
      <c r="B74" s="433">
        <f t="shared" si="5"/>
        <v>127.18204488778053</v>
      </c>
      <c r="C74" s="434">
        <f t="shared" si="6"/>
        <v>98.901098901098891</v>
      </c>
      <c r="D74" s="389">
        <f t="shared" si="7"/>
        <v>118.3533447684391</v>
      </c>
      <c r="G74"/>
    </row>
    <row r="75" spans="1:7" ht="13.5" customHeight="1" x14ac:dyDescent="0.2">
      <c r="A75" s="5" t="s">
        <v>50</v>
      </c>
      <c r="B75" s="88">
        <f t="shared" si="5"/>
        <v>147.05882352941177</v>
      </c>
      <c r="C75" s="107">
        <f t="shared" si="6"/>
        <v>102.56410256410255</v>
      </c>
      <c r="D75" s="89">
        <f t="shared" si="7"/>
        <v>137.14285714285714</v>
      </c>
      <c r="G75"/>
    </row>
    <row r="76" spans="1:7" ht="13.5" customHeight="1" x14ac:dyDescent="0.2">
      <c r="A76" s="355" t="s">
        <v>51</v>
      </c>
      <c r="B76" s="433">
        <f t="shared" si="5"/>
        <v>90.452261306532662</v>
      </c>
      <c r="C76" s="434">
        <f t="shared" si="6"/>
        <v>100</v>
      </c>
      <c r="D76" s="389">
        <f t="shared" si="7"/>
        <v>92.936802973977692</v>
      </c>
      <c r="G76"/>
    </row>
    <row r="77" spans="1:7" ht="13.5" customHeight="1" x14ac:dyDescent="0.2">
      <c r="A77" s="5" t="s">
        <v>52</v>
      </c>
      <c r="B77" s="88">
        <f t="shared" si="5"/>
        <v>112.40310077519381</v>
      </c>
      <c r="C77" s="107">
        <f t="shared" si="6"/>
        <v>73.170731707317074</v>
      </c>
      <c r="D77" s="89">
        <f t="shared" si="7"/>
        <v>97.156398104265406</v>
      </c>
      <c r="G77"/>
    </row>
    <row r="78" spans="1:7" ht="13.5" customHeight="1" x14ac:dyDescent="0.2">
      <c r="A78" s="411"/>
      <c r="B78" s="433"/>
      <c r="C78" s="434"/>
      <c r="D78" s="389"/>
      <c r="G78"/>
    </row>
    <row r="79" spans="1:7" ht="30" customHeight="1" x14ac:dyDescent="0.2">
      <c r="A79" s="171" t="s">
        <v>159</v>
      </c>
      <c r="B79" s="233">
        <f>D38/B38*1000</f>
        <v>117.66931517215286</v>
      </c>
      <c r="C79" s="252">
        <f>H38/F38*1000</f>
        <v>66.055045871559642</v>
      </c>
      <c r="D79" s="233">
        <f>L38/J38*1000</f>
        <v>104.46780551905388</v>
      </c>
      <c r="G79"/>
    </row>
    <row r="81" spans="1:11" x14ac:dyDescent="0.2">
      <c r="A81" s="13" t="s">
        <v>162</v>
      </c>
    </row>
    <row r="82" spans="1:11" x14ac:dyDescent="0.2">
      <c r="A82" s="1649" t="s">
        <v>963</v>
      </c>
      <c r="B82" s="1649"/>
      <c r="C82" s="1649"/>
      <c r="D82" s="1649"/>
      <c r="E82" s="1649"/>
      <c r="F82" s="1649"/>
      <c r="G82" s="1649"/>
      <c r="H82" s="1649"/>
      <c r="I82" s="1649"/>
      <c r="J82" s="1649"/>
      <c r="K82" s="1649"/>
    </row>
    <row r="83" spans="1:11" x14ac:dyDescent="0.2">
      <c r="A83" s="21"/>
    </row>
    <row r="84" spans="1:11" x14ac:dyDescent="0.2">
      <c r="A84" s="51" t="s">
        <v>136</v>
      </c>
    </row>
  </sheetData>
  <sheetProtection algorithmName="SHA-512" hashValue="0Y9FMtZcyH9cWAj/Fxv45GJQ1Nj2HE+zfet1z4AuYGIzjNUNUcPcAyJJ1yzwSbb10Je2bU4N6xqu5gOAhExJ2g==" saltValue="g8M18Gc/WvClOjWCuaLW0w==" spinCount="100000" sheet="1" objects="1" scenarios="1"/>
  <mergeCells count="7">
    <mergeCell ref="A82:K82"/>
    <mergeCell ref="A1:G1"/>
    <mergeCell ref="A43:I43"/>
    <mergeCell ref="B3:D3"/>
    <mergeCell ref="F3:H3"/>
    <mergeCell ref="J3:L3"/>
    <mergeCell ref="A41:K41"/>
  </mergeCells>
  <hyperlinks>
    <hyperlink ref="A84" location="Contents!A1" display="Return to contents " xr:uid="{00000000-0004-0000-39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rowBreaks count="1" manualBreakCount="1">
    <brk id="42" max="13" man="1"/>
  </rowBreaks>
  <drawing r:id="rId2"/>
  <extLst>
    <ext xmlns:x14="http://schemas.microsoft.com/office/spreadsheetml/2009/9/main" uri="{A8765BA9-456A-4dab-B4F3-ACF838C121DE}">
      <x14:slicerList>
        <x14:slicer r:id="rId3"/>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5"/>
  <dimension ref="A2:J39"/>
  <sheetViews>
    <sheetView workbookViewId="0">
      <selection activeCell="C20" sqref="C20"/>
    </sheetView>
  </sheetViews>
  <sheetFormatPr defaultRowHeight="12.75" x14ac:dyDescent="0.2"/>
  <cols>
    <col min="1" max="1" width="20.28515625" bestFit="1" customWidth="1"/>
    <col min="2" max="2" width="17" bestFit="1" customWidth="1"/>
    <col min="3" max="3" width="13.7109375" bestFit="1" customWidth="1"/>
    <col min="4" max="4" width="17.28515625" bestFit="1" customWidth="1"/>
    <col min="5" max="5" width="13.5703125" bestFit="1" customWidth="1"/>
    <col min="6" max="6" width="13.7109375" bestFit="1" customWidth="1"/>
    <col min="7" max="7" width="17.28515625" bestFit="1" customWidth="1"/>
    <col min="8" max="8" width="18.85546875" bestFit="1" customWidth="1"/>
    <col min="9" max="9" width="19" bestFit="1" customWidth="1"/>
    <col min="10" max="10" width="22.5703125" bestFit="1" customWidth="1"/>
  </cols>
  <sheetData>
    <row r="2" spans="1:10" x14ac:dyDescent="0.2">
      <c r="A2" s="1300" t="s">
        <v>4</v>
      </c>
      <c r="B2" t="s">
        <v>603</v>
      </c>
    </row>
    <row r="4" spans="1:10" x14ac:dyDescent="0.2">
      <c r="B4" s="1300" t="s">
        <v>670</v>
      </c>
    </row>
    <row r="5" spans="1:10" x14ac:dyDescent="0.2">
      <c r="B5" t="s">
        <v>62</v>
      </c>
      <c r="E5" t="s">
        <v>118</v>
      </c>
      <c r="H5" t="s">
        <v>764</v>
      </c>
      <c r="I5" t="s">
        <v>765</v>
      </c>
      <c r="J5" t="s">
        <v>766</v>
      </c>
    </row>
    <row r="6" spans="1:10" x14ac:dyDescent="0.2">
      <c r="A6" s="1300" t="s">
        <v>658</v>
      </c>
      <c r="B6" t="s">
        <v>761</v>
      </c>
      <c r="C6" t="s">
        <v>762</v>
      </c>
      <c r="D6" t="s">
        <v>763</v>
      </c>
      <c r="E6" t="s">
        <v>761</v>
      </c>
      <c r="F6" t="s">
        <v>762</v>
      </c>
      <c r="G6" t="s">
        <v>763</v>
      </c>
    </row>
    <row r="7" spans="1:10" x14ac:dyDescent="0.2">
      <c r="A7" s="1301" t="s">
        <v>23</v>
      </c>
      <c r="B7">
        <v>355</v>
      </c>
      <c r="C7">
        <v>3</v>
      </c>
      <c r="D7">
        <v>23</v>
      </c>
      <c r="E7">
        <v>100</v>
      </c>
      <c r="G7">
        <v>9</v>
      </c>
      <c r="H7">
        <v>455</v>
      </c>
      <c r="I7">
        <v>3</v>
      </c>
      <c r="J7">
        <v>32</v>
      </c>
    </row>
    <row r="8" spans="1:10" x14ac:dyDescent="0.2">
      <c r="A8" s="1301" t="s">
        <v>24</v>
      </c>
      <c r="B8">
        <v>344</v>
      </c>
      <c r="C8">
        <v>1</v>
      </c>
      <c r="D8">
        <v>44</v>
      </c>
      <c r="E8">
        <v>50</v>
      </c>
      <c r="G8">
        <v>2</v>
      </c>
      <c r="H8">
        <v>394</v>
      </c>
      <c r="I8">
        <v>1</v>
      </c>
      <c r="J8">
        <v>46</v>
      </c>
    </row>
    <row r="9" spans="1:10" x14ac:dyDescent="0.2">
      <c r="A9" s="1301" t="s">
        <v>25</v>
      </c>
      <c r="B9">
        <v>133</v>
      </c>
      <c r="D9">
        <v>20</v>
      </c>
      <c r="E9">
        <v>30</v>
      </c>
      <c r="G9">
        <v>1</v>
      </c>
      <c r="H9">
        <v>163</v>
      </c>
      <c r="J9">
        <v>21</v>
      </c>
    </row>
    <row r="10" spans="1:10" x14ac:dyDescent="0.2">
      <c r="A10" s="1301" t="s">
        <v>26</v>
      </c>
      <c r="B10">
        <v>159</v>
      </c>
      <c r="C10">
        <v>1</v>
      </c>
      <c r="D10">
        <v>18</v>
      </c>
      <c r="E10">
        <v>25</v>
      </c>
      <c r="G10">
        <v>2</v>
      </c>
      <c r="H10">
        <v>184</v>
      </c>
      <c r="I10">
        <v>1</v>
      </c>
      <c r="J10">
        <v>20</v>
      </c>
    </row>
    <row r="11" spans="1:10" x14ac:dyDescent="0.2">
      <c r="A11" s="1301" t="s">
        <v>27</v>
      </c>
      <c r="B11">
        <v>69</v>
      </c>
      <c r="D11">
        <v>8</v>
      </c>
      <c r="E11">
        <v>24</v>
      </c>
      <c r="G11">
        <v>1</v>
      </c>
      <c r="H11">
        <v>93</v>
      </c>
      <c r="J11">
        <v>9</v>
      </c>
    </row>
    <row r="12" spans="1:10" x14ac:dyDescent="0.2">
      <c r="A12" s="1301" t="s">
        <v>28</v>
      </c>
      <c r="B12">
        <v>199</v>
      </c>
      <c r="C12">
        <v>5</v>
      </c>
      <c r="D12">
        <v>5</v>
      </c>
      <c r="E12">
        <v>37</v>
      </c>
      <c r="G12">
        <v>1</v>
      </c>
      <c r="H12">
        <v>236</v>
      </c>
      <c r="I12">
        <v>5</v>
      </c>
      <c r="J12">
        <v>6</v>
      </c>
    </row>
    <row r="13" spans="1:10" x14ac:dyDescent="0.2">
      <c r="A13" s="1301" t="s">
        <v>29</v>
      </c>
      <c r="B13">
        <v>271</v>
      </c>
      <c r="D13">
        <v>34</v>
      </c>
      <c r="E13">
        <v>73</v>
      </c>
      <c r="G13">
        <v>4</v>
      </c>
      <c r="H13">
        <v>344</v>
      </c>
      <c r="J13">
        <v>38</v>
      </c>
    </row>
    <row r="14" spans="1:10" x14ac:dyDescent="0.2">
      <c r="A14" s="1301" t="s">
        <v>30</v>
      </c>
      <c r="B14">
        <v>133</v>
      </c>
      <c r="C14">
        <v>1</v>
      </c>
      <c r="D14">
        <v>24</v>
      </c>
      <c r="E14">
        <v>47</v>
      </c>
      <c r="G14">
        <v>7</v>
      </c>
      <c r="H14">
        <v>180</v>
      </c>
      <c r="I14">
        <v>1</v>
      </c>
      <c r="J14">
        <v>31</v>
      </c>
    </row>
    <row r="15" spans="1:10" x14ac:dyDescent="0.2">
      <c r="A15" s="1301" t="s">
        <v>31</v>
      </c>
      <c r="B15">
        <v>101</v>
      </c>
      <c r="D15">
        <v>16</v>
      </c>
      <c r="E15">
        <v>57</v>
      </c>
      <c r="G15">
        <v>1</v>
      </c>
      <c r="H15">
        <v>158</v>
      </c>
      <c r="J15">
        <v>17</v>
      </c>
    </row>
    <row r="16" spans="1:10" x14ac:dyDescent="0.2">
      <c r="A16" s="1301" t="s">
        <v>32</v>
      </c>
      <c r="B16">
        <v>130</v>
      </c>
      <c r="C16">
        <v>2</v>
      </c>
      <c r="D16">
        <v>12</v>
      </c>
      <c r="E16">
        <v>59</v>
      </c>
      <c r="H16">
        <v>189</v>
      </c>
      <c r="I16">
        <v>2</v>
      </c>
      <c r="J16">
        <v>12</v>
      </c>
    </row>
    <row r="17" spans="1:10" x14ac:dyDescent="0.2">
      <c r="A17" s="1301" t="s">
        <v>33</v>
      </c>
      <c r="B17">
        <v>111</v>
      </c>
      <c r="D17">
        <v>7</v>
      </c>
      <c r="E17">
        <v>19</v>
      </c>
      <c r="G17">
        <v>2</v>
      </c>
      <c r="H17">
        <v>130</v>
      </c>
      <c r="J17">
        <v>9</v>
      </c>
    </row>
    <row r="18" spans="1:10" x14ac:dyDescent="0.2">
      <c r="A18" s="1301" t="s">
        <v>665</v>
      </c>
      <c r="B18">
        <v>742</v>
      </c>
      <c r="C18">
        <v>1</v>
      </c>
      <c r="D18">
        <v>78</v>
      </c>
      <c r="E18">
        <v>296</v>
      </c>
      <c r="G18">
        <v>13</v>
      </c>
      <c r="H18">
        <v>1038</v>
      </c>
      <c r="I18">
        <v>1</v>
      </c>
      <c r="J18">
        <v>91</v>
      </c>
    </row>
    <row r="19" spans="1:10" x14ac:dyDescent="0.2">
      <c r="A19" s="1301" t="s">
        <v>34</v>
      </c>
      <c r="B19">
        <v>199</v>
      </c>
      <c r="C19">
        <v>2</v>
      </c>
      <c r="D19">
        <v>21</v>
      </c>
      <c r="E19">
        <v>144</v>
      </c>
      <c r="G19">
        <v>8</v>
      </c>
      <c r="H19">
        <v>343</v>
      </c>
      <c r="I19">
        <v>2</v>
      </c>
      <c r="J19">
        <v>29</v>
      </c>
    </row>
    <row r="20" spans="1:10" x14ac:dyDescent="0.2">
      <c r="A20" s="1301" t="s">
        <v>35</v>
      </c>
      <c r="B20">
        <v>508</v>
      </c>
      <c r="C20">
        <v>2</v>
      </c>
      <c r="D20">
        <v>37</v>
      </c>
      <c r="E20">
        <v>153</v>
      </c>
      <c r="G20">
        <v>3</v>
      </c>
      <c r="H20">
        <v>661</v>
      </c>
      <c r="I20">
        <v>2</v>
      </c>
      <c r="J20">
        <v>40</v>
      </c>
    </row>
    <row r="21" spans="1:10" x14ac:dyDescent="0.2">
      <c r="A21" s="1301" t="s">
        <v>36</v>
      </c>
      <c r="B21">
        <v>1261</v>
      </c>
      <c r="C21">
        <v>4</v>
      </c>
      <c r="D21">
        <v>172</v>
      </c>
      <c r="E21">
        <v>448</v>
      </c>
      <c r="F21">
        <v>1</v>
      </c>
      <c r="G21">
        <v>41</v>
      </c>
      <c r="H21">
        <v>1709</v>
      </c>
      <c r="I21">
        <v>5</v>
      </c>
      <c r="J21">
        <v>213</v>
      </c>
    </row>
    <row r="22" spans="1:10" x14ac:dyDescent="0.2">
      <c r="A22" s="1301" t="s">
        <v>37</v>
      </c>
      <c r="B22">
        <v>337</v>
      </c>
      <c r="C22">
        <v>2</v>
      </c>
      <c r="D22">
        <v>40</v>
      </c>
      <c r="E22">
        <v>23</v>
      </c>
      <c r="G22">
        <v>1</v>
      </c>
      <c r="H22">
        <v>360</v>
      </c>
      <c r="I22">
        <v>2</v>
      </c>
      <c r="J22">
        <v>41</v>
      </c>
    </row>
    <row r="23" spans="1:10" x14ac:dyDescent="0.2">
      <c r="A23" s="1301" t="s">
        <v>38</v>
      </c>
      <c r="B23">
        <v>123</v>
      </c>
      <c r="D23">
        <v>14</v>
      </c>
      <c r="E23">
        <v>66</v>
      </c>
      <c r="G23">
        <v>9</v>
      </c>
      <c r="H23">
        <v>189</v>
      </c>
      <c r="J23">
        <v>23</v>
      </c>
    </row>
    <row r="24" spans="1:10" x14ac:dyDescent="0.2">
      <c r="A24" s="1301" t="s">
        <v>39</v>
      </c>
      <c r="B24">
        <v>116</v>
      </c>
      <c r="D24">
        <v>14</v>
      </c>
      <c r="E24">
        <v>95</v>
      </c>
      <c r="G24">
        <v>1</v>
      </c>
      <c r="H24">
        <v>211</v>
      </c>
      <c r="J24">
        <v>15</v>
      </c>
    </row>
    <row r="25" spans="1:10" x14ac:dyDescent="0.2">
      <c r="A25" s="1301" t="s">
        <v>40</v>
      </c>
      <c r="B25">
        <v>89</v>
      </c>
      <c r="C25">
        <v>1</v>
      </c>
      <c r="D25">
        <v>17</v>
      </c>
      <c r="E25">
        <v>25</v>
      </c>
      <c r="G25">
        <v>4</v>
      </c>
      <c r="H25">
        <v>114</v>
      </c>
      <c r="I25">
        <v>1</v>
      </c>
      <c r="J25">
        <v>21</v>
      </c>
    </row>
    <row r="26" spans="1:10" x14ac:dyDescent="0.2">
      <c r="A26" s="1301" t="s">
        <v>393</v>
      </c>
      <c r="B26">
        <v>36</v>
      </c>
      <c r="D26">
        <v>2</v>
      </c>
      <c r="E26">
        <v>3</v>
      </c>
      <c r="F26">
        <v>1</v>
      </c>
      <c r="H26">
        <v>39</v>
      </c>
      <c r="I26">
        <v>1</v>
      </c>
      <c r="J26">
        <v>2</v>
      </c>
    </row>
    <row r="27" spans="1:10" x14ac:dyDescent="0.2">
      <c r="A27" s="1301" t="s">
        <v>41</v>
      </c>
      <c r="B27">
        <v>222</v>
      </c>
      <c r="D27">
        <v>20</v>
      </c>
      <c r="E27">
        <v>50</v>
      </c>
      <c r="H27">
        <v>272</v>
      </c>
      <c r="J27">
        <v>20</v>
      </c>
    </row>
    <row r="28" spans="1:10" x14ac:dyDescent="0.2">
      <c r="A28" s="1301" t="s">
        <v>42</v>
      </c>
      <c r="B28">
        <v>448</v>
      </c>
      <c r="C28">
        <v>2</v>
      </c>
      <c r="D28">
        <v>87</v>
      </c>
      <c r="E28">
        <v>209</v>
      </c>
      <c r="G28">
        <v>11</v>
      </c>
      <c r="H28">
        <v>657</v>
      </c>
      <c r="I28">
        <v>2</v>
      </c>
      <c r="J28">
        <v>98</v>
      </c>
    </row>
    <row r="29" spans="1:10" x14ac:dyDescent="0.2">
      <c r="A29" s="1301" t="s">
        <v>43</v>
      </c>
      <c r="B29">
        <v>15</v>
      </c>
      <c r="D29">
        <v>4</v>
      </c>
      <c r="H29">
        <v>15</v>
      </c>
      <c r="J29">
        <v>4</v>
      </c>
    </row>
    <row r="30" spans="1:10" x14ac:dyDescent="0.2">
      <c r="A30" s="1301" t="s">
        <v>44</v>
      </c>
      <c r="B30">
        <v>207</v>
      </c>
      <c r="D30">
        <v>22</v>
      </c>
      <c r="E30">
        <v>27</v>
      </c>
      <c r="H30">
        <v>234</v>
      </c>
      <c r="J30">
        <v>22</v>
      </c>
    </row>
    <row r="31" spans="1:10" x14ac:dyDescent="0.2">
      <c r="A31" s="1301" t="s">
        <v>45</v>
      </c>
      <c r="B31">
        <v>283</v>
      </c>
      <c r="C31">
        <v>1</v>
      </c>
      <c r="D31">
        <v>31</v>
      </c>
      <c r="E31">
        <v>113</v>
      </c>
      <c r="G31">
        <v>11</v>
      </c>
      <c r="H31">
        <v>396</v>
      </c>
      <c r="I31">
        <v>1</v>
      </c>
      <c r="J31">
        <v>42</v>
      </c>
    </row>
    <row r="32" spans="1:10" x14ac:dyDescent="0.2">
      <c r="A32" s="1301" t="s">
        <v>46</v>
      </c>
      <c r="B32">
        <v>148</v>
      </c>
      <c r="C32">
        <v>1</v>
      </c>
      <c r="D32">
        <v>15</v>
      </c>
      <c r="E32">
        <v>56</v>
      </c>
      <c r="G32">
        <v>2</v>
      </c>
      <c r="H32">
        <v>204</v>
      </c>
      <c r="I32">
        <v>1</v>
      </c>
      <c r="J32">
        <v>17</v>
      </c>
    </row>
    <row r="33" spans="1:10" x14ac:dyDescent="0.2">
      <c r="A33" s="1301" t="s">
        <v>47</v>
      </c>
      <c r="B33">
        <v>32</v>
      </c>
      <c r="D33">
        <v>6</v>
      </c>
      <c r="E33">
        <v>1</v>
      </c>
      <c r="H33">
        <v>33</v>
      </c>
      <c r="J33">
        <v>6</v>
      </c>
    </row>
    <row r="34" spans="1:10" x14ac:dyDescent="0.2">
      <c r="A34" s="1301" t="s">
        <v>48</v>
      </c>
      <c r="B34">
        <v>164</v>
      </c>
      <c r="C34">
        <v>4</v>
      </c>
      <c r="D34">
        <v>24</v>
      </c>
      <c r="E34">
        <v>40</v>
      </c>
      <c r="G34">
        <v>5</v>
      </c>
      <c r="H34">
        <v>204</v>
      </c>
      <c r="I34">
        <v>4</v>
      </c>
      <c r="J34">
        <v>29</v>
      </c>
    </row>
    <row r="35" spans="1:10" x14ac:dyDescent="0.2">
      <c r="A35" s="1301" t="s">
        <v>49</v>
      </c>
      <c r="B35">
        <v>401</v>
      </c>
      <c r="C35">
        <v>4</v>
      </c>
      <c r="D35">
        <v>51</v>
      </c>
      <c r="E35">
        <v>182</v>
      </c>
      <c r="G35">
        <v>18</v>
      </c>
      <c r="H35">
        <v>583</v>
      </c>
      <c r="I35">
        <v>4</v>
      </c>
      <c r="J35">
        <v>69</v>
      </c>
    </row>
    <row r="36" spans="1:10" x14ac:dyDescent="0.2">
      <c r="A36" s="1301" t="s">
        <v>50</v>
      </c>
      <c r="B36">
        <v>136</v>
      </c>
      <c r="C36">
        <v>2</v>
      </c>
      <c r="D36">
        <v>20</v>
      </c>
      <c r="E36">
        <v>39</v>
      </c>
      <c r="G36">
        <v>4</v>
      </c>
      <c r="H36">
        <v>175</v>
      </c>
      <c r="I36">
        <v>2</v>
      </c>
      <c r="J36">
        <v>24</v>
      </c>
    </row>
    <row r="37" spans="1:10" x14ac:dyDescent="0.2">
      <c r="A37" s="1301" t="s">
        <v>51</v>
      </c>
      <c r="B37">
        <v>199</v>
      </c>
      <c r="C37">
        <v>3</v>
      </c>
      <c r="D37">
        <v>18</v>
      </c>
      <c r="E37">
        <v>70</v>
      </c>
      <c r="G37">
        <v>7</v>
      </c>
      <c r="H37">
        <v>269</v>
      </c>
      <c r="I37">
        <v>3</v>
      </c>
      <c r="J37">
        <v>25</v>
      </c>
    </row>
    <row r="38" spans="1:10" x14ac:dyDescent="0.2">
      <c r="A38" s="1301" t="s">
        <v>52</v>
      </c>
      <c r="B38">
        <v>258</v>
      </c>
      <c r="D38">
        <v>29</v>
      </c>
      <c r="E38">
        <v>164</v>
      </c>
      <c r="G38">
        <v>12</v>
      </c>
      <c r="H38">
        <v>422</v>
      </c>
      <c r="J38">
        <v>41</v>
      </c>
    </row>
    <row r="39" spans="1:10" x14ac:dyDescent="0.2">
      <c r="A39" s="1301" t="s">
        <v>666</v>
      </c>
      <c r="B39">
        <v>7929</v>
      </c>
      <c r="C39">
        <v>42</v>
      </c>
      <c r="D39">
        <v>933</v>
      </c>
      <c r="E39">
        <v>2725</v>
      </c>
      <c r="F39">
        <v>2</v>
      </c>
      <c r="G39">
        <v>180</v>
      </c>
      <c r="H39">
        <v>10654</v>
      </c>
      <c r="I39">
        <v>44</v>
      </c>
      <c r="J39">
        <v>1113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60000"/>
    <pageSetUpPr fitToPage="1"/>
  </sheetPr>
  <dimension ref="A1:I33"/>
  <sheetViews>
    <sheetView showGridLines="0" workbookViewId="0"/>
  </sheetViews>
  <sheetFormatPr defaultRowHeight="12.75" x14ac:dyDescent="0.2"/>
  <sheetData>
    <row r="1" spans="1:4" ht="38.25" customHeight="1" x14ac:dyDescent="0.35">
      <c r="A1" s="1259" t="s">
        <v>927</v>
      </c>
    </row>
    <row r="4" spans="1:4" x14ac:dyDescent="0.2">
      <c r="C4" t="s">
        <v>4</v>
      </c>
      <c r="D4" t="s">
        <v>351</v>
      </c>
    </row>
    <row r="5" spans="1:4" x14ac:dyDescent="0.2">
      <c r="C5" s="768" t="str">
        <f>'Long-Term Trend'!A9</f>
        <v>1994-95</v>
      </c>
      <c r="D5" s="768">
        <f>'Long-Term Trend'!L9</f>
        <v>1895</v>
      </c>
    </row>
    <row r="6" spans="1:4" x14ac:dyDescent="0.2">
      <c r="C6" s="768" t="str">
        <f>'Long-Term Trend'!A10</f>
        <v>1995-96</v>
      </c>
      <c r="D6" s="768">
        <f>'Long-Term Trend'!L10</f>
        <v>1880</v>
      </c>
    </row>
    <row r="7" spans="1:4" x14ac:dyDescent="0.2">
      <c r="C7" s="768" t="str">
        <f>'Long-Term Trend'!A11</f>
        <v>1996-97</v>
      </c>
      <c r="D7" s="768">
        <f>'Long-Term Trend'!L11</f>
        <v>2097</v>
      </c>
    </row>
    <row r="8" spans="1:4" x14ac:dyDescent="0.2">
      <c r="C8" s="768" t="str">
        <f>'Long-Term Trend'!A12</f>
        <v>1997-98</v>
      </c>
      <c r="D8" s="768">
        <f>'Long-Term Trend'!L12</f>
        <v>2118</v>
      </c>
    </row>
    <row r="9" spans="1:4" x14ac:dyDescent="0.2">
      <c r="C9" s="768" t="str">
        <f>'Long-Term Trend'!A13</f>
        <v>1998-99</v>
      </c>
      <c r="D9" s="768">
        <f>'Long-Term Trend'!L13</f>
        <v>2171</v>
      </c>
    </row>
    <row r="10" spans="1:4" x14ac:dyDescent="0.2">
      <c r="C10" s="768" t="str">
        <f>'Long-Term Trend'!A14</f>
        <v>1999-00</v>
      </c>
      <c r="D10" s="768">
        <f>'Long-Term Trend'!L14</f>
        <v>2366</v>
      </c>
    </row>
    <row r="11" spans="1:4" x14ac:dyDescent="0.2">
      <c r="C11" s="768" t="str">
        <f>'Long-Term Trend'!A15</f>
        <v>2000-01</v>
      </c>
      <c r="D11" s="768">
        <f>'Long-Term Trend'!L15</f>
        <v>2245</v>
      </c>
    </row>
    <row r="12" spans="1:4" x14ac:dyDescent="0.2">
      <c r="C12" s="768" t="str">
        <f>'Long-Term Trend'!A16</f>
        <v>2001-02</v>
      </c>
      <c r="D12" s="768">
        <f>'Long-Term Trend'!L16</f>
        <v>2026</v>
      </c>
    </row>
    <row r="13" spans="1:4" x14ac:dyDescent="0.2">
      <c r="C13" s="768" t="str">
        <f>'Long-Term Trend'!A17</f>
        <v>2002-03</v>
      </c>
      <c r="D13" s="768">
        <f>'Long-Term Trend'!L17</f>
        <v>1876</v>
      </c>
    </row>
    <row r="14" spans="1:4" x14ac:dyDescent="0.2">
      <c r="C14" s="768" t="str">
        <f>'Long-Term Trend'!A18</f>
        <v>2003-04</v>
      </c>
      <c r="D14" s="768">
        <f>'Long-Term Trend'!L18</f>
        <v>1951</v>
      </c>
    </row>
    <row r="15" spans="1:4" x14ac:dyDescent="0.2">
      <c r="C15" s="768" t="str">
        <f>'Long-Term Trend'!A19</f>
        <v>2004-05</v>
      </c>
      <c r="D15" s="768">
        <f>'Long-Term Trend'!L19</f>
        <v>1730</v>
      </c>
    </row>
    <row r="16" spans="1:4" x14ac:dyDescent="0.2">
      <c r="C16" s="768" t="str">
        <f>'Long-Term Trend'!A20</f>
        <v>2005-06</v>
      </c>
      <c r="D16" s="768">
        <f>'Long-Term Trend'!L20</f>
        <v>1692</v>
      </c>
    </row>
    <row r="17" spans="1:9" x14ac:dyDescent="0.2">
      <c r="C17" s="768" t="str">
        <f>'Long-Term Trend'!A21</f>
        <v>2006-07</v>
      </c>
      <c r="D17" s="768">
        <f>'Long-Term Trend'!L21</f>
        <v>1673</v>
      </c>
    </row>
    <row r="18" spans="1:9" x14ac:dyDescent="0.2">
      <c r="C18" s="768" t="str">
        <f>'Long-Term Trend'!A22</f>
        <v>2007-08</v>
      </c>
      <c r="D18" s="768">
        <f>'Long-Term Trend'!L22</f>
        <v>1719</v>
      </c>
    </row>
    <row r="19" spans="1:9" x14ac:dyDescent="0.2">
      <c r="C19" s="768" t="str">
        <f>'Long-Term Trend'!A23</f>
        <v>2008-09</v>
      </c>
      <c r="D19" s="768">
        <f>'Long-Term Trend'!L23</f>
        <v>1648</v>
      </c>
    </row>
    <row r="20" spans="1:9" x14ac:dyDescent="0.2">
      <c r="C20" s="768" t="str">
        <f>'Long-Term Trend'!A24</f>
        <v>2009-10</v>
      </c>
      <c r="D20" s="768">
        <f>'Long-Term Trend'!L24</f>
        <v>1214</v>
      </c>
    </row>
    <row r="21" spans="1:9" x14ac:dyDescent="0.2">
      <c r="C21" s="768" t="str">
        <f>'Long-Term Trend'!A25</f>
        <v>2010-11</v>
      </c>
      <c r="D21" s="768">
        <f>'Long-Term Trend'!L25</f>
        <v>1328</v>
      </c>
    </row>
    <row r="22" spans="1:9" x14ac:dyDescent="0.2">
      <c r="C22" s="768" t="str">
        <f>'Long-Term Trend'!A26</f>
        <v>2011-12</v>
      </c>
      <c r="D22" s="768">
        <f>'Long-Term Trend'!L26</f>
        <v>1416</v>
      </c>
    </row>
    <row r="23" spans="1:9" x14ac:dyDescent="0.2">
      <c r="C23" s="768" t="str">
        <f>'Long-Term Trend'!A27</f>
        <v>2012-13</v>
      </c>
      <c r="D23" s="768">
        <f>'Long-Term Trend'!L27</f>
        <v>1319</v>
      </c>
    </row>
    <row r="24" spans="1:9" x14ac:dyDescent="0.2">
      <c r="C24" s="768" t="str">
        <f>'Long-Term Trend'!A28</f>
        <v>2013-14</v>
      </c>
      <c r="D24" s="768">
        <f>'Long-Term Trend'!L28</f>
        <v>1311</v>
      </c>
    </row>
    <row r="25" spans="1:9" x14ac:dyDescent="0.2">
      <c r="C25" s="768" t="str">
        <f>'Long-Term Trend'!A29</f>
        <v>2014-15</v>
      </c>
      <c r="D25" s="768">
        <f>'Long-Term Trend'!L29</f>
        <v>1101</v>
      </c>
    </row>
    <row r="26" spans="1:9" x14ac:dyDescent="0.2">
      <c r="C26" s="768" t="str">
        <f>'Long-Term Trend'!A30</f>
        <v>2015-16</v>
      </c>
      <c r="D26" s="768">
        <f>'Long-Term Trend'!L30</f>
        <v>1276</v>
      </c>
    </row>
    <row r="27" spans="1:9" x14ac:dyDescent="0.2">
      <c r="C27" s="768" t="str">
        <f>'Long-Term Trend'!A31</f>
        <v>2016-17</v>
      </c>
      <c r="D27" s="768">
        <f>'Long-Term Trend'!L31</f>
        <v>1266</v>
      </c>
    </row>
    <row r="28" spans="1:9" x14ac:dyDescent="0.2">
      <c r="C28" s="768" t="str">
        <f>'Long-Term Trend'!A32</f>
        <v>2017-18</v>
      </c>
      <c r="D28" s="768">
        <f>'Long-Term Trend'!L32</f>
        <v>1113</v>
      </c>
    </row>
    <row r="29" spans="1:9" x14ac:dyDescent="0.2">
      <c r="C29" s="768"/>
      <c r="D29" s="768"/>
    </row>
    <row r="30" spans="1:9" ht="41.25" customHeight="1" x14ac:dyDescent="0.2">
      <c r="A30" s="1632" t="s">
        <v>401</v>
      </c>
      <c r="B30" s="1632"/>
      <c r="C30" s="1632"/>
      <c r="D30" s="1632"/>
      <c r="E30" s="1632"/>
      <c r="F30" s="1632"/>
      <c r="G30" s="1632"/>
      <c r="H30" s="1632"/>
      <c r="I30" s="1632"/>
    </row>
    <row r="31" spans="1:9" ht="33" customHeight="1" x14ac:dyDescent="0.2">
      <c r="A31" s="1632" t="s">
        <v>400</v>
      </c>
      <c r="B31" s="1632"/>
      <c r="C31" s="1632"/>
      <c r="D31" s="1632"/>
      <c r="E31" s="1632"/>
      <c r="F31" s="1632"/>
      <c r="G31" s="1632"/>
      <c r="H31" s="1632"/>
      <c r="I31" s="1632"/>
    </row>
    <row r="32" spans="1:9" x14ac:dyDescent="0.2">
      <c r="C32" s="768"/>
    </row>
    <row r="33" spans="3:3" x14ac:dyDescent="0.2">
      <c r="C33" s="768"/>
    </row>
  </sheetData>
  <sheetProtection algorithmName="SHA-512" hashValue="Cp4A576M6MIfX9hI//Xq/DT2mAEy4Mbn+bMDnO0Ld0lXNI0wzjd6lXbX8nGg53Pd+6+04U/M67nlRKTuyHiI0g==" saltValue="0v1TXP3mOgjB1F6Vm7QPzg==" spinCount="100000" sheet="1" objects="1" scenarios="1"/>
  <mergeCells count="2">
    <mergeCell ref="A30:I30"/>
    <mergeCell ref="A31:I31"/>
  </mergeCells>
  <pageMargins left="0.7" right="0.7" top="0.75" bottom="0.75" header="0.3" footer="0.3"/>
  <pageSetup paperSize="9" scale="88"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5">
    <tabColor theme="4"/>
    <pageSetUpPr fitToPage="1"/>
  </sheetPr>
  <dimension ref="A1:X30"/>
  <sheetViews>
    <sheetView showGridLines="0" zoomScaleNormal="100" workbookViewId="0">
      <pane ySplit="1" topLeftCell="A2" activePane="bottomLeft" state="frozen"/>
      <selection activeCell="M9" sqref="M9"/>
      <selection pane="bottomLeft"/>
    </sheetView>
  </sheetViews>
  <sheetFormatPr defaultRowHeight="12.75" x14ac:dyDescent="0.2"/>
  <cols>
    <col min="1" max="1" width="10.28515625" style="1" customWidth="1"/>
    <col min="2" max="2" width="11" style="1" customWidth="1"/>
    <col min="3" max="3" width="11.42578125" style="1" customWidth="1"/>
    <col min="4" max="4" width="12.140625" style="1" customWidth="1"/>
    <col min="5" max="6" width="10.42578125" style="1" customWidth="1"/>
    <col min="7" max="7" width="14.42578125" style="1" customWidth="1"/>
    <col min="8" max="8" width="14.28515625" style="1" customWidth="1"/>
    <col min="9" max="9" width="15.7109375" style="1" customWidth="1"/>
    <col min="10" max="10" width="10" style="1" customWidth="1"/>
    <col min="11" max="11" width="10.42578125" style="1" customWidth="1"/>
    <col min="12" max="12" width="12.28515625" style="1" customWidth="1"/>
    <col min="13" max="15" width="9.28515625" style="1" customWidth="1"/>
    <col min="16" max="239" width="9.140625" style="1"/>
    <col min="240" max="240" width="10.28515625" style="1" customWidth="1"/>
    <col min="241" max="241" width="11" style="1" customWidth="1"/>
    <col min="242" max="242" width="11.42578125" style="1" customWidth="1"/>
    <col min="243" max="243" width="10.7109375" style="1" customWidth="1"/>
    <col min="244" max="246" width="10.42578125" style="1" customWidth="1"/>
    <col min="247" max="247" width="13.7109375" style="1" customWidth="1"/>
    <col min="248" max="248" width="13.85546875" style="1" customWidth="1"/>
    <col min="249" max="249" width="12.140625" style="1" customWidth="1"/>
    <col min="250" max="251" width="10.42578125" style="1" customWidth="1"/>
    <col min="252" max="495" width="9.140625" style="1"/>
    <col min="496" max="496" width="10.28515625" style="1" customWidth="1"/>
    <col min="497" max="497" width="11" style="1" customWidth="1"/>
    <col min="498" max="498" width="11.42578125" style="1" customWidth="1"/>
    <col min="499" max="499" width="10.7109375" style="1" customWidth="1"/>
    <col min="500" max="502" width="10.42578125" style="1" customWidth="1"/>
    <col min="503" max="503" width="13.7109375" style="1" customWidth="1"/>
    <col min="504" max="504" width="13.85546875" style="1" customWidth="1"/>
    <col min="505" max="505" width="12.140625" style="1" customWidth="1"/>
    <col min="506" max="507" width="10.42578125" style="1" customWidth="1"/>
    <col min="508" max="751" width="9.140625" style="1"/>
    <col min="752" max="752" width="10.28515625" style="1" customWidth="1"/>
    <col min="753" max="753" width="11" style="1" customWidth="1"/>
    <col min="754" max="754" width="11.42578125" style="1" customWidth="1"/>
    <col min="755" max="755" width="10.7109375" style="1" customWidth="1"/>
    <col min="756" max="758" width="10.42578125" style="1" customWidth="1"/>
    <col min="759" max="759" width="13.7109375" style="1" customWidth="1"/>
    <col min="760" max="760" width="13.85546875" style="1" customWidth="1"/>
    <col min="761" max="761" width="12.140625" style="1" customWidth="1"/>
    <col min="762" max="763" width="10.42578125" style="1" customWidth="1"/>
    <col min="764" max="1007" width="9.140625" style="1"/>
    <col min="1008" max="1008" width="10.28515625" style="1" customWidth="1"/>
    <col min="1009" max="1009" width="11" style="1" customWidth="1"/>
    <col min="1010" max="1010" width="11.42578125" style="1" customWidth="1"/>
    <col min="1011" max="1011" width="10.7109375" style="1" customWidth="1"/>
    <col min="1012" max="1014" width="10.42578125" style="1" customWidth="1"/>
    <col min="1015" max="1015" width="13.7109375" style="1" customWidth="1"/>
    <col min="1016" max="1016" width="13.85546875" style="1" customWidth="1"/>
    <col min="1017" max="1017" width="12.140625" style="1" customWidth="1"/>
    <col min="1018" max="1019" width="10.42578125" style="1" customWidth="1"/>
    <col min="1020" max="1263" width="9.140625" style="1"/>
    <col min="1264" max="1264" width="10.28515625" style="1" customWidth="1"/>
    <col min="1265" max="1265" width="11" style="1" customWidth="1"/>
    <col min="1266" max="1266" width="11.42578125" style="1" customWidth="1"/>
    <col min="1267" max="1267" width="10.7109375" style="1" customWidth="1"/>
    <col min="1268" max="1270" width="10.42578125" style="1" customWidth="1"/>
    <col min="1271" max="1271" width="13.7109375" style="1" customWidth="1"/>
    <col min="1272" max="1272" width="13.85546875" style="1" customWidth="1"/>
    <col min="1273" max="1273" width="12.140625" style="1" customWidth="1"/>
    <col min="1274" max="1275" width="10.42578125" style="1" customWidth="1"/>
    <col min="1276" max="1519" width="9.140625" style="1"/>
    <col min="1520" max="1520" width="10.28515625" style="1" customWidth="1"/>
    <col min="1521" max="1521" width="11" style="1" customWidth="1"/>
    <col min="1522" max="1522" width="11.42578125" style="1" customWidth="1"/>
    <col min="1523" max="1523" width="10.7109375" style="1" customWidth="1"/>
    <col min="1524" max="1526" width="10.42578125" style="1" customWidth="1"/>
    <col min="1527" max="1527" width="13.7109375" style="1" customWidth="1"/>
    <col min="1528" max="1528" width="13.85546875" style="1" customWidth="1"/>
    <col min="1529" max="1529" width="12.140625" style="1" customWidth="1"/>
    <col min="1530" max="1531" width="10.42578125" style="1" customWidth="1"/>
    <col min="1532" max="1775" width="9.140625" style="1"/>
    <col min="1776" max="1776" width="10.28515625" style="1" customWidth="1"/>
    <col min="1777" max="1777" width="11" style="1" customWidth="1"/>
    <col min="1778" max="1778" width="11.42578125" style="1" customWidth="1"/>
    <col min="1779" max="1779" width="10.7109375" style="1" customWidth="1"/>
    <col min="1780" max="1782" width="10.42578125" style="1" customWidth="1"/>
    <col min="1783" max="1783" width="13.7109375" style="1" customWidth="1"/>
    <col min="1784" max="1784" width="13.85546875" style="1" customWidth="1"/>
    <col min="1785" max="1785" width="12.140625" style="1" customWidth="1"/>
    <col min="1786" max="1787" width="10.42578125" style="1" customWidth="1"/>
    <col min="1788" max="2031" width="9.140625" style="1"/>
    <col min="2032" max="2032" width="10.28515625" style="1" customWidth="1"/>
    <col min="2033" max="2033" width="11" style="1" customWidth="1"/>
    <col min="2034" max="2034" width="11.42578125" style="1" customWidth="1"/>
    <col min="2035" max="2035" width="10.7109375" style="1" customWidth="1"/>
    <col min="2036" max="2038" width="10.42578125" style="1" customWidth="1"/>
    <col min="2039" max="2039" width="13.7109375" style="1" customWidth="1"/>
    <col min="2040" max="2040" width="13.85546875" style="1" customWidth="1"/>
    <col min="2041" max="2041" width="12.140625" style="1" customWidth="1"/>
    <col min="2042" max="2043" width="10.42578125" style="1" customWidth="1"/>
    <col min="2044" max="2287" width="9.140625" style="1"/>
    <col min="2288" max="2288" width="10.28515625" style="1" customWidth="1"/>
    <col min="2289" max="2289" width="11" style="1" customWidth="1"/>
    <col min="2290" max="2290" width="11.42578125" style="1" customWidth="1"/>
    <col min="2291" max="2291" width="10.7109375" style="1" customWidth="1"/>
    <col min="2292" max="2294" width="10.42578125" style="1" customWidth="1"/>
    <col min="2295" max="2295" width="13.7109375" style="1" customWidth="1"/>
    <col min="2296" max="2296" width="13.85546875" style="1" customWidth="1"/>
    <col min="2297" max="2297" width="12.140625" style="1" customWidth="1"/>
    <col min="2298" max="2299" width="10.42578125" style="1" customWidth="1"/>
    <col min="2300" max="2543" width="9.140625" style="1"/>
    <col min="2544" max="2544" width="10.28515625" style="1" customWidth="1"/>
    <col min="2545" max="2545" width="11" style="1" customWidth="1"/>
    <col min="2546" max="2546" width="11.42578125" style="1" customWidth="1"/>
    <col min="2547" max="2547" width="10.7109375" style="1" customWidth="1"/>
    <col min="2548" max="2550" width="10.42578125" style="1" customWidth="1"/>
    <col min="2551" max="2551" width="13.7109375" style="1" customWidth="1"/>
    <col min="2552" max="2552" width="13.85546875" style="1" customWidth="1"/>
    <col min="2553" max="2553" width="12.140625" style="1" customWidth="1"/>
    <col min="2554" max="2555" width="10.42578125" style="1" customWidth="1"/>
    <col min="2556" max="2799" width="9.140625" style="1"/>
    <col min="2800" max="2800" width="10.28515625" style="1" customWidth="1"/>
    <col min="2801" max="2801" width="11" style="1" customWidth="1"/>
    <col min="2802" max="2802" width="11.42578125" style="1" customWidth="1"/>
    <col min="2803" max="2803" width="10.7109375" style="1" customWidth="1"/>
    <col min="2804" max="2806" width="10.42578125" style="1" customWidth="1"/>
    <col min="2807" max="2807" width="13.7109375" style="1" customWidth="1"/>
    <col min="2808" max="2808" width="13.85546875" style="1" customWidth="1"/>
    <col min="2809" max="2809" width="12.140625" style="1" customWidth="1"/>
    <col min="2810" max="2811" width="10.42578125" style="1" customWidth="1"/>
    <col min="2812" max="3055" width="9.140625" style="1"/>
    <col min="3056" max="3056" width="10.28515625" style="1" customWidth="1"/>
    <col min="3057" max="3057" width="11" style="1" customWidth="1"/>
    <col min="3058" max="3058" width="11.42578125" style="1" customWidth="1"/>
    <col min="3059" max="3059" width="10.7109375" style="1" customWidth="1"/>
    <col min="3060" max="3062" width="10.42578125" style="1" customWidth="1"/>
    <col min="3063" max="3063" width="13.7109375" style="1" customWidth="1"/>
    <col min="3064" max="3064" width="13.85546875" style="1" customWidth="1"/>
    <col min="3065" max="3065" width="12.140625" style="1" customWidth="1"/>
    <col min="3066" max="3067" width="10.42578125" style="1" customWidth="1"/>
    <col min="3068" max="3311" width="9.140625" style="1"/>
    <col min="3312" max="3312" width="10.28515625" style="1" customWidth="1"/>
    <col min="3313" max="3313" width="11" style="1" customWidth="1"/>
    <col min="3314" max="3314" width="11.42578125" style="1" customWidth="1"/>
    <col min="3315" max="3315" width="10.7109375" style="1" customWidth="1"/>
    <col min="3316" max="3318" width="10.42578125" style="1" customWidth="1"/>
    <col min="3319" max="3319" width="13.7109375" style="1" customWidth="1"/>
    <col min="3320" max="3320" width="13.85546875" style="1" customWidth="1"/>
    <col min="3321" max="3321" width="12.140625" style="1" customWidth="1"/>
    <col min="3322" max="3323" width="10.42578125" style="1" customWidth="1"/>
    <col min="3324" max="3567" width="9.140625" style="1"/>
    <col min="3568" max="3568" width="10.28515625" style="1" customWidth="1"/>
    <col min="3569" max="3569" width="11" style="1" customWidth="1"/>
    <col min="3570" max="3570" width="11.42578125" style="1" customWidth="1"/>
    <col min="3571" max="3571" width="10.7109375" style="1" customWidth="1"/>
    <col min="3572" max="3574" width="10.42578125" style="1" customWidth="1"/>
    <col min="3575" max="3575" width="13.7109375" style="1" customWidth="1"/>
    <col min="3576" max="3576" width="13.85546875" style="1" customWidth="1"/>
    <col min="3577" max="3577" width="12.140625" style="1" customWidth="1"/>
    <col min="3578" max="3579" width="10.42578125" style="1" customWidth="1"/>
    <col min="3580" max="3823" width="9.140625" style="1"/>
    <col min="3824" max="3824" width="10.28515625" style="1" customWidth="1"/>
    <col min="3825" max="3825" width="11" style="1" customWidth="1"/>
    <col min="3826" max="3826" width="11.42578125" style="1" customWidth="1"/>
    <col min="3827" max="3827" width="10.7109375" style="1" customWidth="1"/>
    <col min="3828" max="3830" width="10.42578125" style="1" customWidth="1"/>
    <col min="3831" max="3831" width="13.7109375" style="1" customWidth="1"/>
    <col min="3832" max="3832" width="13.85546875" style="1" customWidth="1"/>
    <col min="3833" max="3833" width="12.140625" style="1" customWidth="1"/>
    <col min="3834" max="3835" width="10.42578125" style="1" customWidth="1"/>
    <col min="3836" max="4079" width="9.140625" style="1"/>
    <col min="4080" max="4080" width="10.28515625" style="1" customWidth="1"/>
    <col min="4081" max="4081" width="11" style="1" customWidth="1"/>
    <col min="4082" max="4082" width="11.42578125" style="1" customWidth="1"/>
    <col min="4083" max="4083" width="10.7109375" style="1" customWidth="1"/>
    <col min="4084" max="4086" width="10.42578125" style="1" customWidth="1"/>
    <col min="4087" max="4087" width="13.7109375" style="1" customWidth="1"/>
    <col min="4088" max="4088" width="13.85546875" style="1" customWidth="1"/>
    <col min="4089" max="4089" width="12.140625" style="1" customWidth="1"/>
    <col min="4090" max="4091" width="10.42578125" style="1" customWidth="1"/>
    <col min="4092" max="4335" width="9.140625" style="1"/>
    <col min="4336" max="4336" width="10.28515625" style="1" customWidth="1"/>
    <col min="4337" max="4337" width="11" style="1" customWidth="1"/>
    <col min="4338" max="4338" width="11.42578125" style="1" customWidth="1"/>
    <col min="4339" max="4339" width="10.7109375" style="1" customWidth="1"/>
    <col min="4340" max="4342" width="10.42578125" style="1" customWidth="1"/>
    <col min="4343" max="4343" width="13.7109375" style="1" customWidth="1"/>
    <col min="4344" max="4344" width="13.85546875" style="1" customWidth="1"/>
    <col min="4345" max="4345" width="12.140625" style="1" customWidth="1"/>
    <col min="4346" max="4347" width="10.42578125" style="1" customWidth="1"/>
    <col min="4348" max="4591" width="9.140625" style="1"/>
    <col min="4592" max="4592" width="10.28515625" style="1" customWidth="1"/>
    <col min="4593" max="4593" width="11" style="1" customWidth="1"/>
    <col min="4594" max="4594" width="11.42578125" style="1" customWidth="1"/>
    <col min="4595" max="4595" width="10.7109375" style="1" customWidth="1"/>
    <col min="4596" max="4598" width="10.42578125" style="1" customWidth="1"/>
    <col min="4599" max="4599" width="13.7109375" style="1" customWidth="1"/>
    <col min="4600" max="4600" width="13.85546875" style="1" customWidth="1"/>
    <col min="4601" max="4601" width="12.140625" style="1" customWidth="1"/>
    <col min="4602" max="4603" width="10.42578125" style="1" customWidth="1"/>
    <col min="4604" max="4847" width="9.140625" style="1"/>
    <col min="4848" max="4848" width="10.28515625" style="1" customWidth="1"/>
    <col min="4849" max="4849" width="11" style="1" customWidth="1"/>
    <col min="4850" max="4850" width="11.42578125" style="1" customWidth="1"/>
    <col min="4851" max="4851" width="10.7109375" style="1" customWidth="1"/>
    <col min="4852" max="4854" width="10.42578125" style="1" customWidth="1"/>
    <col min="4855" max="4855" width="13.7109375" style="1" customWidth="1"/>
    <col min="4856" max="4856" width="13.85546875" style="1" customWidth="1"/>
    <col min="4857" max="4857" width="12.140625" style="1" customWidth="1"/>
    <col min="4858" max="4859" width="10.42578125" style="1" customWidth="1"/>
    <col min="4860" max="5103" width="9.140625" style="1"/>
    <col min="5104" max="5104" width="10.28515625" style="1" customWidth="1"/>
    <col min="5105" max="5105" width="11" style="1" customWidth="1"/>
    <col min="5106" max="5106" width="11.42578125" style="1" customWidth="1"/>
    <col min="5107" max="5107" width="10.7109375" style="1" customWidth="1"/>
    <col min="5108" max="5110" width="10.42578125" style="1" customWidth="1"/>
    <col min="5111" max="5111" width="13.7109375" style="1" customWidth="1"/>
    <col min="5112" max="5112" width="13.85546875" style="1" customWidth="1"/>
    <col min="5113" max="5113" width="12.140625" style="1" customWidth="1"/>
    <col min="5114" max="5115" width="10.42578125" style="1" customWidth="1"/>
    <col min="5116" max="5359" width="9.140625" style="1"/>
    <col min="5360" max="5360" width="10.28515625" style="1" customWidth="1"/>
    <col min="5361" max="5361" width="11" style="1" customWidth="1"/>
    <col min="5362" max="5362" width="11.42578125" style="1" customWidth="1"/>
    <col min="5363" max="5363" width="10.7109375" style="1" customWidth="1"/>
    <col min="5364" max="5366" width="10.42578125" style="1" customWidth="1"/>
    <col min="5367" max="5367" width="13.7109375" style="1" customWidth="1"/>
    <col min="5368" max="5368" width="13.85546875" style="1" customWidth="1"/>
    <col min="5369" max="5369" width="12.140625" style="1" customWidth="1"/>
    <col min="5370" max="5371" width="10.42578125" style="1" customWidth="1"/>
    <col min="5372" max="5615" width="9.140625" style="1"/>
    <col min="5616" max="5616" width="10.28515625" style="1" customWidth="1"/>
    <col min="5617" max="5617" width="11" style="1" customWidth="1"/>
    <col min="5618" max="5618" width="11.42578125" style="1" customWidth="1"/>
    <col min="5619" max="5619" width="10.7109375" style="1" customWidth="1"/>
    <col min="5620" max="5622" width="10.42578125" style="1" customWidth="1"/>
    <col min="5623" max="5623" width="13.7109375" style="1" customWidth="1"/>
    <col min="5624" max="5624" width="13.85546875" style="1" customWidth="1"/>
    <col min="5625" max="5625" width="12.140625" style="1" customWidth="1"/>
    <col min="5626" max="5627" width="10.42578125" style="1" customWidth="1"/>
    <col min="5628" max="5871" width="9.140625" style="1"/>
    <col min="5872" max="5872" width="10.28515625" style="1" customWidth="1"/>
    <col min="5873" max="5873" width="11" style="1" customWidth="1"/>
    <col min="5874" max="5874" width="11.42578125" style="1" customWidth="1"/>
    <col min="5875" max="5875" width="10.7109375" style="1" customWidth="1"/>
    <col min="5876" max="5878" width="10.42578125" style="1" customWidth="1"/>
    <col min="5879" max="5879" width="13.7109375" style="1" customWidth="1"/>
    <col min="5880" max="5880" width="13.85546875" style="1" customWidth="1"/>
    <col min="5881" max="5881" width="12.140625" style="1" customWidth="1"/>
    <col min="5882" max="5883" width="10.42578125" style="1" customWidth="1"/>
    <col min="5884" max="6127" width="9.140625" style="1"/>
    <col min="6128" max="6128" width="10.28515625" style="1" customWidth="1"/>
    <col min="6129" max="6129" width="11" style="1" customWidth="1"/>
    <col min="6130" max="6130" width="11.42578125" style="1" customWidth="1"/>
    <col min="6131" max="6131" width="10.7109375" style="1" customWidth="1"/>
    <col min="6132" max="6134" width="10.42578125" style="1" customWidth="1"/>
    <col min="6135" max="6135" width="13.7109375" style="1" customWidth="1"/>
    <col min="6136" max="6136" width="13.85546875" style="1" customWidth="1"/>
    <col min="6137" max="6137" width="12.140625" style="1" customWidth="1"/>
    <col min="6138" max="6139" width="10.42578125" style="1" customWidth="1"/>
    <col min="6140" max="6383" width="9.140625" style="1"/>
    <col min="6384" max="6384" width="10.28515625" style="1" customWidth="1"/>
    <col min="6385" max="6385" width="11" style="1" customWidth="1"/>
    <col min="6386" max="6386" width="11.42578125" style="1" customWidth="1"/>
    <col min="6387" max="6387" width="10.7109375" style="1" customWidth="1"/>
    <col min="6388" max="6390" width="10.42578125" style="1" customWidth="1"/>
    <col min="6391" max="6391" width="13.7109375" style="1" customWidth="1"/>
    <col min="6392" max="6392" width="13.85546875" style="1" customWidth="1"/>
    <col min="6393" max="6393" width="12.140625" style="1" customWidth="1"/>
    <col min="6394" max="6395" width="10.42578125" style="1" customWidth="1"/>
    <col min="6396" max="6639" width="9.140625" style="1"/>
    <col min="6640" max="6640" width="10.28515625" style="1" customWidth="1"/>
    <col min="6641" max="6641" width="11" style="1" customWidth="1"/>
    <col min="6642" max="6642" width="11.42578125" style="1" customWidth="1"/>
    <col min="6643" max="6643" width="10.7109375" style="1" customWidth="1"/>
    <col min="6644" max="6646" width="10.42578125" style="1" customWidth="1"/>
    <col min="6647" max="6647" width="13.7109375" style="1" customWidth="1"/>
    <col min="6648" max="6648" width="13.85546875" style="1" customWidth="1"/>
    <col min="6649" max="6649" width="12.140625" style="1" customWidth="1"/>
    <col min="6650" max="6651" width="10.42578125" style="1" customWidth="1"/>
    <col min="6652" max="6895" width="9.140625" style="1"/>
    <col min="6896" max="6896" width="10.28515625" style="1" customWidth="1"/>
    <col min="6897" max="6897" width="11" style="1" customWidth="1"/>
    <col min="6898" max="6898" width="11.42578125" style="1" customWidth="1"/>
    <col min="6899" max="6899" width="10.7109375" style="1" customWidth="1"/>
    <col min="6900" max="6902" width="10.42578125" style="1" customWidth="1"/>
    <col min="6903" max="6903" width="13.7109375" style="1" customWidth="1"/>
    <col min="6904" max="6904" width="13.85546875" style="1" customWidth="1"/>
    <col min="6905" max="6905" width="12.140625" style="1" customWidth="1"/>
    <col min="6906" max="6907" width="10.42578125" style="1" customWidth="1"/>
    <col min="6908" max="7151" width="9.140625" style="1"/>
    <col min="7152" max="7152" width="10.28515625" style="1" customWidth="1"/>
    <col min="7153" max="7153" width="11" style="1" customWidth="1"/>
    <col min="7154" max="7154" width="11.42578125" style="1" customWidth="1"/>
    <col min="7155" max="7155" width="10.7109375" style="1" customWidth="1"/>
    <col min="7156" max="7158" width="10.42578125" style="1" customWidth="1"/>
    <col min="7159" max="7159" width="13.7109375" style="1" customWidth="1"/>
    <col min="7160" max="7160" width="13.85546875" style="1" customWidth="1"/>
    <col min="7161" max="7161" width="12.140625" style="1" customWidth="1"/>
    <col min="7162" max="7163" width="10.42578125" style="1" customWidth="1"/>
    <col min="7164" max="7407" width="9.140625" style="1"/>
    <col min="7408" max="7408" width="10.28515625" style="1" customWidth="1"/>
    <col min="7409" max="7409" width="11" style="1" customWidth="1"/>
    <col min="7410" max="7410" width="11.42578125" style="1" customWidth="1"/>
    <col min="7411" max="7411" width="10.7109375" style="1" customWidth="1"/>
    <col min="7412" max="7414" width="10.42578125" style="1" customWidth="1"/>
    <col min="7415" max="7415" width="13.7109375" style="1" customWidth="1"/>
    <col min="7416" max="7416" width="13.85546875" style="1" customWidth="1"/>
    <col min="7417" max="7417" width="12.140625" style="1" customWidth="1"/>
    <col min="7418" max="7419" width="10.42578125" style="1" customWidth="1"/>
    <col min="7420" max="7663" width="9.140625" style="1"/>
    <col min="7664" max="7664" width="10.28515625" style="1" customWidth="1"/>
    <col min="7665" max="7665" width="11" style="1" customWidth="1"/>
    <col min="7666" max="7666" width="11.42578125" style="1" customWidth="1"/>
    <col min="7667" max="7667" width="10.7109375" style="1" customWidth="1"/>
    <col min="7668" max="7670" width="10.42578125" style="1" customWidth="1"/>
    <col min="7671" max="7671" width="13.7109375" style="1" customWidth="1"/>
    <col min="7672" max="7672" width="13.85546875" style="1" customWidth="1"/>
    <col min="7673" max="7673" width="12.140625" style="1" customWidth="1"/>
    <col min="7674" max="7675" width="10.42578125" style="1" customWidth="1"/>
    <col min="7676" max="7919" width="9.140625" style="1"/>
    <col min="7920" max="7920" width="10.28515625" style="1" customWidth="1"/>
    <col min="7921" max="7921" width="11" style="1" customWidth="1"/>
    <col min="7922" max="7922" width="11.42578125" style="1" customWidth="1"/>
    <col min="7923" max="7923" width="10.7109375" style="1" customWidth="1"/>
    <col min="7924" max="7926" width="10.42578125" style="1" customWidth="1"/>
    <col min="7927" max="7927" width="13.7109375" style="1" customWidth="1"/>
    <col min="7928" max="7928" width="13.85546875" style="1" customWidth="1"/>
    <col min="7929" max="7929" width="12.140625" style="1" customWidth="1"/>
    <col min="7930" max="7931" width="10.42578125" style="1" customWidth="1"/>
    <col min="7932" max="8175" width="9.140625" style="1"/>
    <col min="8176" max="8176" width="10.28515625" style="1" customWidth="1"/>
    <col min="8177" max="8177" width="11" style="1" customWidth="1"/>
    <col min="8178" max="8178" width="11.42578125" style="1" customWidth="1"/>
    <col min="8179" max="8179" width="10.7109375" style="1" customWidth="1"/>
    <col min="8180" max="8182" width="10.42578125" style="1" customWidth="1"/>
    <col min="8183" max="8183" width="13.7109375" style="1" customWidth="1"/>
    <col min="8184" max="8184" width="13.85546875" style="1" customWidth="1"/>
    <col min="8185" max="8185" width="12.140625" style="1" customWidth="1"/>
    <col min="8186" max="8187" width="10.42578125" style="1" customWidth="1"/>
    <col min="8188" max="8431" width="9.140625" style="1"/>
    <col min="8432" max="8432" width="10.28515625" style="1" customWidth="1"/>
    <col min="8433" max="8433" width="11" style="1" customWidth="1"/>
    <col min="8434" max="8434" width="11.42578125" style="1" customWidth="1"/>
    <col min="8435" max="8435" width="10.7109375" style="1" customWidth="1"/>
    <col min="8436" max="8438" width="10.42578125" style="1" customWidth="1"/>
    <col min="8439" max="8439" width="13.7109375" style="1" customWidth="1"/>
    <col min="8440" max="8440" width="13.85546875" style="1" customWidth="1"/>
    <col min="8441" max="8441" width="12.140625" style="1" customWidth="1"/>
    <col min="8442" max="8443" width="10.42578125" style="1" customWidth="1"/>
    <col min="8444" max="8687" width="9.140625" style="1"/>
    <col min="8688" max="8688" width="10.28515625" style="1" customWidth="1"/>
    <col min="8689" max="8689" width="11" style="1" customWidth="1"/>
    <col min="8690" max="8690" width="11.42578125" style="1" customWidth="1"/>
    <col min="8691" max="8691" width="10.7109375" style="1" customWidth="1"/>
    <col min="8692" max="8694" width="10.42578125" style="1" customWidth="1"/>
    <col min="8695" max="8695" width="13.7109375" style="1" customWidth="1"/>
    <col min="8696" max="8696" width="13.85546875" style="1" customWidth="1"/>
    <col min="8697" max="8697" width="12.140625" style="1" customWidth="1"/>
    <col min="8698" max="8699" width="10.42578125" style="1" customWidth="1"/>
    <col min="8700" max="8943" width="9.140625" style="1"/>
    <col min="8944" max="8944" width="10.28515625" style="1" customWidth="1"/>
    <col min="8945" max="8945" width="11" style="1" customWidth="1"/>
    <col min="8946" max="8946" width="11.42578125" style="1" customWidth="1"/>
    <col min="8947" max="8947" width="10.7109375" style="1" customWidth="1"/>
    <col min="8948" max="8950" width="10.42578125" style="1" customWidth="1"/>
    <col min="8951" max="8951" width="13.7109375" style="1" customWidth="1"/>
    <col min="8952" max="8952" width="13.85546875" style="1" customWidth="1"/>
    <col min="8953" max="8953" width="12.140625" style="1" customWidth="1"/>
    <col min="8954" max="8955" width="10.42578125" style="1" customWidth="1"/>
    <col min="8956" max="9199" width="9.140625" style="1"/>
    <col min="9200" max="9200" width="10.28515625" style="1" customWidth="1"/>
    <col min="9201" max="9201" width="11" style="1" customWidth="1"/>
    <col min="9202" max="9202" width="11.42578125" style="1" customWidth="1"/>
    <col min="9203" max="9203" width="10.7109375" style="1" customWidth="1"/>
    <col min="9204" max="9206" width="10.42578125" style="1" customWidth="1"/>
    <col min="9207" max="9207" width="13.7109375" style="1" customWidth="1"/>
    <col min="9208" max="9208" width="13.85546875" style="1" customWidth="1"/>
    <col min="9209" max="9209" width="12.140625" style="1" customWidth="1"/>
    <col min="9210" max="9211" width="10.42578125" style="1" customWidth="1"/>
    <col min="9212" max="9455" width="9.140625" style="1"/>
    <col min="9456" max="9456" width="10.28515625" style="1" customWidth="1"/>
    <col min="9457" max="9457" width="11" style="1" customWidth="1"/>
    <col min="9458" max="9458" width="11.42578125" style="1" customWidth="1"/>
    <col min="9459" max="9459" width="10.7109375" style="1" customWidth="1"/>
    <col min="9460" max="9462" width="10.42578125" style="1" customWidth="1"/>
    <col min="9463" max="9463" width="13.7109375" style="1" customWidth="1"/>
    <col min="9464" max="9464" width="13.85546875" style="1" customWidth="1"/>
    <col min="9465" max="9465" width="12.140625" style="1" customWidth="1"/>
    <col min="9466" max="9467" width="10.42578125" style="1" customWidth="1"/>
    <col min="9468" max="9711" width="9.140625" style="1"/>
    <col min="9712" max="9712" width="10.28515625" style="1" customWidth="1"/>
    <col min="9713" max="9713" width="11" style="1" customWidth="1"/>
    <col min="9714" max="9714" width="11.42578125" style="1" customWidth="1"/>
    <col min="9715" max="9715" width="10.7109375" style="1" customWidth="1"/>
    <col min="9716" max="9718" width="10.42578125" style="1" customWidth="1"/>
    <col min="9719" max="9719" width="13.7109375" style="1" customWidth="1"/>
    <col min="9720" max="9720" width="13.85546875" style="1" customWidth="1"/>
    <col min="9721" max="9721" width="12.140625" style="1" customWidth="1"/>
    <col min="9722" max="9723" width="10.42578125" style="1" customWidth="1"/>
    <col min="9724" max="9967" width="9.140625" style="1"/>
    <col min="9968" max="9968" width="10.28515625" style="1" customWidth="1"/>
    <col min="9969" max="9969" width="11" style="1" customWidth="1"/>
    <col min="9970" max="9970" width="11.42578125" style="1" customWidth="1"/>
    <col min="9971" max="9971" width="10.7109375" style="1" customWidth="1"/>
    <col min="9972" max="9974" width="10.42578125" style="1" customWidth="1"/>
    <col min="9975" max="9975" width="13.7109375" style="1" customWidth="1"/>
    <col min="9976" max="9976" width="13.85546875" style="1" customWidth="1"/>
    <col min="9977" max="9977" width="12.140625" style="1" customWidth="1"/>
    <col min="9978" max="9979" width="10.42578125" style="1" customWidth="1"/>
    <col min="9980" max="10223" width="9.140625" style="1"/>
    <col min="10224" max="10224" width="10.28515625" style="1" customWidth="1"/>
    <col min="10225" max="10225" width="11" style="1" customWidth="1"/>
    <col min="10226" max="10226" width="11.42578125" style="1" customWidth="1"/>
    <col min="10227" max="10227" width="10.7109375" style="1" customWidth="1"/>
    <col min="10228" max="10230" width="10.42578125" style="1" customWidth="1"/>
    <col min="10231" max="10231" width="13.7109375" style="1" customWidth="1"/>
    <col min="10232" max="10232" width="13.85546875" style="1" customWidth="1"/>
    <col min="10233" max="10233" width="12.140625" style="1" customWidth="1"/>
    <col min="10234" max="10235" width="10.42578125" style="1" customWidth="1"/>
    <col min="10236" max="10479" width="9.140625" style="1"/>
    <col min="10480" max="10480" width="10.28515625" style="1" customWidth="1"/>
    <col min="10481" max="10481" width="11" style="1" customWidth="1"/>
    <col min="10482" max="10482" width="11.42578125" style="1" customWidth="1"/>
    <col min="10483" max="10483" width="10.7109375" style="1" customWidth="1"/>
    <col min="10484" max="10486" width="10.42578125" style="1" customWidth="1"/>
    <col min="10487" max="10487" width="13.7109375" style="1" customWidth="1"/>
    <col min="10488" max="10488" width="13.85546875" style="1" customWidth="1"/>
    <col min="10489" max="10489" width="12.140625" style="1" customWidth="1"/>
    <col min="10490" max="10491" width="10.42578125" style="1" customWidth="1"/>
    <col min="10492" max="10735" width="9.140625" style="1"/>
    <col min="10736" max="10736" width="10.28515625" style="1" customWidth="1"/>
    <col min="10737" max="10737" width="11" style="1" customWidth="1"/>
    <col min="10738" max="10738" width="11.42578125" style="1" customWidth="1"/>
    <col min="10739" max="10739" width="10.7109375" style="1" customWidth="1"/>
    <col min="10740" max="10742" width="10.42578125" style="1" customWidth="1"/>
    <col min="10743" max="10743" width="13.7109375" style="1" customWidth="1"/>
    <col min="10744" max="10744" width="13.85546875" style="1" customWidth="1"/>
    <col min="10745" max="10745" width="12.140625" style="1" customWidth="1"/>
    <col min="10746" max="10747" width="10.42578125" style="1" customWidth="1"/>
    <col min="10748" max="10991" width="9.140625" style="1"/>
    <col min="10992" max="10992" width="10.28515625" style="1" customWidth="1"/>
    <col min="10993" max="10993" width="11" style="1" customWidth="1"/>
    <col min="10994" max="10994" width="11.42578125" style="1" customWidth="1"/>
    <col min="10995" max="10995" width="10.7109375" style="1" customWidth="1"/>
    <col min="10996" max="10998" width="10.42578125" style="1" customWidth="1"/>
    <col min="10999" max="10999" width="13.7109375" style="1" customWidth="1"/>
    <col min="11000" max="11000" width="13.85546875" style="1" customWidth="1"/>
    <col min="11001" max="11001" width="12.140625" style="1" customWidth="1"/>
    <col min="11002" max="11003" width="10.42578125" style="1" customWidth="1"/>
    <col min="11004" max="11247" width="9.140625" style="1"/>
    <col min="11248" max="11248" width="10.28515625" style="1" customWidth="1"/>
    <col min="11249" max="11249" width="11" style="1" customWidth="1"/>
    <col min="11250" max="11250" width="11.42578125" style="1" customWidth="1"/>
    <col min="11251" max="11251" width="10.7109375" style="1" customWidth="1"/>
    <col min="11252" max="11254" width="10.42578125" style="1" customWidth="1"/>
    <col min="11255" max="11255" width="13.7109375" style="1" customWidth="1"/>
    <col min="11256" max="11256" width="13.85546875" style="1" customWidth="1"/>
    <col min="11257" max="11257" width="12.140625" style="1" customWidth="1"/>
    <col min="11258" max="11259" width="10.42578125" style="1" customWidth="1"/>
    <col min="11260" max="11503" width="9.140625" style="1"/>
    <col min="11504" max="11504" width="10.28515625" style="1" customWidth="1"/>
    <col min="11505" max="11505" width="11" style="1" customWidth="1"/>
    <col min="11506" max="11506" width="11.42578125" style="1" customWidth="1"/>
    <col min="11507" max="11507" width="10.7109375" style="1" customWidth="1"/>
    <col min="11508" max="11510" width="10.42578125" style="1" customWidth="1"/>
    <col min="11511" max="11511" width="13.7109375" style="1" customWidth="1"/>
    <col min="11512" max="11512" width="13.85546875" style="1" customWidth="1"/>
    <col min="11513" max="11513" width="12.140625" style="1" customWidth="1"/>
    <col min="11514" max="11515" width="10.42578125" style="1" customWidth="1"/>
    <col min="11516" max="11759" width="9.140625" style="1"/>
    <col min="11760" max="11760" width="10.28515625" style="1" customWidth="1"/>
    <col min="11761" max="11761" width="11" style="1" customWidth="1"/>
    <col min="11762" max="11762" width="11.42578125" style="1" customWidth="1"/>
    <col min="11763" max="11763" width="10.7109375" style="1" customWidth="1"/>
    <col min="11764" max="11766" width="10.42578125" style="1" customWidth="1"/>
    <col min="11767" max="11767" width="13.7109375" style="1" customWidth="1"/>
    <col min="11768" max="11768" width="13.85546875" style="1" customWidth="1"/>
    <col min="11769" max="11769" width="12.140625" style="1" customWidth="1"/>
    <col min="11770" max="11771" width="10.42578125" style="1" customWidth="1"/>
    <col min="11772" max="12015" width="9.140625" style="1"/>
    <col min="12016" max="12016" width="10.28515625" style="1" customWidth="1"/>
    <col min="12017" max="12017" width="11" style="1" customWidth="1"/>
    <col min="12018" max="12018" width="11.42578125" style="1" customWidth="1"/>
    <col min="12019" max="12019" width="10.7109375" style="1" customWidth="1"/>
    <col min="12020" max="12022" width="10.42578125" style="1" customWidth="1"/>
    <col min="12023" max="12023" width="13.7109375" style="1" customWidth="1"/>
    <col min="12024" max="12024" width="13.85546875" style="1" customWidth="1"/>
    <col min="12025" max="12025" width="12.140625" style="1" customWidth="1"/>
    <col min="12026" max="12027" width="10.42578125" style="1" customWidth="1"/>
    <col min="12028" max="12271" width="9.140625" style="1"/>
    <col min="12272" max="12272" width="10.28515625" style="1" customWidth="1"/>
    <col min="12273" max="12273" width="11" style="1" customWidth="1"/>
    <col min="12274" max="12274" width="11.42578125" style="1" customWidth="1"/>
    <col min="12275" max="12275" width="10.7109375" style="1" customWidth="1"/>
    <col min="12276" max="12278" width="10.42578125" style="1" customWidth="1"/>
    <col min="12279" max="12279" width="13.7109375" style="1" customWidth="1"/>
    <col min="12280" max="12280" width="13.85546875" style="1" customWidth="1"/>
    <col min="12281" max="12281" width="12.140625" style="1" customWidth="1"/>
    <col min="12282" max="12283" width="10.42578125" style="1" customWidth="1"/>
    <col min="12284" max="12527" width="9.140625" style="1"/>
    <col min="12528" max="12528" width="10.28515625" style="1" customWidth="1"/>
    <col min="12529" max="12529" width="11" style="1" customWidth="1"/>
    <col min="12530" max="12530" width="11.42578125" style="1" customWidth="1"/>
    <col min="12531" max="12531" width="10.7109375" style="1" customWidth="1"/>
    <col min="12532" max="12534" width="10.42578125" style="1" customWidth="1"/>
    <col min="12535" max="12535" width="13.7109375" style="1" customWidth="1"/>
    <col min="12536" max="12536" width="13.85546875" style="1" customWidth="1"/>
    <col min="12537" max="12537" width="12.140625" style="1" customWidth="1"/>
    <col min="12538" max="12539" width="10.42578125" style="1" customWidth="1"/>
    <col min="12540" max="12783" width="9.140625" style="1"/>
    <col min="12784" max="12784" width="10.28515625" style="1" customWidth="1"/>
    <col min="12785" max="12785" width="11" style="1" customWidth="1"/>
    <col min="12786" max="12786" width="11.42578125" style="1" customWidth="1"/>
    <col min="12787" max="12787" width="10.7109375" style="1" customWidth="1"/>
    <col min="12788" max="12790" width="10.42578125" style="1" customWidth="1"/>
    <col min="12791" max="12791" width="13.7109375" style="1" customWidth="1"/>
    <col min="12792" max="12792" width="13.85546875" style="1" customWidth="1"/>
    <col min="12793" max="12793" width="12.140625" style="1" customWidth="1"/>
    <col min="12794" max="12795" width="10.42578125" style="1" customWidth="1"/>
    <col min="12796" max="13039" width="9.140625" style="1"/>
    <col min="13040" max="13040" width="10.28515625" style="1" customWidth="1"/>
    <col min="13041" max="13041" width="11" style="1" customWidth="1"/>
    <col min="13042" max="13042" width="11.42578125" style="1" customWidth="1"/>
    <col min="13043" max="13043" width="10.7109375" style="1" customWidth="1"/>
    <col min="13044" max="13046" width="10.42578125" style="1" customWidth="1"/>
    <col min="13047" max="13047" width="13.7109375" style="1" customWidth="1"/>
    <col min="13048" max="13048" width="13.85546875" style="1" customWidth="1"/>
    <col min="13049" max="13049" width="12.140625" style="1" customWidth="1"/>
    <col min="13050" max="13051" width="10.42578125" style="1" customWidth="1"/>
    <col min="13052" max="13295" width="9.140625" style="1"/>
    <col min="13296" max="13296" width="10.28515625" style="1" customWidth="1"/>
    <col min="13297" max="13297" width="11" style="1" customWidth="1"/>
    <col min="13298" max="13298" width="11.42578125" style="1" customWidth="1"/>
    <col min="13299" max="13299" width="10.7109375" style="1" customWidth="1"/>
    <col min="13300" max="13302" width="10.42578125" style="1" customWidth="1"/>
    <col min="13303" max="13303" width="13.7109375" style="1" customWidth="1"/>
    <col min="13304" max="13304" width="13.85546875" style="1" customWidth="1"/>
    <col min="13305" max="13305" width="12.140625" style="1" customWidth="1"/>
    <col min="13306" max="13307" width="10.42578125" style="1" customWidth="1"/>
    <col min="13308" max="13551" width="9.140625" style="1"/>
    <col min="13552" max="13552" width="10.28515625" style="1" customWidth="1"/>
    <col min="13553" max="13553" width="11" style="1" customWidth="1"/>
    <col min="13554" max="13554" width="11.42578125" style="1" customWidth="1"/>
    <col min="13555" max="13555" width="10.7109375" style="1" customWidth="1"/>
    <col min="13556" max="13558" width="10.42578125" style="1" customWidth="1"/>
    <col min="13559" max="13559" width="13.7109375" style="1" customWidth="1"/>
    <col min="13560" max="13560" width="13.85546875" style="1" customWidth="1"/>
    <col min="13561" max="13561" width="12.140625" style="1" customWidth="1"/>
    <col min="13562" max="13563" width="10.42578125" style="1" customWidth="1"/>
    <col min="13564" max="13807" width="9.140625" style="1"/>
    <col min="13808" max="13808" width="10.28515625" style="1" customWidth="1"/>
    <col min="13809" max="13809" width="11" style="1" customWidth="1"/>
    <col min="13810" max="13810" width="11.42578125" style="1" customWidth="1"/>
    <col min="13811" max="13811" width="10.7109375" style="1" customWidth="1"/>
    <col min="13812" max="13814" width="10.42578125" style="1" customWidth="1"/>
    <col min="13815" max="13815" width="13.7109375" style="1" customWidth="1"/>
    <col min="13816" max="13816" width="13.85546875" style="1" customWidth="1"/>
    <col min="13817" max="13817" width="12.140625" style="1" customWidth="1"/>
    <col min="13818" max="13819" width="10.42578125" style="1" customWidth="1"/>
    <col min="13820" max="14063" width="9.140625" style="1"/>
    <col min="14064" max="14064" width="10.28515625" style="1" customWidth="1"/>
    <col min="14065" max="14065" width="11" style="1" customWidth="1"/>
    <col min="14066" max="14066" width="11.42578125" style="1" customWidth="1"/>
    <col min="14067" max="14067" width="10.7109375" style="1" customWidth="1"/>
    <col min="14068" max="14070" width="10.42578125" style="1" customWidth="1"/>
    <col min="14071" max="14071" width="13.7109375" style="1" customWidth="1"/>
    <col min="14072" max="14072" width="13.85546875" style="1" customWidth="1"/>
    <col min="14073" max="14073" width="12.140625" style="1" customWidth="1"/>
    <col min="14074" max="14075" width="10.42578125" style="1" customWidth="1"/>
    <col min="14076" max="14319" width="9.140625" style="1"/>
    <col min="14320" max="14320" width="10.28515625" style="1" customWidth="1"/>
    <col min="14321" max="14321" width="11" style="1" customWidth="1"/>
    <col min="14322" max="14322" width="11.42578125" style="1" customWidth="1"/>
    <col min="14323" max="14323" width="10.7109375" style="1" customWidth="1"/>
    <col min="14324" max="14326" width="10.42578125" style="1" customWidth="1"/>
    <col min="14327" max="14327" width="13.7109375" style="1" customWidth="1"/>
    <col min="14328" max="14328" width="13.85546875" style="1" customWidth="1"/>
    <col min="14329" max="14329" width="12.140625" style="1" customWidth="1"/>
    <col min="14330" max="14331" width="10.42578125" style="1" customWidth="1"/>
    <col min="14332" max="14575" width="9.140625" style="1"/>
    <col min="14576" max="14576" width="10.28515625" style="1" customWidth="1"/>
    <col min="14577" max="14577" width="11" style="1" customWidth="1"/>
    <col min="14578" max="14578" width="11.42578125" style="1" customWidth="1"/>
    <col min="14579" max="14579" width="10.7109375" style="1" customWidth="1"/>
    <col min="14580" max="14582" width="10.42578125" style="1" customWidth="1"/>
    <col min="14583" max="14583" width="13.7109375" style="1" customWidth="1"/>
    <col min="14584" max="14584" width="13.85546875" style="1" customWidth="1"/>
    <col min="14585" max="14585" width="12.140625" style="1" customWidth="1"/>
    <col min="14586" max="14587" width="10.42578125" style="1" customWidth="1"/>
    <col min="14588" max="14831" width="9.140625" style="1"/>
    <col min="14832" max="14832" width="10.28515625" style="1" customWidth="1"/>
    <col min="14833" max="14833" width="11" style="1" customWidth="1"/>
    <col min="14834" max="14834" width="11.42578125" style="1" customWidth="1"/>
    <col min="14835" max="14835" width="10.7109375" style="1" customWidth="1"/>
    <col min="14836" max="14838" width="10.42578125" style="1" customWidth="1"/>
    <col min="14839" max="14839" width="13.7109375" style="1" customWidth="1"/>
    <col min="14840" max="14840" width="13.85546875" style="1" customWidth="1"/>
    <col min="14841" max="14841" width="12.140625" style="1" customWidth="1"/>
    <col min="14842" max="14843" width="10.42578125" style="1" customWidth="1"/>
    <col min="14844" max="15087" width="9.140625" style="1"/>
    <col min="15088" max="15088" width="10.28515625" style="1" customWidth="1"/>
    <col min="15089" max="15089" width="11" style="1" customWidth="1"/>
    <col min="15090" max="15090" width="11.42578125" style="1" customWidth="1"/>
    <col min="15091" max="15091" width="10.7109375" style="1" customWidth="1"/>
    <col min="15092" max="15094" width="10.42578125" style="1" customWidth="1"/>
    <col min="15095" max="15095" width="13.7109375" style="1" customWidth="1"/>
    <col min="15096" max="15096" width="13.85546875" style="1" customWidth="1"/>
    <col min="15097" max="15097" width="12.140625" style="1" customWidth="1"/>
    <col min="15098" max="15099" width="10.42578125" style="1" customWidth="1"/>
    <col min="15100" max="15343" width="9.140625" style="1"/>
    <col min="15344" max="15344" width="10.28515625" style="1" customWidth="1"/>
    <col min="15345" max="15345" width="11" style="1" customWidth="1"/>
    <col min="15346" max="15346" width="11.42578125" style="1" customWidth="1"/>
    <col min="15347" max="15347" width="10.7109375" style="1" customWidth="1"/>
    <col min="15348" max="15350" width="10.42578125" style="1" customWidth="1"/>
    <col min="15351" max="15351" width="13.7109375" style="1" customWidth="1"/>
    <col min="15352" max="15352" width="13.85546875" style="1" customWidth="1"/>
    <col min="15353" max="15353" width="12.140625" style="1" customWidth="1"/>
    <col min="15354" max="15355" width="10.42578125" style="1" customWidth="1"/>
    <col min="15356" max="15599" width="9.140625" style="1"/>
    <col min="15600" max="15600" width="10.28515625" style="1" customWidth="1"/>
    <col min="15601" max="15601" width="11" style="1" customWidth="1"/>
    <col min="15602" max="15602" width="11.42578125" style="1" customWidth="1"/>
    <col min="15603" max="15603" width="10.7109375" style="1" customWidth="1"/>
    <col min="15604" max="15606" width="10.42578125" style="1" customWidth="1"/>
    <col min="15607" max="15607" width="13.7109375" style="1" customWidth="1"/>
    <col min="15608" max="15608" width="13.85546875" style="1" customWidth="1"/>
    <col min="15609" max="15609" width="12.140625" style="1" customWidth="1"/>
    <col min="15610" max="15611" width="10.42578125" style="1" customWidth="1"/>
    <col min="15612" max="15855" width="9.140625" style="1"/>
    <col min="15856" max="15856" width="10.28515625" style="1" customWidth="1"/>
    <col min="15857" max="15857" width="11" style="1" customWidth="1"/>
    <col min="15858" max="15858" width="11.42578125" style="1" customWidth="1"/>
    <col min="15859" max="15859" width="10.7109375" style="1" customWidth="1"/>
    <col min="15860" max="15862" width="10.42578125" style="1" customWidth="1"/>
    <col min="15863" max="15863" width="13.7109375" style="1" customWidth="1"/>
    <col min="15864" max="15864" width="13.85546875" style="1" customWidth="1"/>
    <col min="15865" max="15865" width="12.140625" style="1" customWidth="1"/>
    <col min="15866" max="15867" width="10.42578125" style="1" customWidth="1"/>
    <col min="15868" max="16111" width="9.140625" style="1"/>
    <col min="16112" max="16112" width="10.28515625" style="1" customWidth="1"/>
    <col min="16113" max="16113" width="11" style="1" customWidth="1"/>
    <col min="16114" max="16114" width="11.42578125" style="1" customWidth="1"/>
    <col min="16115" max="16115" width="10.7109375" style="1" customWidth="1"/>
    <col min="16116" max="16118" width="10.42578125" style="1" customWidth="1"/>
    <col min="16119" max="16119" width="13.7109375" style="1" customWidth="1"/>
    <col min="16120" max="16120" width="13.85546875" style="1" customWidth="1"/>
    <col min="16121" max="16121" width="12.140625" style="1" customWidth="1"/>
    <col min="16122" max="16123" width="10.42578125" style="1" customWidth="1"/>
    <col min="16124" max="16384" width="9.140625" style="1"/>
  </cols>
  <sheetData>
    <row r="1" spans="1:24" ht="37.5" customHeight="1" x14ac:dyDescent="0.2">
      <c r="A1" s="516" t="s">
        <v>628</v>
      </c>
      <c r="B1" s="516"/>
      <c r="C1" s="516"/>
      <c r="D1" s="516"/>
      <c r="E1" s="516"/>
      <c r="F1" s="516"/>
      <c r="G1" s="516"/>
      <c r="H1" s="516"/>
      <c r="I1" s="516"/>
      <c r="J1" s="516"/>
    </row>
    <row r="2" spans="1:24" ht="15" x14ac:dyDescent="0.25">
      <c r="A2" s="2"/>
      <c r="L2" s="253" t="s">
        <v>0</v>
      </c>
    </row>
    <row r="3" spans="1:24" ht="14.25" customHeight="1" x14ac:dyDescent="0.2">
      <c r="A3" s="1714" t="s">
        <v>4</v>
      </c>
      <c r="B3" s="1674" t="s">
        <v>133</v>
      </c>
      <c r="C3" s="1675"/>
      <c r="D3" s="1675"/>
      <c r="E3" s="1675"/>
      <c r="F3" s="1675"/>
      <c r="G3" s="1675"/>
      <c r="H3" s="1675"/>
      <c r="I3" s="1675"/>
      <c r="J3" s="1675"/>
      <c r="K3" s="1676"/>
      <c r="L3" s="1716" t="s">
        <v>333</v>
      </c>
    </row>
    <row r="4" spans="1:24" ht="52.5" customHeight="1" x14ac:dyDescent="0.2">
      <c r="A4" s="1715"/>
      <c r="B4" s="1222" t="s">
        <v>95</v>
      </c>
      <c r="C4" s="1223" t="s">
        <v>96</v>
      </c>
      <c r="D4" s="1223" t="s">
        <v>1004</v>
      </c>
      <c r="E4" s="1223" t="s">
        <v>999</v>
      </c>
      <c r="F4" s="1223" t="s">
        <v>97</v>
      </c>
      <c r="G4" s="1224" t="s">
        <v>93</v>
      </c>
      <c r="H4" s="1225" t="s">
        <v>1015</v>
      </c>
      <c r="I4" s="1226" t="s">
        <v>1016</v>
      </c>
      <c r="J4" s="1227" t="s">
        <v>1017</v>
      </c>
      <c r="K4" s="785" t="s">
        <v>354</v>
      </c>
      <c r="L4" s="1717"/>
    </row>
    <row r="5" spans="1:24" ht="18.75" customHeight="1" x14ac:dyDescent="0.2">
      <c r="A5" s="1017" t="s">
        <v>20</v>
      </c>
      <c r="B5" s="74">
        <v>53</v>
      </c>
      <c r="C5" s="74">
        <v>1220</v>
      </c>
      <c r="D5" s="74">
        <v>26</v>
      </c>
      <c r="E5" s="74">
        <v>165</v>
      </c>
      <c r="F5" s="74">
        <v>40</v>
      </c>
      <c r="G5" s="95">
        <v>194</v>
      </c>
      <c r="H5" s="92">
        <v>524</v>
      </c>
      <c r="I5" s="74">
        <v>92</v>
      </c>
      <c r="J5" s="74">
        <v>292</v>
      </c>
      <c r="K5" s="245">
        <f>SUM(H5:J5)</f>
        <v>908</v>
      </c>
      <c r="L5" s="40">
        <f>SUM(B5:J5)</f>
        <v>2606</v>
      </c>
      <c r="M5" s="7"/>
    </row>
    <row r="6" spans="1:24" ht="13.5" customHeight="1" x14ac:dyDescent="0.2">
      <c r="A6" s="30" t="s">
        <v>13</v>
      </c>
      <c r="B6" s="19">
        <v>55</v>
      </c>
      <c r="C6" s="19">
        <v>1071</v>
      </c>
      <c r="D6" s="19">
        <v>34</v>
      </c>
      <c r="E6" s="19">
        <v>161</v>
      </c>
      <c r="F6" s="19">
        <v>24</v>
      </c>
      <c r="G6" s="20">
        <v>183</v>
      </c>
      <c r="H6" s="18">
        <v>579</v>
      </c>
      <c r="I6" s="19">
        <v>80</v>
      </c>
      <c r="J6" s="19">
        <v>297</v>
      </c>
      <c r="K6" s="246">
        <f t="shared" ref="K6:K12" si="0">SUM(H6:J6)</f>
        <v>956</v>
      </c>
      <c r="L6" s="9">
        <f t="shared" ref="L6:L12" si="1">SUM(B6:J6)</f>
        <v>2484</v>
      </c>
      <c r="M6" s="7"/>
    </row>
    <row r="7" spans="1:24" ht="13.5" customHeight="1" x14ac:dyDescent="0.2">
      <c r="A7" s="30" t="s">
        <v>15</v>
      </c>
      <c r="B7" s="19">
        <v>45</v>
      </c>
      <c r="C7" s="19">
        <v>812</v>
      </c>
      <c r="D7" s="19">
        <v>14</v>
      </c>
      <c r="E7" s="19">
        <v>145</v>
      </c>
      <c r="F7" s="19">
        <v>14</v>
      </c>
      <c r="G7" s="20">
        <v>143</v>
      </c>
      <c r="H7" s="18">
        <v>528</v>
      </c>
      <c r="I7" s="19">
        <v>77</v>
      </c>
      <c r="J7" s="19">
        <v>248</v>
      </c>
      <c r="K7" s="246">
        <f t="shared" si="0"/>
        <v>853</v>
      </c>
      <c r="L7" s="9">
        <f t="shared" si="1"/>
        <v>2026</v>
      </c>
      <c r="M7" s="7"/>
    </row>
    <row r="8" spans="1:24" ht="13.5" customHeight="1" x14ac:dyDescent="0.2">
      <c r="A8" s="30" t="s">
        <v>17</v>
      </c>
      <c r="B8" s="19">
        <v>29</v>
      </c>
      <c r="C8" s="19">
        <v>1390</v>
      </c>
      <c r="D8" s="19">
        <v>30</v>
      </c>
      <c r="E8" s="19">
        <v>186</v>
      </c>
      <c r="F8" s="19">
        <v>23</v>
      </c>
      <c r="G8" s="20">
        <v>191</v>
      </c>
      <c r="H8" s="18">
        <v>631</v>
      </c>
      <c r="I8" s="19">
        <v>126</v>
      </c>
      <c r="J8" s="19">
        <v>308</v>
      </c>
      <c r="K8" s="246">
        <f t="shared" si="0"/>
        <v>1065</v>
      </c>
      <c r="L8" s="9">
        <f t="shared" si="1"/>
        <v>2914</v>
      </c>
      <c r="M8" s="7"/>
      <c r="N8"/>
      <c r="O8"/>
      <c r="P8"/>
      <c r="Q8"/>
      <c r="R8"/>
      <c r="S8"/>
      <c r="T8"/>
      <c r="U8"/>
      <c r="V8"/>
      <c r="W8"/>
      <c r="X8"/>
    </row>
    <row r="9" spans="1:24" ht="13.5" customHeight="1" x14ac:dyDescent="0.2">
      <c r="A9" s="244" t="s">
        <v>147</v>
      </c>
      <c r="B9" s="19">
        <v>37</v>
      </c>
      <c r="C9" s="19">
        <v>733</v>
      </c>
      <c r="D9" s="19">
        <v>34</v>
      </c>
      <c r="E9" s="19">
        <v>143</v>
      </c>
      <c r="F9" s="19">
        <v>16</v>
      </c>
      <c r="G9" s="20">
        <v>182</v>
      </c>
      <c r="H9" s="18">
        <v>713</v>
      </c>
      <c r="I9" s="19">
        <v>105</v>
      </c>
      <c r="J9" s="19">
        <v>276</v>
      </c>
      <c r="K9" s="246">
        <f t="shared" si="0"/>
        <v>1094</v>
      </c>
      <c r="L9" s="9">
        <f t="shared" si="1"/>
        <v>2239</v>
      </c>
      <c r="M9" s="7"/>
      <c r="N9"/>
      <c r="O9"/>
      <c r="P9"/>
      <c r="Q9"/>
      <c r="R9"/>
      <c r="S9"/>
      <c r="T9"/>
      <c r="U9"/>
      <c r="V9"/>
      <c r="W9"/>
      <c r="X9"/>
    </row>
    <row r="10" spans="1:24" ht="13.5" customHeight="1" x14ac:dyDescent="0.2">
      <c r="A10" s="244" t="s">
        <v>160</v>
      </c>
      <c r="B10" s="72">
        <f>'T13'!D5</f>
        <v>42</v>
      </c>
      <c r="C10" s="72">
        <f>'T13'!E5</f>
        <v>864</v>
      </c>
      <c r="D10" s="72">
        <f>'T13'!F5</f>
        <v>21</v>
      </c>
      <c r="E10" s="72">
        <f>'T13'!G5</f>
        <v>144</v>
      </c>
      <c r="F10" s="72">
        <f>'T13'!H5</f>
        <v>14</v>
      </c>
      <c r="G10" s="132">
        <f>'T13'!I5</f>
        <v>169</v>
      </c>
      <c r="H10" s="70">
        <f>'T13'!J5</f>
        <v>806</v>
      </c>
      <c r="I10" s="72">
        <f>'T13'!K5</f>
        <v>135</v>
      </c>
      <c r="J10" s="72">
        <f>'T13'!L5</f>
        <v>259</v>
      </c>
      <c r="K10" s="246">
        <f t="shared" si="0"/>
        <v>1200</v>
      </c>
      <c r="L10" s="9">
        <f>SUM(B10:J10)</f>
        <v>2454</v>
      </c>
      <c r="M10" s="7"/>
      <c r="N10"/>
      <c r="O10"/>
      <c r="P10"/>
      <c r="Q10"/>
      <c r="R10"/>
      <c r="S10"/>
      <c r="T10"/>
      <c r="U10"/>
      <c r="V10"/>
      <c r="W10"/>
      <c r="X10"/>
    </row>
    <row r="11" spans="1:24" ht="13.5" customHeight="1" x14ac:dyDescent="0.2">
      <c r="A11" s="244" t="s">
        <v>379</v>
      </c>
      <c r="B11" s="72">
        <f>'T13'!D6</f>
        <v>42</v>
      </c>
      <c r="C11" s="72">
        <f>'T13'!E6</f>
        <v>934</v>
      </c>
      <c r="D11" s="72">
        <f>'T13'!F6</f>
        <v>15</v>
      </c>
      <c r="E11" s="72">
        <f>'T13'!G6</f>
        <v>133</v>
      </c>
      <c r="F11" s="72">
        <f>'T13'!H6</f>
        <v>15</v>
      </c>
      <c r="G11" s="132">
        <f>'T13'!I6</f>
        <v>188</v>
      </c>
      <c r="H11" s="72">
        <f>'T13'!J6</f>
        <v>781</v>
      </c>
      <c r="I11" s="72">
        <f>'T13'!K6</f>
        <v>130</v>
      </c>
      <c r="J11" s="72">
        <f>'T13'!L6</f>
        <v>228</v>
      </c>
      <c r="K11" s="246">
        <f t="shared" si="0"/>
        <v>1139</v>
      </c>
      <c r="L11" s="9">
        <f t="shared" si="1"/>
        <v>2466</v>
      </c>
      <c r="M11" s="7" t="s">
        <v>145</v>
      </c>
      <c r="N11"/>
      <c r="O11"/>
      <c r="P11"/>
      <c r="Q11"/>
      <c r="R11"/>
      <c r="S11"/>
      <c r="T11"/>
      <c r="U11"/>
      <c r="V11"/>
      <c r="W11"/>
      <c r="X11"/>
    </row>
    <row r="12" spans="1:24" ht="13.5" customHeight="1" x14ac:dyDescent="0.2">
      <c r="A12" s="470" t="s">
        <v>603</v>
      </c>
      <c r="B12" s="75">
        <f>'T13'!D7</f>
        <v>41</v>
      </c>
      <c r="C12" s="75">
        <f>'T13'!E7</f>
        <v>1128</v>
      </c>
      <c r="D12" s="75">
        <f>'T13'!F7</f>
        <v>17</v>
      </c>
      <c r="E12" s="75">
        <f>'T13'!G7</f>
        <v>153</v>
      </c>
      <c r="F12" s="75">
        <f>'T13'!H7</f>
        <v>16</v>
      </c>
      <c r="G12" s="82">
        <f>'T13'!I7</f>
        <v>202</v>
      </c>
      <c r="H12" s="75">
        <f>'T13'!J7</f>
        <v>716</v>
      </c>
      <c r="I12" s="75">
        <f>'T13'!K7</f>
        <v>117</v>
      </c>
      <c r="J12" s="75">
        <f>'T13'!L7</f>
        <v>205</v>
      </c>
      <c r="K12" s="247">
        <f t="shared" si="0"/>
        <v>1038</v>
      </c>
      <c r="L12" s="12">
        <f t="shared" si="1"/>
        <v>2595</v>
      </c>
      <c r="M12" s="7" t="s">
        <v>143</v>
      </c>
      <c r="N12"/>
      <c r="O12"/>
      <c r="P12"/>
      <c r="Q12"/>
      <c r="R12"/>
      <c r="S12"/>
      <c r="T12"/>
      <c r="U12"/>
      <c r="V12"/>
      <c r="W12"/>
      <c r="X12"/>
    </row>
    <row r="13" spans="1:24" x14ac:dyDescent="0.2">
      <c r="A13" s="56"/>
      <c r="B13" s="34"/>
      <c r="C13" s="34"/>
      <c r="D13" s="34"/>
      <c r="E13" s="34"/>
      <c r="F13" s="34"/>
      <c r="G13" s="34"/>
      <c r="H13" s="34"/>
      <c r="I13" s="34"/>
      <c r="J13" s="34"/>
      <c r="K13" s="57"/>
      <c r="L13" s="34"/>
      <c r="M13"/>
      <c r="N13"/>
      <c r="O13"/>
      <c r="P13"/>
      <c r="Q13"/>
      <c r="R13"/>
      <c r="S13"/>
      <c r="T13"/>
      <c r="U13"/>
      <c r="V13"/>
      <c r="W13"/>
      <c r="X13"/>
    </row>
    <row r="14" spans="1:24" ht="15" x14ac:dyDescent="0.25">
      <c r="A14" s="56"/>
      <c r="B14" s="34"/>
      <c r="C14" s="34"/>
      <c r="D14" s="34"/>
      <c r="E14" s="34"/>
      <c r="F14" s="34"/>
      <c r="G14" s="34"/>
      <c r="H14" s="34"/>
      <c r="I14" s="34"/>
      <c r="J14" s="34"/>
      <c r="K14" s="57"/>
      <c r="L14" s="253" t="s">
        <v>0</v>
      </c>
      <c r="M14"/>
      <c r="N14"/>
      <c r="O14"/>
      <c r="P14"/>
      <c r="Q14"/>
      <c r="R14"/>
      <c r="S14"/>
      <c r="T14"/>
      <c r="U14"/>
      <c r="V14"/>
      <c r="W14"/>
      <c r="X14"/>
    </row>
    <row r="15" spans="1:24" x14ac:dyDescent="0.2">
      <c r="A15" s="1714" t="s">
        <v>4</v>
      </c>
      <c r="B15" s="1674" t="s">
        <v>134</v>
      </c>
      <c r="C15" s="1675"/>
      <c r="D15" s="1675"/>
      <c r="E15" s="1675"/>
      <c r="F15" s="1675"/>
      <c r="G15" s="1675"/>
      <c r="H15" s="1675"/>
      <c r="I15" s="1675"/>
      <c r="J15" s="1675"/>
      <c r="K15" s="1676"/>
      <c r="L15" s="1716" t="s">
        <v>334</v>
      </c>
      <c r="M15"/>
      <c r="N15"/>
      <c r="O15"/>
      <c r="P15"/>
      <c r="Q15"/>
      <c r="R15"/>
      <c r="S15"/>
      <c r="T15"/>
      <c r="U15"/>
      <c r="V15"/>
      <c r="W15"/>
      <c r="X15"/>
    </row>
    <row r="16" spans="1:24" ht="52.5" customHeight="1" x14ac:dyDescent="0.2">
      <c r="A16" s="1718"/>
      <c r="B16" s="1222" t="s">
        <v>95</v>
      </c>
      <c r="C16" s="1223" t="s">
        <v>96</v>
      </c>
      <c r="D16" s="1223" t="s">
        <v>1004</v>
      </c>
      <c r="E16" s="1223" t="s">
        <v>999</v>
      </c>
      <c r="F16" s="1223" t="s">
        <v>97</v>
      </c>
      <c r="G16" s="1224" t="s">
        <v>93</v>
      </c>
      <c r="H16" s="1225" t="s">
        <v>1015</v>
      </c>
      <c r="I16" s="1226" t="s">
        <v>1016</v>
      </c>
      <c r="J16" s="1227" t="s">
        <v>1017</v>
      </c>
      <c r="K16" s="786" t="s">
        <v>354</v>
      </c>
      <c r="L16" s="1717"/>
      <c r="M16"/>
      <c r="N16"/>
      <c r="O16"/>
      <c r="P16"/>
      <c r="Q16"/>
      <c r="R16"/>
      <c r="S16"/>
      <c r="T16"/>
      <c r="U16"/>
      <c r="V16"/>
      <c r="W16"/>
      <c r="X16"/>
    </row>
    <row r="17" spans="1:14" ht="18.75" customHeight="1" x14ac:dyDescent="0.2">
      <c r="A17" s="1017" t="s">
        <v>20</v>
      </c>
      <c r="B17" s="92">
        <v>685</v>
      </c>
      <c r="C17" s="74">
        <v>7399</v>
      </c>
      <c r="D17" s="74">
        <v>101</v>
      </c>
      <c r="E17" s="74">
        <v>273</v>
      </c>
      <c r="F17" s="74">
        <v>119</v>
      </c>
      <c r="G17" s="95">
        <v>2862</v>
      </c>
      <c r="H17" s="92">
        <v>4136</v>
      </c>
      <c r="I17" s="74">
        <v>787</v>
      </c>
      <c r="J17" s="74">
        <v>5239</v>
      </c>
      <c r="K17" s="245">
        <f>SUM(H17:J17)</f>
        <v>10162</v>
      </c>
      <c r="L17" s="40">
        <f>SUM(B17:J17)</f>
        <v>21601</v>
      </c>
      <c r="M17" s="7"/>
    </row>
    <row r="18" spans="1:14" ht="13.5" customHeight="1" x14ac:dyDescent="0.2">
      <c r="A18" s="30" t="s">
        <v>13</v>
      </c>
      <c r="B18" s="18">
        <v>587</v>
      </c>
      <c r="C18" s="19">
        <v>4146</v>
      </c>
      <c r="D18" s="19">
        <v>86</v>
      </c>
      <c r="E18" s="19">
        <v>231</v>
      </c>
      <c r="F18" s="19">
        <v>77</v>
      </c>
      <c r="G18" s="20">
        <v>2099</v>
      </c>
      <c r="H18" s="18">
        <v>3894</v>
      </c>
      <c r="I18" s="19">
        <v>625</v>
      </c>
      <c r="J18" s="19">
        <v>4452</v>
      </c>
      <c r="K18" s="246">
        <f t="shared" ref="K18:K24" si="2">SUM(H18:J18)</f>
        <v>8971</v>
      </c>
      <c r="L18" s="9">
        <f t="shared" ref="L18:L24" si="3">SUM(B18:J18)</f>
        <v>16197</v>
      </c>
      <c r="M18" s="7"/>
    </row>
    <row r="19" spans="1:14" ht="13.5" customHeight="1" x14ac:dyDescent="0.2">
      <c r="A19" s="30" t="s">
        <v>15</v>
      </c>
      <c r="B19" s="18">
        <v>438</v>
      </c>
      <c r="C19" s="19">
        <v>2666</v>
      </c>
      <c r="D19" s="19">
        <v>47</v>
      </c>
      <c r="E19" s="19">
        <v>191</v>
      </c>
      <c r="F19" s="19">
        <v>55</v>
      </c>
      <c r="G19" s="20">
        <v>1762</v>
      </c>
      <c r="H19" s="18">
        <v>3194</v>
      </c>
      <c r="I19" s="19">
        <v>548</v>
      </c>
      <c r="J19" s="19">
        <v>3351</v>
      </c>
      <c r="K19" s="246">
        <f t="shared" si="2"/>
        <v>7093</v>
      </c>
      <c r="L19" s="9">
        <f t="shared" si="3"/>
        <v>12252</v>
      </c>
      <c r="M19" s="7"/>
    </row>
    <row r="20" spans="1:14" ht="13.5" customHeight="1" x14ac:dyDescent="0.2">
      <c r="A20" s="30" t="s">
        <v>17</v>
      </c>
      <c r="B20" s="18">
        <v>349</v>
      </c>
      <c r="C20" s="19">
        <v>4697</v>
      </c>
      <c r="D20" s="19">
        <v>38</v>
      </c>
      <c r="E20" s="19">
        <v>189</v>
      </c>
      <c r="F20" s="19">
        <v>58</v>
      </c>
      <c r="G20" s="20">
        <v>1625</v>
      </c>
      <c r="H20" s="18">
        <v>2831</v>
      </c>
      <c r="I20" s="19">
        <v>522</v>
      </c>
      <c r="J20" s="19">
        <v>3137</v>
      </c>
      <c r="K20" s="246">
        <f t="shared" si="2"/>
        <v>6490</v>
      </c>
      <c r="L20" s="9">
        <f t="shared" si="3"/>
        <v>13446</v>
      </c>
      <c r="M20" s="7"/>
    </row>
    <row r="21" spans="1:14" ht="13.5" customHeight="1" x14ac:dyDescent="0.2">
      <c r="A21" s="244" t="s">
        <v>147</v>
      </c>
      <c r="B21" s="18">
        <v>306</v>
      </c>
      <c r="C21" s="19">
        <v>3030</v>
      </c>
      <c r="D21" s="19">
        <v>44</v>
      </c>
      <c r="E21" s="19">
        <v>178</v>
      </c>
      <c r="F21" s="19">
        <v>40</v>
      </c>
      <c r="G21" s="20">
        <v>1521</v>
      </c>
      <c r="H21" s="18">
        <v>2712</v>
      </c>
      <c r="I21" s="19">
        <v>411</v>
      </c>
      <c r="J21" s="19">
        <v>2925</v>
      </c>
      <c r="K21" s="246">
        <f t="shared" si="2"/>
        <v>6048</v>
      </c>
      <c r="L21" s="9">
        <f t="shared" si="3"/>
        <v>11167</v>
      </c>
      <c r="M21" s="7"/>
      <c r="N21" s="24"/>
    </row>
    <row r="22" spans="1:14" x14ac:dyDescent="0.2">
      <c r="A22" s="244" t="s">
        <v>160</v>
      </c>
      <c r="B22" s="18">
        <f>'T13'!D8</f>
        <v>326</v>
      </c>
      <c r="C22" s="19">
        <f>'T13'!E8</f>
        <v>3702</v>
      </c>
      <c r="D22" s="19">
        <f>'T13'!F8</f>
        <v>50</v>
      </c>
      <c r="E22" s="19">
        <f>'T13'!G8</f>
        <v>190</v>
      </c>
      <c r="F22" s="19">
        <f>'T13'!H8</f>
        <v>51</v>
      </c>
      <c r="G22" s="20">
        <f>'T13'!I8</f>
        <v>1725</v>
      </c>
      <c r="H22" s="18">
        <f>'T13'!J8</f>
        <v>2865</v>
      </c>
      <c r="I22" s="19">
        <f>'T13'!K8</f>
        <v>453</v>
      </c>
      <c r="J22" s="19">
        <f>'T13'!L8</f>
        <v>2916</v>
      </c>
      <c r="K22" s="246">
        <f t="shared" si="2"/>
        <v>6234</v>
      </c>
      <c r="L22" s="9">
        <f t="shared" si="3"/>
        <v>12278</v>
      </c>
      <c r="M22" s="7"/>
      <c r="N22" s="24"/>
    </row>
    <row r="23" spans="1:14" x14ac:dyDescent="0.2">
      <c r="A23" s="244" t="s">
        <v>379</v>
      </c>
      <c r="B23" s="19">
        <f>'T13'!D9</f>
        <v>262</v>
      </c>
      <c r="C23" s="19">
        <f>'T13'!E9</f>
        <v>3989</v>
      </c>
      <c r="D23" s="19">
        <f>'T13'!F9</f>
        <v>45</v>
      </c>
      <c r="E23" s="19">
        <f>'T13'!G9</f>
        <v>220</v>
      </c>
      <c r="F23" s="19">
        <f>'T13'!H9</f>
        <v>47</v>
      </c>
      <c r="G23" s="20">
        <f>'T13'!I9</f>
        <v>1833</v>
      </c>
      <c r="H23" s="19">
        <f>'T13'!J9</f>
        <v>3122</v>
      </c>
      <c r="I23" s="19">
        <f>'T13'!K9</f>
        <v>426</v>
      </c>
      <c r="J23" s="19">
        <f>'T13'!L9</f>
        <v>3247</v>
      </c>
      <c r="K23" s="246">
        <f t="shared" si="2"/>
        <v>6795</v>
      </c>
      <c r="L23" s="9">
        <f t="shared" si="3"/>
        <v>13191</v>
      </c>
      <c r="M23" s="7" t="s">
        <v>145</v>
      </c>
      <c r="N23" s="24"/>
    </row>
    <row r="24" spans="1:14" ht="13.5" customHeight="1" x14ac:dyDescent="0.2">
      <c r="A24" s="470" t="s">
        <v>603</v>
      </c>
      <c r="B24" s="22">
        <f>'T13'!D10</f>
        <v>263</v>
      </c>
      <c r="C24" s="22">
        <f>'T13'!E10</f>
        <v>3935</v>
      </c>
      <c r="D24" s="22">
        <f>'T13'!F10</f>
        <v>52</v>
      </c>
      <c r="E24" s="22">
        <f>'T13'!G10</f>
        <v>240</v>
      </c>
      <c r="F24" s="22">
        <f>'T13'!H10</f>
        <v>44</v>
      </c>
      <c r="G24" s="23">
        <f>'T13'!I10</f>
        <v>1719</v>
      </c>
      <c r="H24" s="22">
        <f>'T13'!J10</f>
        <v>2724</v>
      </c>
      <c r="I24" s="22">
        <f>'T13'!K10</f>
        <v>387</v>
      </c>
      <c r="J24" s="22">
        <f>'T13'!L10</f>
        <v>2739</v>
      </c>
      <c r="K24" s="247">
        <f t="shared" si="2"/>
        <v>5850</v>
      </c>
      <c r="L24" s="12">
        <f t="shared" si="3"/>
        <v>12103</v>
      </c>
      <c r="M24" s="7" t="s">
        <v>143</v>
      </c>
      <c r="N24" s="24"/>
    </row>
    <row r="25" spans="1:14" x14ac:dyDescent="0.2">
      <c r="A25" s="68"/>
      <c r="B25" s="19"/>
      <c r="C25" s="19"/>
      <c r="D25" s="19"/>
      <c r="E25" s="19"/>
      <c r="F25" s="19"/>
      <c r="G25" s="19"/>
      <c r="H25" s="19"/>
      <c r="I25" s="19"/>
      <c r="J25" s="19"/>
      <c r="K25" s="57"/>
      <c r="L25" s="34"/>
      <c r="N25" s="24"/>
    </row>
    <row r="26" spans="1:14" x14ac:dyDescent="0.2">
      <c r="A26" s="13" t="s">
        <v>162</v>
      </c>
    </row>
    <row r="27" spans="1:14" x14ac:dyDescent="0.2">
      <c r="A27" s="1649" t="s">
        <v>975</v>
      </c>
      <c r="B27" s="1649"/>
    </row>
    <row r="28" spans="1:14" x14ac:dyDescent="0.2">
      <c r="A28" s="71" t="s">
        <v>968</v>
      </c>
    </row>
    <row r="29" spans="1:14" x14ac:dyDescent="0.2">
      <c r="A29" s="1673"/>
      <c r="B29" s="1673"/>
      <c r="C29" s="1673"/>
      <c r="D29" s="1673"/>
      <c r="E29" s="1673"/>
      <c r="F29" s="1673"/>
      <c r="G29" s="1673"/>
      <c r="H29" s="1673"/>
    </row>
    <row r="30" spans="1:14" x14ac:dyDescent="0.2">
      <c r="A30" s="51" t="s">
        <v>136</v>
      </c>
    </row>
  </sheetData>
  <sheetProtection algorithmName="SHA-512" hashValue="LN/LZO9HjDQk9CraOSB56OO9mC/aeWqE/vQBWu+CKlVAYd0Y+lebymeP2VSxqtgxO70JFg1gS4kGvKeh5uudcQ==" saltValue="gF8OSOtEmgb+yCrq/Pg9ZQ==" spinCount="100000" sheet="1" objects="1" scenarios="1"/>
  <mergeCells count="8">
    <mergeCell ref="A29:H29"/>
    <mergeCell ref="A27:B27"/>
    <mergeCell ref="A3:A4"/>
    <mergeCell ref="B3:K3"/>
    <mergeCell ref="L3:L4"/>
    <mergeCell ref="B15:K15"/>
    <mergeCell ref="L15:L16"/>
    <mergeCell ref="A15:A16"/>
  </mergeCells>
  <hyperlinks>
    <hyperlink ref="A30" location="Contents!A1" display="Return to contents " xr:uid="{00000000-0004-0000-3B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6">
    <tabColor theme="4"/>
    <pageSetUpPr fitToPage="1"/>
  </sheetPr>
  <dimension ref="A1:Z81"/>
  <sheetViews>
    <sheetView showGridLines="0" zoomScaleNormal="100" workbookViewId="0">
      <pane ySplit="1" topLeftCell="A2" activePane="bottomLeft" state="frozen"/>
      <selection activeCell="M9" sqref="M9"/>
      <selection pane="bottomLeft" sqref="A1:G1"/>
    </sheetView>
  </sheetViews>
  <sheetFormatPr defaultRowHeight="12.75" x14ac:dyDescent="0.2"/>
  <cols>
    <col min="1" max="1" width="23.42578125" style="1" customWidth="1"/>
    <col min="2" max="2" width="9" style="1" customWidth="1"/>
    <col min="3" max="3" width="10.85546875" style="1" customWidth="1"/>
    <col min="4" max="4" width="12.28515625" style="1" customWidth="1"/>
    <col min="5" max="7" width="10.42578125" style="1" customWidth="1"/>
    <col min="8" max="8" width="14.28515625" style="1" customWidth="1"/>
    <col min="9" max="9" width="15.7109375" style="1" customWidth="1"/>
    <col min="10" max="10" width="10" style="1" customWidth="1"/>
    <col min="11" max="12" width="10.42578125" style="1" customWidth="1"/>
    <col min="13" max="256" width="9.140625" style="1"/>
    <col min="257" max="257" width="22.5703125" style="1" customWidth="1"/>
    <col min="258" max="258" width="9" style="1" customWidth="1"/>
    <col min="259" max="259" width="10.85546875" style="1" customWidth="1"/>
    <col min="260" max="260" width="12.28515625" style="1" customWidth="1"/>
    <col min="261" max="263" width="10.42578125" style="1" customWidth="1"/>
    <col min="264" max="264" width="13.5703125" style="1" customWidth="1"/>
    <col min="265" max="265" width="13.28515625" style="1" customWidth="1"/>
    <col min="266" max="266" width="12.140625" style="1" customWidth="1"/>
    <col min="267" max="268" width="10.42578125" style="1" customWidth="1"/>
    <col min="269" max="512" width="9.140625" style="1"/>
    <col min="513" max="513" width="22.5703125" style="1" customWidth="1"/>
    <col min="514" max="514" width="9" style="1" customWidth="1"/>
    <col min="515" max="515" width="10.85546875" style="1" customWidth="1"/>
    <col min="516" max="516" width="12.28515625" style="1" customWidth="1"/>
    <col min="517" max="519" width="10.42578125" style="1" customWidth="1"/>
    <col min="520" max="520" width="13.5703125" style="1" customWidth="1"/>
    <col min="521" max="521" width="13.28515625" style="1" customWidth="1"/>
    <col min="522" max="522" width="12.140625" style="1" customWidth="1"/>
    <col min="523" max="524" width="10.42578125" style="1" customWidth="1"/>
    <col min="525" max="768" width="9.140625" style="1"/>
    <col min="769" max="769" width="22.5703125" style="1" customWidth="1"/>
    <col min="770" max="770" width="9" style="1" customWidth="1"/>
    <col min="771" max="771" width="10.85546875" style="1" customWidth="1"/>
    <col min="772" max="772" width="12.28515625" style="1" customWidth="1"/>
    <col min="773" max="775" width="10.42578125" style="1" customWidth="1"/>
    <col min="776" max="776" width="13.5703125" style="1" customWidth="1"/>
    <col min="777" max="777" width="13.28515625" style="1" customWidth="1"/>
    <col min="778" max="778" width="12.140625" style="1" customWidth="1"/>
    <col min="779" max="780" width="10.42578125" style="1" customWidth="1"/>
    <col min="781" max="1024" width="9.140625" style="1"/>
    <col min="1025" max="1025" width="22.5703125" style="1" customWidth="1"/>
    <col min="1026" max="1026" width="9" style="1" customWidth="1"/>
    <col min="1027" max="1027" width="10.85546875" style="1" customWidth="1"/>
    <col min="1028" max="1028" width="12.28515625" style="1" customWidth="1"/>
    <col min="1029" max="1031" width="10.42578125" style="1" customWidth="1"/>
    <col min="1032" max="1032" width="13.5703125" style="1" customWidth="1"/>
    <col min="1033" max="1033" width="13.28515625" style="1" customWidth="1"/>
    <col min="1034" max="1034" width="12.140625" style="1" customWidth="1"/>
    <col min="1035" max="1036" width="10.42578125" style="1" customWidth="1"/>
    <col min="1037" max="1280" width="9.140625" style="1"/>
    <col min="1281" max="1281" width="22.5703125" style="1" customWidth="1"/>
    <col min="1282" max="1282" width="9" style="1" customWidth="1"/>
    <col min="1283" max="1283" width="10.85546875" style="1" customWidth="1"/>
    <col min="1284" max="1284" width="12.28515625" style="1" customWidth="1"/>
    <col min="1285" max="1287" width="10.42578125" style="1" customWidth="1"/>
    <col min="1288" max="1288" width="13.5703125" style="1" customWidth="1"/>
    <col min="1289" max="1289" width="13.28515625" style="1" customWidth="1"/>
    <col min="1290" max="1290" width="12.140625" style="1" customWidth="1"/>
    <col min="1291" max="1292" width="10.42578125" style="1" customWidth="1"/>
    <col min="1293" max="1536" width="9.140625" style="1"/>
    <col min="1537" max="1537" width="22.5703125" style="1" customWidth="1"/>
    <col min="1538" max="1538" width="9" style="1" customWidth="1"/>
    <col min="1539" max="1539" width="10.85546875" style="1" customWidth="1"/>
    <col min="1540" max="1540" width="12.28515625" style="1" customWidth="1"/>
    <col min="1541" max="1543" width="10.42578125" style="1" customWidth="1"/>
    <col min="1544" max="1544" width="13.5703125" style="1" customWidth="1"/>
    <col min="1545" max="1545" width="13.28515625" style="1" customWidth="1"/>
    <col min="1546" max="1546" width="12.140625" style="1" customWidth="1"/>
    <col min="1547" max="1548" width="10.42578125" style="1" customWidth="1"/>
    <col min="1549" max="1792" width="9.140625" style="1"/>
    <col min="1793" max="1793" width="22.5703125" style="1" customWidth="1"/>
    <col min="1794" max="1794" width="9" style="1" customWidth="1"/>
    <col min="1795" max="1795" width="10.85546875" style="1" customWidth="1"/>
    <col min="1796" max="1796" width="12.28515625" style="1" customWidth="1"/>
    <col min="1797" max="1799" width="10.42578125" style="1" customWidth="1"/>
    <col min="1800" max="1800" width="13.5703125" style="1" customWidth="1"/>
    <col min="1801" max="1801" width="13.28515625" style="1" customWidth="1"/>
    <col min="1802" max="1802" width="12.140625" style="1" customWidth="1"/>
    <col min="1803" max="1804" width="10.42578125" style="1" customWidth="1"/>
    <col min="1805" max="2048" width="9.140625" style="1"/>
    <col min="2049" max="2049" width="22.5703125" style="1" customWidth="1"/>
    <col min="2050" max="2050" width="9" style="1" customWidth="1"/>
    <col min="2051" max="2051" width="10.85546875" style="1" customWidth="1"/>
    <col min="2052" max="2052" width="12.28515625" style="1" customWidth="1"/>
    <col min="2053" max="2055" width="10.42578125" style="1" customWidth="1"/>
    <col min="2056" max="2056" width="13.5703125" style="1" customWidth="1"/>
    <col min="2057" max="2057" width="13.28515625" style="1" customWidth="1"/>
    <col min="2058" max="2058" width="12.140625" style="1" customWidth="1"/>
    <col min="2059" max="2060" width="10.42578125" style="1" customWidth="1"/>
    <col min="2061" max="2304" width="9.140625" style="1"/>
    <col min="2305" max="2305" width="22.5703125" style="1" customWidth="1"/>
    <col min="2306" max="2306" width="9" style="1" customWidth="1"/>
    <col min="2307" max="2307" width="10.85546875" style="1" customWidth="1"/>
    <col min="2308" max="2308" width="12.28515625" style="1" customWidth="1"/>
    <col min="2309" max="2311" width="10.42578125" style="1" customWidth="1"/>
    <col min="2312" max="2312" width="13.5703125" style="1" customWidth="1"/>
    <col min="2313" max="2313" width="13.28515625" style="1" customWidth="1"/>
    <col min="2314" max="2314" width="12.140625" style="1" customWidth="1"/>
    <col min="2315" max="2316" width="10.42578125" style="1" customWidth="1"/>
    <col min="2317" max="2560" width="9.140625" style="1"/>
    <col min="2561" max="2561" width="22.5703125" style="1" customWidth="1"/>
    <col min="2562" max="2562" width="9" style="1" customWidth="1"/>
    <col min="2563" max="2563" width="10.85546875" style="1" customWidth="1"/>
    <col min="2564" max="2564" width="12.28515625" style="1" customWidth="1"/>
    <col min="2565" max="2567" width="10.42578125" style="1" customWidth="1"/>
    <col min="2568" max="2568" width="13.5703125" style="1" customWidth="1"/>
    <col min="2569" max="2569" width="13.28515625" style="1" customWidth="1"/>
    <col min="2570" max="2570" width="12.140625" style="1" customWidth="1"/>
    <col min="2571" max="2572" width="10.42578125" style="1" customWidth="1"/>
    <col min="2573" max="2816" width="9.140625" style="1"/>
    <col min="2817" max="2817" width="22.5703125" style="1" customWidth="1"/>
    <col min="2818" max="2818" width="9" style="1" customWidth="1"/>
    <col min="2819" max="2819" width="10.85546875" style="1" customWidth="1"/>
    <col min="2820" max="2820" width="12.28515625" style="1" customWidth="1"/>
    <col min="2821" max="2823" width="10.42578125" style="1" customWidth="1"/>
    <col min="2824" max="2824" width="13.5703125" style="1" customWidth="1"/>
    <col min="2825" max="2825" width="13.28515625" style="1" customWidth="1"/>
    <col min="2826" max="2826" width="12.140625" style="1" customWidth="1"/>
    <col min="2827" max="2828" width="10.42578125" style="1" customWidth="1"/>
    <col min="2829" max="3072" width="9.140625" style="1"/>
    <col min="3073" max="3073" width="22.5703125" style="1" customWidth="1"/>
    <col min="3074" max="3074" width="9" style="1" customWidth="1"/>
    <col min="3075" max="3075" width="10.85546875" style="1" customWidth="1"/>
    <col min="3076" max="3076" width="12.28515625" style="1" customWidth="1"/>
    <col min="3077" max="3079" width="10.42578125" style="1" customWidth="1"/>
    <col min="3080" max="3080" width="13.5703125" style="1" customWidth="1"/>
    <col min="3081" max="3081" width="13.28515625" style="1" customWidth="1"/>
    <col min="3082" max="3082" width="12.140625" style="1" customWidth="1"/>
    <col min="3083" max="3084" width="10.42578125" style="1" customWidth="1"/>
    <col min="3085" max="3328" width="9.140625" style="1"/>
    <col min="3329" max="3329" width="22.5703125" style="1" customWidth="1"/>
    <col min="3330" max="3330" width="9" style="1" customWidth="1"/>
    <col min="3331" max="3331" width="10.85546875" style="1" customWidth="1"/>
    <col min="3332" max="3332" width="12.28515625" style="1" customWidth="1"/>
    <col min="3333" max="3335" width="10.42578125" style="1" customWidth="1"/>
    <col min="3336" max="3336" width="13.5703125" style="1" customWidth="1"/>
    <col min="3337" max="3337" width="13.28515625" style="1" customWidth="1"/>
    <col min="3338" max="3338" width="12.140625" style="1" customWidth="1"/>
    <col min="3339" max="3340" width="10.42578125" style="1" customWidth="1"/>
    <col min="3341" max="3584" width="9.140625" style="1"/>
    <col min="3585" max="3585" width="22.5703125" style="1" customWidth="1"/>
    <col min="3586" max="3586" width="9" style="1" customWidth="1"/>
    <col min="3587" max="3587" width="10.85546875" style="1" customWidth="1"/>
    <col min="3588" max="3588" width="12.28515625" style="1" customWidth="1"/>
    <col min="3589" max="3591" width="10.42578125" style="1" customWidth="1"/>
    <col min="3592" max="3592" width="13.5703125" style="1" customWidth="1"/>
    <col min="3593" max="3593" width="13.28515625" style="1" customWidth="1"/>
    <col min="3594" max="3594" width="12.140625" style="1" customWidth="1"/>
    <col min="3595" max="3596" width="10.42578125" style="1" customWidth="1"/>
    <col min="3597" max="3840" width="9.140625" style="1"/>
    <col min="3841" max="3841" width="22.5703125" style="1" customWidth="1"/>
    <col min="3842" max="3842" width="9" style="1" customWidth="1"/>
    <col min="3843" max="3843" width="10.85546875" style="1" customWidth="1"/>
    <col min="3844" max="3844" width="12.28515625" style="1" customWidth="1"/>
    <col min="3845" max="3847" width="10.42578125" style="1" customWidth="1"/>
    <col min="3848" max="3848" width="13.5703125" style="1" customWidth="1"/>
    <col min="3849" max="3849" width="13.28515625" style="1" customWidth="1"/>
    <col min="3850" max="3850" width="12.140625" style="1" customWidth="1"/>
    <col min="3851" max="3852" width="10.42578125" style="1" customWidth="1"/>
    <col min="3853" max="4096" width="9.140625" style="1"/>
    <col min="4097" max="4097" width="22.5703125" style="1" customWidth="1"/>
    <col min="4098" max="4098" width="9" style="1" customWidth="1"/>
    <col min="4099" max="4099" width="10.85546875" style="1" customWidth="1"/>
    <col min="4100" max="4100" width="12.28515625" style="1" customWidth="1"/>
    <col min="4101" max="4103" width="10.42578125" style="1" customWidth="1"/>
    <col min="4104" max="4104" width="13.5703125" style="1" customWidth="1"/>
    <col min="4105" max="4105" width="13.28515625" style="1" customWidth="1"/>
    <col min="4106" max="4106" width="12.140625" style="1" customWidth="1"/>
    <col min="4107" max="4108" width="10.42578125" style="1" customWidth="1"/>
    <col min="4109" max="4352" width="9.140625" style="1"/>
    <col min="4353" max="4353" width="22.5703125" style="1" customWidth="1"/>
    <col min="4354" max="4354" width="9" style="1" customWidth="1"/>
    <col min="4355" max="4355" width="10.85546875" style="1" customWidth="1"/>
    <col min="4356" max="4356" width="12.28515625" style="1" customWidth="1"/>
    <col min="4357" max="4359" width="10.42578125" style="1" customWidth="1"/>
    <col min="4360" max="4360" width="13.5703125" style="1" customWidth="1"/>
    <col min="4361" max="4361" width="13.28515625" style="1" customWidth="1"/>
    <col min="4362" max="4362" width="12.140625" style="1" customWidth="1"/>
    <col min="4363" max="4364" width="10.42578125" style="1" customWidth="1"/>
    <col min="4365" max="4608" width="9.140625" style="1"/>
    <col min="4609" max="4609" width="22.5703125" style="1" customWidth="1"/>
    <col min="4610" max="4610" width="9" style="1" customWidth="1"/>
    <col min="4611" max="4611" width="10.85546875" style="1" customWidth="1"/>
    <col min="4612" max="4612" width="12.28515625" style="1" customWidth="1"/>
    <col min="4613" max="4615" width="10.42578125" style="1" customWidth="1"/>
    <col min="4616" max="4616" width="13.5703125" style="1" customWidth="1"/>
    <col min="4617" max="4617" width="13.28515625" style="1" customWidth="1"/>
    <col min="4618" max="4618" width="12.140625" style="1" customWidth="1"/>
    <col min="4619" max="4620" width="10.42578125" style="1" customWidth="1"/>
    <col min="4621" max="4864" width="9.140625" style="1"/>
    <col min="4865" max="4865" width="22.5703125" style="1" customWidth="1"/>
    <col min="4866" max="4866" width="9" style="1" customWidth="1"/>
    <col min="4867" max="4867" width="10.85546875" style="1" customWidth="1"/>
    <col min="4868" max="4868" width="12.28515625" style="1" customWidth="1"/>
    <col min="4869" max="4871" width="10.42578125" style="1" customWidth="1"/>
    <col min="4872" max="4872" width="13.5703125" style="1" customWidth="1"/>
    <col min="4873" max="4873" width="13.28515625" style="1" customWidth="1"/>
    <col min="4874" max="4874" width="12.140625" style="1" customWidth="1"/>
    <col min="4875" max="4876" width="10.42578125" style="1" customWidth="1"/>
    <col min="4877" max="5120" width="9.140625" style="1"/>
    <col min="5121" max="5121" width="22.5703125" style="1" customWidth="1"/>
    <col min="5122" max="5122" width="9" style="1" customWidth="1"/>
    <col min="5123" max="5123" width="10.85546875" style="1" customWidth="1"/>
    <col min="5124" max="5124" width="12.28515625" style="1" customWidth="1"/>
    <col min="5125" max="5127" width="10.42578125" style="1" customWidth="1"/>
    <col min="5128" max="5128" width="13.5703125" style="1" customWidth="1"/>
    <col min="5129" max="5129" width="13.28515625" style="1" customWidth="1"/>
    <col min="5130" max="5130" width="12.140625" style="1" customWidth="1"/>
    <col min="5131" max="5132" width="10.42578125" style="1" customWidth="1"/>
    <col min="5133" max="5376" width="9.140625" style="1"/>
    <col min="5377" max="5377" width="22.5703125" style="1" customWidth="1"/>
    <col min="5378" max="5378" width="9" style="1" customWidth="1"/>
    <col min="5379" max="5379" width="10.85546875" style="1" customWidth="1"/>
    <col min="5380" max="5380" width="12.28515625" style="1" customWidth="1"/>
    <col min="5381" max="5383" width="10.42578125" style="1" customWidth="1"/>
    <col min="5384" max="5384" width="13.5703125" style="1" customWidth="1"/>
    <col min="5385" max="5385" width="13.28515625" style="1" customWidth="1"/>
    <col min="5386" max="5386" width="12.140625" style="1" customWidth="1"/>
    <col min="5387" max="5388" width="10.42578125" style="1" customWidth="1"/>
    <col min="5389" max="5632" width="9.140625" style="1"/>
    <col min="5633" max="5633" width="22.5703125" style="1" customWidth="1"/>
    <col min="5634" max="5634" width="9" style="1" customWidth="1"/>
    <col min="5635" max="5635" width="10.85546875" style="1" customWidth="1"/>
    <col min="5636" max="5636" width="12.28515625" style="1" customWidth="1"/>
    <col min="5637" max="5639" width="10.42578125" style="1" customWidth="1"/>
    <col min="5640" max="5640" width="13.5703125" style="1" customWidth="1"/>
    <col min="5641" max="5641" width="13.28515625" style="1" customWidth="1"/>
    <col min="5642" max="5642" width="12.140625" style="1" customWidth="1"/>
    <col min="5643" max="5644" width="10.42578125" style="1" customWidth="1"/>
    <col min="5645" max="5888" width="9.140625" style="1"/>
    <col min="5889" max="5889" width="22.5703125" style="1" customWidth="1"/>
    <col min="5890" max="5890" width="9" style="1" customWidth="1"/>
    <col min="5891" max="5891" width="10.85546875" style="1" customWidth="1"/>
    <col min="5892" max="5892" width="12.28515625" style="1" customWidth="1"/>
    <col min="5893" max="5895" width="10.42578125" style="1" customWidth="1"/>
    <col min="5896" max="5896" width="13.5703125" style="1" customWidth="1"/>
    <col min="5897" max="5897" width="13.28515625" style="1" customWidth="1"/>
    <col min="5898" max="5898" width="12.140625" style="1" customWidth="1"/>
    <col min="5899" max="5900" width="10.42578125" style="1" customWidth="1"/>
    <col min="5901" max="6144" width="9.140625" style="1"/>
    <col min="6145" max="6145" width="22.5703125" style="1" customWidth="1"/>
    <col min="6146" max="6146" width="9" style="1" customWidth="1"/>
    <col min="6147" max="6147" width="10.85546875" style="1" customWidth="1"/>
    <col min="6148" max="6148" width="12.28515625" style="1" customWidth="1"/>
    <col min="6149" max="6151" width="10.42578125" style="1" customWidth="1"/>
    <col min="6152" max="6152" width="13.5703125" style="1" customWidth="1"/>
    <col min="6153" max="6153" width="13.28515625" style="1" customWidth="1"/>
    <col min="6154" max="6154" width="12.140625" style="1" customWidth="1"/>
    <col min="6155" max="6156" width="10.42578125" style="1" customWidth="1"/>
    <col min="6157" max="6400" width="9.140625" style="1"/>
    <col min="6401" max="6401" width="22.5703125" style="1" customWidth="1"/>
    <col min="6402" max="6402" width="9" style="1" customWidth="1"/>
    <col min="6403" max="6403" width="10.85546875" style="1" customWidth="1"/>
    <col min="6404" max="6404" width="12.28515625" style="1" customWidth="1"/>
    <col min="6405" max="6407" width="10.42578125" style="1" customWidth="1"/>
    <col min="6408" max="6408" width="13.5703125" style="1" customWidth="1"/>
    <col min="6409" max="6409" width="13.28515625" style="1" customWidth="1"/>
    <col min="6410" max="6410" width="12.140625" style="1" customWidth="1"/>
    <col min="6411" max="6412" width="10.42578125" style="1" customWidth="1"/>
    <col min="6413" max="6656" width="9.140625" style="1"/>
    <col min="6657" max="6657" width="22.5703125" style="1" customWidth="1"/>
    <col min="6658" max="6658" width="9" style="1" customWidth="1"/>
    <col min="6659" max="6659" width="10.85546875" style="1" customWidth="1"/>
    <col min="6660" max="6660" width="12.28515625" style="1" customWidth="1"/>
    <col min="6661" max="6663" width="10.42578125" style="1" customWidth="1"/>
    <col min="6664" max="6664" width="13.5703125" style="1" customWidth="1"/>
    <col min="6665" max="6665" width="13.28515625" style="1" customWidth="1"/>
    <col min="6666" max="6666" width="12.140625" style="1" customWidth="1"/>
    <col min="6667" max="6668" width="10.42578125" style="1" customWidth="1"/>
    <col min="6669" max="6912" width="9.140625" style="1"/>
    <col min="6913" max="6913" width="22.5703125" style="1" customWidth="1"/>
    <col min="6914" max="6914" width="9" style="1" customWidth="1"/>
    <col min="6915" max="6915" width="10.85546875" style="1" customWidth="1"/>
    <col min="6916" max="6916" width="12.28515625" style="1" customWidth="1"/>
    <col min="6917" max="6919" width="10.42578125" style="1" customWidth="1"/>
    <col min="6920" max="6920" width="13.5703125" style="1" customWidth="1"/>
    <col min="6921" max="6921" width="13.28515625" style="1" customWidth="1"/>
    <col min="6922" max="6922" width="12.140625" style="1" customWidth="1"/>
    <col min="6923" max="6924" width="10.42578125" style="1" customWidth="1"/>
    <col min="6925" max="7168" width="9.140625" style="1"/>
    <col min="7169" max="7169" width="22.5703125" style="1" customWidth="1"/>
    <col min="7170" max="7170" width="9" style="1" customWidth="1"/>
    <col min="7171" max="7171" width="10.85546875" style="1" customWidth="1"/>
    <col min="7172" max="7172" width="12.28515625" style="1" customWidth="1"/>
    <col min="7173" max="7175" width="10.42578125" style="1" customWidth="1"/>
    <col min="7176" max="7176" width="13.5703125" style="1" customWidth="1"/>
    <col min="7177" max="7177" width="13.28515625" style="1" customWidth="1"/>
    <col min="7178" max="7178" width="12.140625" style="1" customWidth="1"/>
    <col min="7179" max="7180" width="10.42578125" style="1" customWidth="1"/>
    <col min="7181" max="7424" width="9.140625" style="1"/>
    <col min="7425" max="7425" width="22.5703125" style="1" customWidth="1"/>
    <col min="7426" max="7426" width="9" style="1" customWidth="1"/>
    <col min="7427" max="7427" width="10.85546875" style="1" customWidth="1"/>
    <col min="7428" max="7428" width="12.28515625" style="1" customWidth="1"/>
    <col min="7429" max="7431" width="10.42578125" style="1" customWidth="1"/>
    <col min="7432" max="7432" width="13.5703125" style="1" customWidth="1"/>
    <col min="7433" max="7433" width="13.28515625" style="1" customWidth="1"/>
    <col min="7434" max="7434" width="12.140625" style="1" customWidth="1"/>
    <col min="7435" max="7436" width="10.42578125" style="1" customWidth="1"/>
    <col min="7437" max="7680" width="9.140625" style="1"/>
    <col min="7681" max="7681" width="22.5703125" style="1" customWidth="1"/>
    <col min="7682" max="7682" width="9" style="1" customWidth="1"/>
    <col min="7683" max="7683" width="10.85546875" style="1" customWidth="1"/>
    <col min="7684" max="7684" width="12.28515625" style="1" customWidth="1"/>
    <col min="7685" max="7687" width="10.42578125" style="1" customWidth="1"/>
    <col min="7688" max="7688" width="13.5703125" style="1" customWidth="1"/>
    <col min="7689" max="7689" width="13.28515625" style="1" customWidth="1"/>
    <col min="7690" max="7690" width="12.140625" style="1" customWidth="1"/>
    <col min="7691" max="7692" width="10.42578125" style="1" customWidth="1"/>
    <col min="7693" max="7936" width="9.140625" style="1"/>
    <col min="7937" max="7937" width="22.5703125" style="1" customWidth="1"/>
    <col min="7938" max="7938" width="9" style="1" customWidth="1"/>
    <col min="7939" max="7939" width="10.85546875" style="1" customWidth="1"/>
    <col min="7940" max="7940" width="12.28515625" style="1" customWidth="1"/>
    <col min="7941" max="7943" width="10.42578125" style="1" customWidth="1"/>
    <col min="7944" max="7944" width="13.5703125" style="1" customWidth="1"/>
    <col min="7945" max="7945" width="13.28515625" style="1" customWidth="1"/>
    <col min="7946" max="7946" width="12.140625" style="1" customWidth="1"/>
    <col min="7947" max="7948" width="10.42578125" style="1" customWidth="1"/>
    <col min="7949" max="8192" width="9.140625" style="1"/>
    <col min="8193" max="8193" width="22.5703125" style="1" customWidth="1"/>
    <col min="8194" max="8194" width="9" style="1" customWidth="1"/>
    <col min="8195" max="8195" width="10.85546875" style="1" customWidth="1"/>
    <col min="8196" max="8196" width="12.28515625" style="1" customWidth="1"/>
    <col min="8197" max="8199" width="10.42578125" style="1" customWidth="1"/>
    <col min="8200" max="8200" width="13.5703125" style="1" customWidth="1"/>
    <col min="8201" max="8201" width="13.28515625" style="1" customWidth="1"/>
    <col min="8202" max="8202" width="12.140625" style="1" customWidth="1"/>
    <col min="8203" max="8204" width="10.42578125" style="1" customWidth="1"/>
    <col min="8205" max="8448" width="9.140625" style="1"/>
    <col min="8449" max="8449" width="22.5703125" style="1" customWidth="1"/>
    <col min="8450" max="8450" width="9" style="1" customWidth="1"/>
    <col min="8451" max="8451" width="10.85546875" style="1" customWidth="1"/>
    <col min="8452" max="8452" width="12.28515625" style="1" customWidth="1"/>
    <col min="8453" max="8455" width="10.42578125" style="1" customWidth="1"/>
    <col min="8456" max="8456" width="13.5703125" style="1" customWidth="1"/>
    <col min="8457" max="8457" width="13.28515625" style="1" customWidth="1"/>
    <col min="8458" max="8458" width="12.140625" style="1" customWidth="1"/>
    <col min="8459" max="8460" width="10.42578125" style="1" customWidth="1"/>
    <col min="8461" max="8704" width="9.140625" style="1"/>
    <col min="8705" max="8705" width="22.5703125" style="1" customWidth="1"/>
    <col min="8706" max="8706" width="9" style="1" customWidth="1"/>
    <col min="8707" max="8707" width="10.85546875" style="1" customWidth="1"/>
    <col min="8708" max="8708" width="12.28515625" style="1" customWidth="1"/>
    <col min="8709" max="8711" width="10.42578125" style="1" customWidth="1"/>
    <col min="8712" max="8712" width="13.5703125" style="1" customWidth="1"/>
    <col min="8713" max="8713" width="13.28515625" style="1" customWidth="1"/>
    <col min="8714" max="8714" width="12.140625" style="1" customWidth="1"/>
    <col min="8715" max="8716" width="10.42578125" style="1" customWidth="1"/>
    <col min="8717" max="8960" width="9.140625" style="1"/>
    <col min="8961" max="8961" width="22.5703125" style="1" customWidth="1"/>
    <col min="8962" max="8962" width="9" style="1" customWidth="1"/>
    <col min="8963" max="8963" width="10.85546875" style="1" customWidth="1"/>
    <col min="8964" max="8964" width="12.28515625" style="1" customWidth="1"/>
    <col min="8965" max="8967" width="10.42578125" style="1" customWidth="1"/>
    <col min="8968" max="8968" width="13.5703125" style="1" customWidth="1"/>
    <col min="8969" max="8969" width="13.28515625" style="1" customWidth="1"/>
    <col min="8970" max="8970" width="12.140625" style="1" customWidth="1"/>
    <col min="8971" max="8972" width="10.42578125" style="1" customWidth="1"/>
    <col min="8973" max="9216" width="9.140625" style="1"/>
    <col min="9217" max="9217" width="22.5703125" style="1" customWidth="1"/>
    <col min="9218" max="9218" width="9" style="1" customWidth="1"/>
    <col min="9219" max="9219" width="10.85546875" style="1" customWidth="1"/>
    <col min="9220" max="9220" width="12.28515625" style="1" customWidth="1"/>
    <col min="9221" max="9223" width="10.42578125" style="1" customWidth="1"/>
    <col min="9224" max="9224" width="13.5703125" style="1" customWidth="1"/>
    <col min="9225" max="9225" width="13.28515625" style="1" customWidth="1"/>
    <col min="9226" max="9226" width="12.140625" style="1" customWidth="1"/>
    <col min="9227" max="9228" width="10.42578125" style="1" customWidth="1"/>
    <col min="9229" max="9472" width="9.140625" style="1"/>
    <col min="9473" max="9473" width="22.5703125" style="1" customWidth="1"/>
    <col min="9474" max="9474" width="9" style="1" customWidth="1"/>
    <col min="9475" max="9475" width="10.85546875" style="1" customWidth="1"/>
    <col min="9476" max="9476" width="12.28515625" style="1" customWidth="1"/>
    <col min="9477" max="9479" width="10.42578125" style="1" customWidth="1"/>
    <col min="9480" max="9480" width="13.5703125" style="1" customWidth="1"/>
    <col min="9481" max="9481" width="13.28515625" style="1" customWidth="1"/>
    <col min="9482" max="9482" width="12.140625" style="1" customWidth="1"/>
    <col min="9483" max="9484" width="10.42578125" style="1" customWidth="1"/>
    <col min="9485" max="9728" width="9.140625" style="1"/>
    <col min="9729" max="9729" width="22.5703125" style="1" customWidth="1"/>
    <col min="9730" max="9730" width="9" style="1" customWidth="1"/>
    <col min="9731" max="9731" width="10.85546875" style="1" customWidth="1"/>
    <col min="9732" max="9732" width="12.28515625" style="1" customWidth="1"/>
    <col min="9733" max="9735" width="10.42578125" style="1" customWidth="1"/>
    <col min="9736" max="9736" width="13.5703125" style="1" customWidth="1"/>
    <col min="9737" max="9737" width="13.28515625" style="1" customWidth="1"/>
    <col min="9738" max="9738" width="12.140625" style="1" customWidth="1"/>
    <col min="9739" max="9740" width="10.42578125" style="1" customWidth="1"/>
    <col min="9741" max="9984" width="9.140625" style="1"/>
    <col min="9985" max="9985" width="22.5703125" style="1" customWidth="1"/>
    <col min="9986" max="9986" width="9" style="1" customWidth="1"/>
    <col min="9987" max="9987" width="10.85546875" style="1" customWidth="1"/>
    <col min="9988" max="9988" width="12.28515625" style="1" customWidth="1"/>
    <col min="9989" max="9991" width="10.42578125" style="1" customWidth="1"/>
    <col min="9992" max="9992" width="13.5703125" style="1" customWidth="1"/>
    <col min="9993" max="9993" width="13.28515625" style="1" customWidth="1"/>
    <col min="9994" max="9994" width="12.140625" style="1" customWidth="1"/>
    <col min="9995" max="9996" width="10.42578125" style="1" customWidth="1"/>
    <col min="9997" max="10240" width="9.140625" style="1"/>
    <col min="10241" max="10241" width="22.5703125" style="1" customWidth="1"/>
    <col min="10242" max="10242" width="9" style="1" customWidth="1"/>
    <col min="10243" max="10243" width="10.85546875" style="1" customWidth="1"/>
    <col min="10244" max="10244" width="12.28515625" style="1" customWidth="1"/>
    <col min="10245" max="10247" width="10.42578125" style="1" customWidth="1"/>
    <col min="10248" max="10248" width="13.5703125" style="1" customWidth="1"/>
    <col min="10249" max="10249" width="13.28515625" style="1" customWidth="1"/>
    <col min="10250" max="10250" width="12.140625" style="1" customWidth="1"/>
    <col min="10251" max="10252" width="10.42578125" style="1" customWidth="1"/>
    <col min="10253" max="10496" width="9.140625" style="1"/>
    <col min="10497" max="10497" width="22.5703125" style="1" customWidth="1"/>
    <col min="10498" max="10498" width="9" style="1" customWidth="1"/>
    <col min="10499" max="10499" width="10.85546875" style="1" customWidth="1"/>
    <col min="10500" max="10500" width="12.28515625" style="1" customWidth="1"/>
    <col min="10501" max="10503" width="10.42578125" style="1" customWidth="1"/>
    <col min="10504" max="10504" width="13.5703125" style="1" customWidth="1"/>
    <col min="10505" max="10505" width="13.28515625" style="1" customWidth="1"/>
    <col min="10506" max="10506" width="12.140625" style="1" customWidth="1"/>
    <col min="10507" max="10508" width="10.42578125" style="1" customWidth="1"/>
    <col min="10509" max="10752" width="9.140625" style="1"/>
    <col min="10753" max="10753" width="22.5703125" style="1" customWidth="1"/>
    <col min="10754" max="10754" width="9" style="1" customWidth="1"/>
    <col min="10755" max="10755" width="10.85546875" style="1" customWidth="1"/>
    <col min="10756" max="10756" width="12.28515625" style="1" customWidth="1"/>
    <col min="10757" max="10759" width="10.42578125" style="1" customWidth="1"/>
    <col min="10760" max="10760" width="13.5703125" style="1" customWidth="1"/>
    <col min="10761" max="10761" width="13.28515625" style="1" customWidth="1"/>
    <col min="10762" max="10762" width="12.140625" style="1" customWidth="1"/>
    <col min="10763" max="10764" width="10.42578125" style="1" customWidth="1"/>
    <col min="10765" max="11008" width="9.140625" style="1"/>
    <col min="11009" max="11009" width="22.5703125" style="1" customWidth="1"/>
    <col min="11010" max="11010" width="9" style="1" customWidth="1"/>
    <col min="11011" max="11011" width="10.85546875" style="1" customWidth="1"/>
    <col min="11012" max="11012" width="12.28515625" style="1" customWidth="1"/>
    <col min="11013" max="11015" width="10.42578125" style="1" customWidth="1"/>
    <col min="11016" max="11016" width="13.5703125" style="1" customWidth="1"/>
    <col min="11017" max="11017" width="13.28515625" style="1" customWidth="1"/>
    <col min="11018" max="11018" width="12.140625" style="1" customWidth="1"/>
    <col min="11019" max="11020" width="10.42578125" style="1" customWidth="1"/>
    <col min="11021" max="11264" width="9.140625" style="1"/>
    <col min="11265" max="11265" width="22.5703125" style="1" customWidth="1"/>
    <col min="11266" max="11266" width="9" style="1" customWidth="1"/>
    <col min="11267" max="11267" width="10.85546875" style="1" customWidth="1"/>
    <col min="11268" max="11268" width="12.28515625" style="1" customWidth="1"/>
    <col min="11269" max="11271" width="10.42578125" style="1" customWidth="1"/>
    <col min="11272" max="11272" width="13.5703125" style="1" customWidth="1"/>
    <col min="11273" max="11273" width="13.28515625" style="1" customWidth="1"/>
    <col min="11274" max="11274" width="12.140625" style="1" customWidth="1"/>
    <col min="11275" max="11276" width="10.42578125" style="1" customWidth="1"/>
    <col min="11277" max="11520" width="9.140625" style="1"/>
    <col min="11521" max="11521" width="22.5703125" style="1" customWidth="1"/>
    <col min="11522" max="11522" width="9" style="1" customWidth="1"/>
    <col min="11523" max="11523" width="10.85546875" style="1" customWidth="1"/>
    <col min="11524" max="11524" width="12.28515625" style="1" customWidth="1"/>
    <col min="11525" max="11527" width="10.42578125" style="1" customWidth="1"/>
    <col min="11528" max="11528" width="13.5703125" style="1" customWidth="1"/>
    <col min="11529" max="11529" width="13.28515625" style="1" customWidth="1"/>
    <col min="11530" max="11530" width="12.140625" style="1" customWidth="1"/>
    <col min="11531" max="11532" width="10.42578125" style="1" customWidth="1"/>
    <col min="11533" max="11776" width="9.140625" style="1"/>
    <col min="11777" max="11777" width="22.5703125" style="1" customWidth="1"/>
    <col min="11778" max="11778" width="9" style="1" customWidth="1"/>
    <col min="11779" max="11779" width="10.85546875" style="1" customWidth="1"/>
    <col min="11780" max="11780" width="12.28515625" style="1" customWidth="1"/>
    <col min="11781" max="11783" width="10.42578125" style="1" customWidth="1"/>
    <col min="11784" max="11784" width="13.5703125" style="1" customWidth="1"/>
    <col min="11785" max="11785" width="13.28515625" style="1" customWidth="1"/>
    <col min="11786" max="11786" width="12.140625" style="1" customWidth="1"/>
    <col min="11787" max="11788" width="10.42578125" style="1" customWidth="1"/>
    <col min="11789" max="12032" width="9.140625" style="1"/>
    <col min="12033" max="12033" width="22.5703125" style="1" customWidth="1"/>
    <col min="12034" max="12034" width="9" style="1" customWidth="1"/>
    <col min="12035" max="12035" width="10.85546875" style="1" customWidth="1"/>
    <col min="12036" max="12036" width="12.28515625" style="1" customWidth="1"/>
    <col min="12037" max="12039" width="10.42578125" style="1" customWidth="1"/>
    <col min="12040" max="12040" width="13.5703125" style="1" customWidth="1"/>
    <col min="12041" max="12041" width="13.28515625" style="1" customWidth="1"/>
    <col min="12042" max="12042" width="12.140625" style="1" customWidth="1"/>
    <col min="12043" max="12044" width="10.42578125" style="1" customWidth="1"/>
    <col min="12045" max="12288" width="9.140625" style="1"/>
    <col min="12289" max="12289" width="22.5703125" style="1" customWidth="1"/>
    <col min="12290" max="12290" width="9" style="1" customWidth="1"/>
    <col min="12291" max="12291" width="10.85546875" style="1" customWidth="1"/>
    <col min="12292" max="12292" width="12.28515625" style="1" customWidth="1"/>
    <col min="12293" max="12295" width="10.42578125" style="1" customWidth="1"/>
    <col min="12296" max="12296" width="13.5703125" style="1" customWidth="1"/>
    <col min="12297" max="12297" width="13.28515625" style="1" customWidth="1"/>
    <col min="12298" max="12298" width="12.140625" style="1" customWidth="1"/>
    <col min="12299" max="12300" width="10.42578125" style="1" customWidth="1"/>
    <col min="12301" max="12544" width="9.140625" style="1"/>
    <col min="12545" max="12545" width="22.5703125" style="1" customWidth="1"/>
    <col min="12546" max="12546" width="9" style="1" customWidth="1"/>
    <col min="12547" max="12547" width="10.85546875" style="1" customWidth="1"/>
    <col min="12548" max="12548" width="12.28515625" style="1" customWidth="1"/>
    <col min="12549" max="12551" width="10.42578125" style="1" customWidth="1"/>
    <col min="12552" max="12552" width="13.5703125" style="1" customWidth="1"/>
    <col min="12553" max="12553" width="13.28515625" style="1" customWidth="1"/>
    <col min="12554" max="12554" width="12.140625" style="1" customWidth="1"/>
    <col min="12555" max="12556" width="10.42578125" style="1" customWidth="1"/>
    <col min="12557" max="12800" width="9.140625" style="1"/>
    <col min="12801" max="12801" width="22.5703125" style="1" customWidth="1"/>
    <col min="12802" max="12802" width="9" style="1" customWidth="1"/>
    <col min="12803" max="12803" width="10.85546875" style="1" customWidth="1"/>
    <col min="12804" max="12804" width="12.28515625" style="1" customWidth="1"/>
    <col min="12805" max="12807" width="10.42578125" style="1" customWidth="1"/>
    <col min="12808" max="12808" width="13.5703125" style="1" customWidth="1"/>
    <col min="12809" max="12809" width="13.28515625" style="1" customWidth="1"/>
    <col min="12810" max="12810" width="12.140625" style="1" customWidth="1"/>
    <col min="12811" max="12812" width="10.42578125" style="1" customWidth="1"/>
    <col min="12813" max="13056" width="9.140625" style="1"/>
    <col min="13057" max="13057" width="22.5703125" style="1" customWidth="1"/>
    <col min="13058" max="13058" width="9" style="1" customWidth="1"/>
    <col min="13059" max="13059" width="10.85546875" style="1" customWidth="1"/>
    <col min="13060" max="13060" width="12.28515625" style="1" customWidth="1"/>
    <col min="13061" max="13063" width="10.42578125" style="1" customWidth="1"/>
    <col min="13064" max="13064" width="13.5703125" style="1" customWidth="1"/>
    <col min="13065" max="13065" width="13.28515625" style="1" customWidth="1"/>
    <col min="13066" max="13066" width="12.140625" style="1" customWidth="1"/>
    <col min="13067" max="13068" width="10.42578125" style="1" customWidth="1"/>
    <col min="13069" max="13312" width="9.140625" style="1"/>
    <col min="13313" max="13313" width="22.5703125" style="1" customWidth="1"/>
    <col min="13314" max="13314" width="9" style="1" customWidth="1"/>
    <col min="13315" max="13315" width="10.85546875" style="1" customWidth="1"/>
    <col min="13316" max="13316" width="12.28515625" style="1" customWidth="1"/>
    <col min="13317" max="13319" width="10.42578125" style="1" customWidth="1"/>
    <col min="13320" max="13320" width="13.5703125" style="1" customWidth="1"/>
    <col min="13321" max="13321" width="13.28515625" style="1" customWidth="1"/>
    <col min="13322" max="13322" width="12.140625" style="1" customWidth="1"/>
    <col min="13323" max="13324" width="10.42578125" style="1" customWidth="1"/>
    <col min="13325" max="13568" width="9.140625" style="1"/>
    <col min="13569" max="13569" width="22.5703125" style="1" customWidth="1"/>
    <col min="13570" max="13570" width="9" style="1" customWidth="1"/>
    <col min="13571" max="13571" width="10.85546875" style="1" customWidth="1"/>
    <col min="13572" max="13572" width="12.28515625" style="1" customWidth="1"/>
    <col min="13573" max="13575" width="10.42578125" style="1" customWidth="1"/>
    <col min="13576" max="13576" width="13.5703125" style="1" customWidth="1"/>
    <col min="13577" max="13577" width="13.28515625" style="1" customWidth="1"/>
    <col min="13578" max="13578" width="12.140625" style="1" customWidth="1"/>
    <col min="13579" max="13580" width="10.42578125" style="1" customWidth="1"/>
    <col min="13581" max="13824" width="9.140625" style="1"/>
    <col min="13825" max="13825" width="22.5703125" style="1" customWidth="1"/>
    <col min="13826" max="13826" width="9" style="1" customWidth="1"/>
    <col min="13827" max="13827" width="10.85546875" style="1" customWidth="1"/>
    <col min="13828" max="13828" width="12.28515625" style="1" customWidth="1"/>
    <col min="13829" max="13831" width="10.42578125" style="1" customWidth="1"/>
    <col min="13832" max="13832" width="13.5703125" style="1" customWidth="1"/>
    <col min="13833" max="13833" width="13.28515625" style="1" customWidth="1"/>
    <col min="13834" max="13834" width="12.140625" style="1" customWidth="1"/>
    <col min="13835" max="13836" width="10.42578125" style="1" customWidth="1"/>
    <col min="13837" max="14080" width="9.140625" style="1"/>
    <col min="14081" max="14081" width="22.5703125" style="1" customWidth="1"/>
    <col min="14082" max="14082" width="9" style="1" customWidth="1"/>
    <col min="14083" max="14083" width="10.85546875" style="1" customWidth="1"/>
    <col min="14084" max="14084" width="12.28515625" style="1" customWidth="1"/>
    <col min="14085" max="14087" width="10.42578125" style="1" customWidth="1"/>
    <col min="14088" max="14088" width="13.5703125" style="1" customWidth="1"/>
    <col min="14089" max="14089" width="13.28515625" style="1" customWidth="1"/>
    <col min="14090" max="14090" width="12.140625" style="1" customWidth="1"/>
    <col min="14091" max="14092" width="10.42578125" style="1" customWidth="1"/>
    <col min="14093" max="14336" width="9.140625" style="1"/>
    <col min="14337" max="14337" width="22.5703125" style="1" customWidth="1"/>
    <col min="14338" max="14338" width="9" style="1" customWidth="1"/>
    <col min="14339" max="14339" width="10.85546875" style="1" customWidth="1"/>
    <col min="14340" max="14340" width="12.28515625" style="1" customWidth="1"/>
    <col min="14341" max="14343" width="10.42578125" style="1" customWidth="1"/>
    <col min="14344" max="14344" width="13.5703125" style="1" customWidth="1"/>
    <col min="14345" max="14345" width="13.28515625" style="1" customWidth="1"/>
    <col min="14346" max="14346" width="12.140625" style="1" customWidth="1"/>
    <col min="14347" max="14348" width="10.42578125" style="1" customWidth="1"/>
    <col min="14349" max="14592" width="9.140625" style="1"/>
    <col min="14593" max="14593" width="22.5703125" style="1" customWidth="1"/>
    <col min="14594" max="14594" width="9" style="1" customWidth="1"/>
    <col min="14595" max="14595" width="10.85546875" style="1" customWidth="1"/>
    <col min="14596" max="14596" width="12.28515625" style="1" customWidth="1"/>
    <col min="14597" max="14599" width="10.42578125" style="1" customWidth="1"/>
    <col min="14600" max="14600" width="13.5703125" style="1" customWidth="1"/>
    <col min="14601" max="14601" width="13.28515625" style="1" customWidth="1"/>
    <col min="14602" max="14602" width="12.140625" style="1" customWidth="1"/>
    <col min="14603" max="14604" width="10.42578125" style="1" customWidth="1"/>
    <col min="14605" max="14848" width="9.140625" style="1"/>
    <col min="14849" max="14849" width="22.5703125" style="1" customWidth="1"/>
    <col min="14850" max="14850" width="9" style="1" customWidth="1"/>
    <col min="14851" max="14851" width="10.85546875" style="1" customWidth="1"/>
    <col min="14852" max="14852" width="12.28515625" style="1" customWidth="1"/>
    <col min="14853" max="14855" width="10.42578125" style="1" customWidth="1"/>
    <col min="14856" max="14856" width="13.5703125" style="1" customWidth="1"/>
    <col min="14857" max="14857" width="13.28515625" style="1" customWidth="1"/>
    <col min="14858" max="14858" width="12.140625" style="1" customWidth="1"/>
    <col min="14859" max="14860" width="10.42578125" style="1" customWidth="1"/>
    <col min="14861" max="15104" width="9.140625" style="1"/>
    <col min="15105" max="15105" width="22.5703125" style="1" customWidth="1"/>
    <col min="15106" max="15106" width="9" style="1" customWidth="1"/>
    <col min="15107" max="15107" width="10.85546875" style="1" customWidth="1"/>
    <col min="15108" max="15108" width="12.28515625" style="1" customWidth="1"/>
    <col min="15109" max="15111" width="10.42578125" style="1" customWidth="1"/>
    <col min="15112" max="15112" width="13.5703125" style="1" customWidth="1"/>
    <col min="15113" max="15113" width="13.28515625" style="1" customWidth="1"/>
    <col min="15114" max="15114" width="12.140625" style="1" customWidth="1"/>
    <col min="15115" max="15116" width="10.42578125" style="1" customWidth="1"/>
    <col min="15117" max="15360" width="9.140625" style="1"/>
    <col min="15361" max="15361" width="22.5703125" style="1" customWidth="1"/>
    <col min="15362" max="15362" width="9" style="1" customWidth="1"/>
    <col min="15363" max="15363" width="10.85546875" style="1" customWidth="1"/>
    <col min="15364" max="15364" width="12.28515625" style="1" customWidth="1"/>
    <col min="15365" max="15367" width="10.42578125" style="1" customWidth="1"/>
    <col min="15368" max="15368" width="13.5703125" style="1" customWidth="1"/>
    <col min="15369" max="15369" width="13.28515625" style="1" customWidth="1"/>
    <col min="15370" max="15370" width="12.140625" style="1" customWidth="1"/>
    <col min="15371" max="15372" width="10.42578125" style="1" customWidth="1"/>
    <col min="15373" max="15616" width="9.140625" style="1"/>
    <col min="15617" max="15617" width="22.5703125" style="1" customWidth="1"/>
    <col min="15618" max="15618" width="9" style="1" customWidth="1"/>
    <col min="15619" max="15619" width="10.85546875" style="1" customWidth="1"/>
    <col min="15620" max="15620" width="12.28515625" style="1" customWidth="1"/>
    <col min="15621" max="15623" width="10.42578125" style="1" customWidth="1"/>
    <col min="15624" max="15624" width="13.5703125" style="1" customWidth="1"/>
    <col min="15625" max="15625" width="13.28515625" style="1" customWidth="1"/>
    <col min="15626" max="15626" width="12.140625" style="1" customWidth="1"/>
    <col min="15627" max="15628" width="10.42578125" style="1" customWidth="1"/>
    <col min="15629" max="15872" width="9.140625" style="1"/>
    <col min="15873" max="15873" width="22.5703125" style="1" customWidth="1"/>
    <col min="15874" max="15874" width="9" style="1" customWidth="1"/>
    <col min="15875" max="15875" width="10.85546875" style="1" customWidth="1"/>
    <col min="15876" max="15876" width="12.28515625" style="1" customWidth="1"/>
    <col min="15877" max="15879" width="10.42578125" style="1" customWidth="1"/>
    <col min="15880" max="15880" width="13.5703125" style="1" customWidth="1"/>
    <col min="15881" max="15881" width="13.28515625" style="1" customWidth="1"/>
    <col min="15882" max="15882" width="12.140625" style="1" customWidth="1"/>
    <col min="15883" max="15884" width="10.42578125" style="1" customWidth="1"/>
    <col min="15885" max="16128" width="9.140625" style="1"/>
    <col min="16129" max="16129" width="22.5703125" style="1" customWidth="1"/>
    <col min="16130" max="16130" width="9" style="1" customWidth="1"/>
    <col min="16131" max="16131" width="10.85546875" style="1" customWidth="1"/>
    <col min="16132" max="16132" width="12.28515625" style="1" customWidth="1"/>
    <col min="16133" max="16135" width="10.42578125" style="1" customWidth="1"/>
    <col min="16136" max="16136" width="13.5703125" style="1" customWidth="1"/>
    <col min="16137" max="16137" width="13.28515625" style="1" customWidth="1"/>
    <col min="16138" max="16138" width="12.140625" style="1" customWidth="1"/>
    <col min="16139" max="16140" width="10.42578125" style="1" customWidth="1"/>
    <col min="16141" max="16384" width="9.140625" style="1"/>
  </cols>
  <sheetData>
    <row r="1" spans="1:26" ht="38.25" customHeight="1" x14ac:dyDescent="0.2">
      <c r="A1" s="1655" t="s">
        <v>767</v>
      </c>
      <c r="B1" s="1655"/>
      <c r="C1" s="1655"/>
      <c r="D1" s="1655"/>
      <c r="E1" s="1655"/>
      <c r="F1" s="1655"/>
      <c r="G1" s="1655"/>
      <c r="H1" s="467"/>
      <c r="I1" s="467"/>
      <c r="J1" s="467"/>
      <c r="K1" s="467"/>
      <c r="L1" s="467"/>
    </row>
    <row r="2" spans="1:26" ht="15" x14ac:dyDescent="0.25">
      <c r="A2" s="2"/>
      <c r="L2" s="234" t="s">
        <v>0</v>
      </c>
    </row>
    <row r="3" spans="1:26" x14ac:dyDescent="0.2">
      <c r="A3" s="1629" t="s">
        <v>22</v>
      </c>
      <c r="B3" s="1674" t="s">
        <v>133</v>
      </c>
      <c r="C3" s="1675"/>
      <c r="D3" s="1675"/>
      <c r="E3" s="1675"/>
      <c r="F3" s="1675"/>
      <c r="G3" s="1675"/>
      <c r="H3" s="1675"/>
      <c r="I3" s="1675"/>
      <c r="J3" s="1675"/>
      <c r="K3" s="1676"/>
      <c r="L3" s="1716" t="s">
        <v>333</v>
      </c>
    </row>
    <row r="4" spans="1:26" ht="52.5" customHeight="1" x14ac:dyDescent="0.2">
      <c r="A4" s="1630"/>
      <c r="B4" s="1222" t="s">
        <v>95</v>
      </c>
      <c r="C4" s="1223" t="s">
        <v>96</v>
      </c>
      <c r="D4" s="1223" t="s">
        <v>1004</v>
      </c>
      <c r="E4" s="1223" t="s">
        <v>999</v>
      </c>
      <c r="F4" s="1223" t="s">
        <v>97</v>
      </c>
      <c r="G4" s="1224" t="s">
        <v>93</v>
      </c>
      <c r="H4" s="1225" t="s">
        <v>1015</v>
      </c>
      <c r="I4" s="1226" t="s">
        <v>1016</v>
      </c>
      <c r="J4" s="1227" t="s">
        <v>1017</v>
      </c>
      <c r="K4" s="786" t="s">
        <v>170</v>
      </c>
      <c r="L4" s="1719"/>
      <c r="N4"/>
      <c r="O4"/>
      <c r="P4"/>
      <c r="Q4"/>
      <c r="R4"/>
      <c r="S4"/>
      <c r="T4"/>
      <c r="U4"/>
      <c r="V4"/>
      <c r="W4"/>
      <c r="X4"/>
      <c r="Y4"/>
      <c r="Z4"/>
    </row>
    <row r="5" spans="1:26" ht="18.75" customHeight="1" x14ac:dyDescent="0.2">
      <c r="A5" s="343" t="s">
        <v>23</v>
      </c>
      <c r="B5" s="439">
        <f>T_13!B7</f>
        <v>0</v>
      </c>
      <c r="C5" s="440">
        <f>T_13!C7</f>
        <v>27</v>
      </c>
      <c r="D5" s="440">
        <f>T_13!D7</f>
        <v>0</v>
      </c>
      <c r="E5" s="440">
        <f>T_13!E7</f>
        <v>6</v>
      </c>
      <c r="F5" s="440">
        <f>T_13!F7</f>
        <v>0</v>
      </c>
      <c r="G5" s="445">
        <f>T_13!G7</f>
        <v>3</v>
      </c>
      <c r="H5" s="440">
        <f>T_13!H7</f>
        <v>31</v>
      </c>
      <c r="I5" s="440">
        <f>T_13!I7</f>
        <v>1</v>
      </c>
      <c r="J5" s="441">
        <f>T_13!J7</f>
        <v>13</v>
      </c>
      <c r="K5" s="895">
        <f>SUM(H5:J5)</f>
        <v>45</v>
      </c>
      <c r="L5" s="442">
        <f>SUM(B5:J5)</f>
        <v>81</v>
      </c>
      <c r="M5" s="177"/>
      <c r="N5"/>
      <c r="O5"/>
      <c r="P5"/>
      <c r="Q5"/>
      <c r="R5"/>
      <c r="S5"/>
      <c r="T5"/>
      <c r="U5"/>
      <c r="V5"/>
      <c r="W5"/>
      <c r="X5"/>
      <c r="Y5"/>
      <c r="Z5"/>
    </row>
    <row r="6" spans="1:26" ht="13.5" customHeight="1" x14ac:dyDescent="0.2">
      <c r="A6" s="46" t="s">
        <v>24</v>
      </c>
      <c r="B6" s="436">
        <f>T_13!B8</f>
        <v>2</v>
      </c>
      <c r="C6" s="437">
        <f>T_13!C8</f>
        <v>41</v>
      </c>
      <c r="D6" s="437">
        <f>T_13!D8</f>
        <v>1</v>
      </c>
      <c r="E6" s="437">
        <f>T_13!E8</f>
        <v>4</v>
      </c>
      <c r="F6" s="437">
        <f>T_13!F8</f>
        <v>0</v>
      </c>
      <c r="G6" s="438">
        <f>T_13!G8</f>
        <v>4</v>
      </c>
      <c r="H6" s="437">
        <f>T_13!H8</f>
        <v>12</v>
      </c>
      <c r="I6" s="437">
        <f>T_13!I8</f>
        <v>2</v>
      </c>
      <c r="J6" s="438">
        <f>T_13!J8</f>
        <v>15</v>
      </c>
      <c r="K6" s="896">
        <f t="shared" ref="K6:K36" si="0">SUM(H6:J6)</f>
        <v>29</v>
      </c>
      <c r="L6" s="248">
        <f t="shared" ref="L6:L36" si="1">SUM(B6:J6)</f>
        <v>81</v>
      </c>
      <c r="M6" s="177"/>
      <c r="N6"/>
      <c r="O6"/>
      <c r="P6"/>
      <c r="Q6"/>
      <c r="R6"/>
      <c r="S6"/>
      <c r="T6"/>
      <c r="U6"/>
      <c r="V6"/>
      <c r="W6"/>
      <c r="X6"/>
      <c r="Y6"/>
      <c r="Z6"/>
    </row>
    <row r="7" spans="1:26" ht="13.5" customHeight="1" x14ac:dyDescent="0.2">
      <c r="A7" s="343" t="s">
        <v>25</v>
      </c>
      <c r="B7" s="439">
        <f>T_13!B9</f>
        <v>0</v>
      </c>
      <c r="C7" s="440">
        <f>T_13!C9</f>
        <v>31</v>
      </c>
      <c r="D7" s="440">
        <f>T_13!D9</f>
        <v>0</v>
      </c>
      <c r="E7" s="440">
        <f>T_13!E9</f>
        <v>1</v>
      </c>
      <c r="F7" s="440">
        <f>T_13!F9</f>
        <v>0</v>
      </c>
      <c r="G7" s="441">
        <f>T_13!G9</f>
        <v>7</v>
      </c>
      <c r="H7" s="440">
        <f>T_13!H9</f>
        <v>20</v>
      </c>
      <c r="I7" s="440">
        <f>T_13!I9</f>
        <v>2</v>
      </c>
      <c r="J7" s="441">
        <f>T_13!J9</f>
        <v>5</v>
      </c>
      <c r="K7" s="895">
        <f t="shared" si="0"/>
        <v>27</v>
      </c>
      <c r="L7" s="442">
        <f t="shared" si="1"/>
        <v>66</v>
      </c>
      <c r="M7" s="177"/>
      <c r="N7"/>
      <c r="O7"/>
      <c r="P7"/>
      <c r="Q7"/>
      <c r="R7"/>
      <c r="S7"/>
      <c r="T7"/>
      <c r="U7"/>
      <c r="V7"/>
      <c r="W7"/>
      <c r="X7"/>
      <c r="Y7"/>
      <c r="Z7"/>
    </row>
    <row r="8" spans="1:26" ht="13.5" customHeight="1" x14ac:dyDescent="0.2">
      <c r="A8" s="46" t="s">
        <v>26</v>
      </c>
      <c r="B8" s="436">
        <f>T_13!B10</f>
        <v>3</v>
      </c>
      <c r="C8" s="437">
        <f>T_13!C10</f>
        <v>21</v>
      </c>
      <c r="D8" s="437">
        <f>T_13!D10</f>
        <v>1</v>
      </c>
      <c r="E8" s="437">
        <f>T_13!E10</f>
        <v>4</v>
      </c>
      <c r="F8" s="437">
        <f>T_13!F10</f>
        <v>2</v>
      </c>
      <c r="G8" s="438">
        <f>T_13!G10</f>
        <v>2</v>
      </c>
      <c r="H8" s="437">
        <f>T_13!H10</f>
        <v>4</v>
      </c>
      <c r="I8" s="437">
        <f>T_13!I10</f>
        <v>1</v>
      </c>
      <c r="J8" s="438">
        <f>T_13!J10</f>
        <v>2</v>
      </c>
      <c r="K8" s="896">
        <f t="shared" si="0"/>
        <v>7</v>
      </c>
      <c r="L8" s="248">
        <f t="shared" si="1"/>
        <v>40</v>
      </c>
      <c r="M8" s="177"/>
      <c r="N8"/>
      <c r="O8"/>
      <c r="P8"/>
      <c r="Q8"/>
      <c r="R8"/>
      <c r="S8"/>
      <c r="T8"/>
      <c r="U8"/>
      <c r="V8"/>
      <c r="W8"/>
      <c r="X8"/>
      <c r="Y8"/>
      <c r="Z8"/>
    </row>
    <row r="9" spans="1:26" ht="13.5" customHeight="1" x14ac:dyDescent="0.2">
      <c r="A9" s="343" t="s">
        <v>27</v>
      </c>
      <c r="B9" s="439">
        <f>T_13!B11</f>
        <v>0</v>
      </c>
      <c r="C9" s="440">
        <f>T_13!C11</f>
        <v>22</v>
      </c>
      <c r="D9" s="440">
        <f>T_13!D11</f>
        <v>1</v>
      </c>
      <c r="E9" s="440">
        <f>T_13!E11</f>
        <v>2</v>
      </c>
      <c r="F9" s="440">
        <f>T_13!F11</f>
        <v>0</v>
      </c>
      <c r="G9" s="441">
        <f>T_13!G11</f>
        <v>2</v>
      </c>
      <c r="H9" s="440">
        <f>T_13!H11</f>
        <v>4</v>
      </c>
      <c r="I9" s="440">
        <f>T_13!I11</f>
        <v>0</v>
      </c>
      <c r="J9" s="441">
        <f>T_13!J11</f>
        <v>2</v>
      </c>
      <c r="K9" s="895">
        <f t="shared" si="0"/>
        <v>6</v>
      </c>
      <c r="L9" s="442">
        <f t="shared" si="1"/>
        <v>33</v>
      </c>
      <c r="M9" s="177"/>
      <c r="N9"/>
      <c r="O9"/>
      <c r="P9"/>
      <c r="Q9"/>
      <c r="R9"/>
      <c r="S9"/>
      <c r="T9"/>
      <c r="U9"/>
      <c r="V9"/>
      <c r="W9"/>
      <c r="X9"/>
      <c r="Y9"/>
      <c r="Z9"/>
    </row>
    <row r="10" spans="1:26" ht="13.5" customHeight="1" x14ac:dyDescent="0.2">
      <c r="A10" s="46" t="s">
        <v>28</v>
      </c>
      <c r="B10" s="436">
        <f>T_13!B12</f>
        <v>1</v>
      </c>
      <c r="C10" s="437">
        <f>T_13!C12</f>
        <v>40</v>
      </c>
      <c r="D10" s="437">
        <f>T_13!D12</f>
        <v>2</v>
      </c>
      <c r="E10" s="437">
        <f>T_13!E12</f>
        <v>4</v>
      </c>
      <c r="F10" s="437">
        <f>T_13!F12</f>
        <v>1</v>
      </c>
      <c r="G10" s="438">
        <f>T_13!G12</f>
        <v>8</v>
      </c>
      <c r="H10" s="437">
        <f>T_13!H12</f>
        <v>15</v>
      </c>
      <c r="I10" s="437">
        <f>T_13!I12</f>
        <v>2</v>
      </c>
      <c r="J10" s="438">
        <f>T_13!J12</f>
        <v>6</v>
      </c>
      <c r="K10" s="896">
        <f t="shared" si="0"/>
        <v>23</v>
      </c>
      <c r="L10" s="248">
        <f t="shared" si="1"/>
        <v>79</v>
      </c>
      <c r="M10" s="177"/>
      <c r="N10"/>
      <c r="O10"/>
      <c r="P10"/>
      <c r="Q10"/>
      <c r="R10"/>
      <c r="S10"/>
      <c r="T10"/>
      <c r="U10"/>
      <c r="V10"/>
      <c r="W10"/>
      <c r="X10"/>
      <c r="Y10"/>
      <c r="Z10"/>
    </row>
    <row r="11" spans="1:26" ht="13.5" customHeight="1" x14ac:dyDescent="0.2">
      <c r="A11" s="343" t="s">
        <v>29</v>
      </c>
      <c r="B11" s="439">
        <f>T_13!B13</f>
        <v>1</v>
      </c>
      <c r="C11" s="440">
        <f>T_13!C13</f>
        <v>39</v>
      </c>
      <c r="D11" s="440">
        <f>T_13!D13</f>
        <v>1</v>
      </c>
      <c r="E11" s="440">
        <f>T_13!E13</f>
        <v>4</v>
      </c>
      <c r="F11" s="440">
        <f>T_13!F13</f>
        <v>0</v>
      </c>
      <c r="G11" s="441">
        <f>T_13!G13</f>
        <v>6</v>
      </c>
      <c r="H11" s="440">
        <f>T_13!H13</f>
        <v>35</v>
      </c>
      <c r="I11" s="440">
        <f>T_13!I13</f>
        <v>13</v>
      </c>
      <c r="J11" s="441">
        <f>T_13!J13</f>
        <v>8</v>
      </c>
      <c r="K11" s="895">
        <f t="shared" si="0"/>
        <v>56</v>
      </c>
      <c r="L11" s="442">
        <f t="shared" si="1"/>
        <v>107</v>
      </c>
      <c r="M11" s="177"/>
      <c r="N11"/>
      <c r="O11"/>
      <c r="P11"/>
      <c r="Q11"/>
      <c r="R11"/>
      <c r="S11"/>
      <c r="T11"/>
      <c r="U11"/>
      <c r="V11"/>
      <c r="W11"/>
      <c r="X11"/>
      <c r="Y11"/>
      <c r="Z11"/>
    </row>
    <row r="12" spans="1:26" ht="13.5" customHeight="1" x14ac:dyDescent="0.2">
      <c r="A12" s="46" t="s">
        <v>30</v>
      </c>
      <c r="B12" s="436">
        <f>T_13!B14</f>
        <v>1</v>
      </c>
      <c r="C12" s="437">
        <f>T_13!C14</f>
        <v>3</v>
      </c>
      <c r="D12" s="437">
        <f>T_13!D14</f>
        <v>0</v>
      </c>
      <c r="E12" s="437">
        <f>T_13!E14</f>
        <v>5</v>
      </c>
      <c r="F12" s="437">
        <f>T_13!F14</f>
        <v>0</v>
      </c>
      <c r="G12" s="438">
        <f>T_13!G14</f>
        <v>1</v>
      </c>
      <c r="H12" s="437">
        <f>T_13!H14</f>
        <v>1</v>
      </c>
      <c r="I12" s="437">
        <f>T_13!I14</f>
        <v>1</v>
      </c>
      <c r="J12" s="438">
        <f>T_13!J14</f>
        <v>1</v>
      </c>
      <c r="K12" s="896">
        <f t="shared" si="0"/>
        <v>3</v>
      </c>
      <c r="L12" s="248">
        <f t="shared" si="1"/>
        <v>13</v>
      </c>
      <c r="M12" s="177"/>
      <c r="N12"/>
      <c r="O12"/>
      <c r="P12"/>
      <c r="Q12"/>
      <c r="R12"/>
      <c r="S12"/>
      <c r="T12"/>
      <c r="U12"/>
      <c r="V12"/>
      <c r="W12"/>
      <c r="X12"/>
      <c r="Y12"/>
      <c r="Z12"/>
    </row>
    <row r="13" spans="1:26" ht="13.5" customHeight="1" x14ac:dyDescent="0.2">
      <c r="A13" s="343" t="s">
        <v>31</v>
      </c>
      <c r="B13" s="439">
        <f>T_13!B15</f>
        <v>0</v>
      </c>
      <c r="C13" s="440">
        <f>T_13!C15</f>
        <v>4</v>
      </c>
      <c r="D13" s="440">
        <f>T_13!D15</f>
        <v>1</v>
      </c>
      <c r="E13" s="440">
        <f>T_13!E15</f>
        <v>1</v>
      </c>
      <c r="F13" s="440">
        <f>T_13!F15</f>
        <v>0</v>
      </c>
      <c r="G13" s="441">
        <f>T_13!G15</f>
        <v>0</v>
      </c>
      <c r="H13" s="440">
        <f>T_13!H15</f>
        <v>3</v>
      </c>
      <c r="I13" s="440">
        <f>T_13!I15</f>
        <v>0</v>
      </c>
      <c r="J13" s="441">
        <f>T_13!J15</f>
        <v>4</v>
      </c>
      <c r="K13" s="895">
        <f t="shared" si="0"/>
        <v>7</v>
      </c>
      <c r="L13" s="442">
        <f t="shared" si="1"/>
        <v>13</v>
      </c>
      <c r="M13" s="177"/>
      <c r="N13"/>
      <c r="O13"/>
      <c r="P13"/>
      <c r="Q13"/>
      <c r="R13"/>
      <c r="S13"/>
      <c r="T13"/>
      <c r="U13"/>
      <c r="V13"/>
      <c r="W13"/>
      <c r="X13"/>
      <c r="Y13"/>
      <c r="Z13"/>
    </row>
    <row r="14" spans="1:26" ht="13.5" customHeight="1" x14ac:dyDescent="0.2">
      <c r="A14" s="46" t="s">
        <v>32</v>
      </c>
      <c r="B14" s="436">
        <f>T_13!B16</f>
        <v>0</v>
      </c>
      <c r="C14" s="437">
        <f>T_13!C16</f>
        <v>36</v>
      </c>
      <c r="D14" s="437">
        <f>T_13!D16</f>
        <v>0</v>
      </c>
      <c r="E14" s="437">
        <f>T_13!E16</f>
        <v>3</v>
      </c>
      <c r="F14" s="437">
        <f>T_13!F16</f>
        <v>0</v>
      </c>
      <c r="G14" s="438">
        <f>T_13!G16</f>
        <v>11</v>
      </c>
      <c r="H14" s="437">
        <f>T_13!H16</f>
        <v>10</v>
      </c>
      <c r="I14" s="437">
        <f>T_13!I16</f>
        <v>4</v>
      </c>
      <c r="J14" s="438">
        <f>T_13!J16</f>
        <v>2</v>
      </c>
      <c r="K14" s="896">
        <f t="shared" si="0"/>
        <v>16</v>
      </c>
      <c r="L14" s="248">
        <f t="shared" si="1"/>
        <v>66</v>
      </c>
      <c r="M14" s="177"/>
      <c r="N14"/>
      <c r="O14"/>
      <c r="P14"/>
      <c r="Q14"/>
      <c r="R14"/>
      <c r="S14"/>
      <c r="T14"/>
      <c r="U14"/>
      <c r="V14"/>
      <c r="W14"/>
      <c r="X14"/>
      <c r="Y14"/>
      <c r="Z14"/>
    </row>
    <row r="15" spans="1:26" ht="13.5" customHeight="1" x14ac:dyDescent="0.2">
      <c r="A15" s="343" t="s">
        <v>33</v>
      </c>
      <c r="B15" s="439">
        <f>T_13!B17</f>
        <v>1</v>
      </c>
      <c r="C15" s="440">
        <f>T_13!C17</f>
        <v>2</v>
      </c>
      <c r="D15" s="440">
        <f>T_13!D17</f>
        <v>0</v>
      </c>
      <c r="E15" s="440">
        <f>T_13!E17</f>
        <v>3</v>
      </c>
      <c r="F15" s="440">
        <f>T_13!F17</f>
        <v>0</v>
      </c>
      <c r="G15" s="441">
        <f>T_13!G17</f>
        <v>1</v>
      </c>
      <c r="H15" s="440">
        <f>T_13!H17</f>
        <v>4</v>
      </c>
      <c r="I15" s="440">
        <f>T_13!I17</f>
        <v>1</v>
      </c>
      <c r="J15" s="441">
        <f>T_13!J17</f>
        <v>1</v>
      </c>
      <c r="K15" s="895">
        <f t="shared" si="0"/>
        <v>6</v>
      </c>
      <c r="L15" s="442">
        <f t="shared" si="1"/>
        <v>13</v>
      </c>
      <c r="M15" s="177"/>
      <c r="N15"/>
      <c r="O15"/>
      <c r="P15"/>
      <c r="Q15"/>
      <c r="R15"/>
      <c r="S15"/>
      <c r="T15"/>
      <c r="U15"/>
      <c r="V15"/>
      <c r="W15"/>
      <c r="X15"/>
      <c r="Y15"/>
      <c r="Z15"/>
    </row>
    <row r="16" spans="1:26" ht="13.5" customHeight="1" x14ac:dyDescent="0.2">
      <c r="A16" s="46" t="s">
        <v>137</v>
      </c>
      <c r="B16" s="436">
        <f>T_13!B18</f>
        <v>4</v>
      </c>
      <c r="C16" s="437">
        <f>T_13!C18</f>
        <v>118</v>
      </c>
      <c r="D16" s="437">
        <f>T_13!D18</f>
        <v>0</v>
      </c>
      <c r="E16" s="437">
        <f>T_13!E18</f>
        <v>18</v>
      </c>
      <c r="F16" s="437">
        <f>T_13!F18</f>
        <v>0</v>
      </c>
      <c r="G16" s="438">
        <f>T_13!G18</f>
        <v>43</v>
      </c>
      <c r="H16" s="437">
        <f>T_13!H18</f>
        <v>315</v>
      </c>
      <c r="I16" s="437">
        <f>T_13!I18</f>
        <v>46</v>
      </c>
      <c r="J16" s="438">
        <f>T_13!J18</f>
        <v>21</v>
      </c>
      <c r="K16" s="896">
        <f t="shared" si="0"/>
        <v>382</v>
      </c>
      <c r="L16" s="248">
        <f t="shared" si="1"/>
        <v>565</v>
      </c>
      <c r="M16" s="177"/>
      <c r="N16"/>
      <c r="O16"/>
      <c r="P16"/>
      <c r="Q16"/>
      <c r="R16"/>
      <c r="S16"/>
      <c r="T16"/>
      <c r="U16"/>
      <c r="V16"/>
      <c r="W16"/>
      <c r="X16"/>
      <c r="Y16"/>
      <c r="Z16"/>
    </row>
    <row r="17" spans="1:26" ht="13.5" customHeight="1" x14ac:dyDescent="0.2">
      <c r="A17" s="343" t="s">
        <v>34</v>
      </c>
      <c r="B17" s="439">
        <f>T_13!B19</f>
        <v>6</v>
      </c>
      <c r="C17" s="440">
        <f>T_13!C19</f>
        <v>87</v>
      </c>
      <c r="D17" s="440">
        <f>T_13!D19</f>
        <v>0</v>
      </c>
      <c r="E17" s="440">
        <f>T_13!E19</f>
        <v>8</v>
      </c>
      <c r="F17" s="440">
        <f>T_13!F19</f>
        <v>0</v>
      </c>
      <c r="G17" s="441">
        <f>T_13!G19</f>
        <v>11</v>
      </c>
      <c r="H17" s="440">
        <f>T_13!H19</f>
        <v>15</v>
      </c>
      <c r="I17" s="440">
        <f>T_13!I19</f>
        <v>6</v>
      </c>
      <c r="J17" s="441">
        <f>T_13!J19</f>
        <v>12</v>
      </c>
      <c r="K17" s="895">
        <f t="shared" si="0"/>
        <v>33</v>
      </c>
      <c r="L17" s="442">
        <f t="shared" si="1"/>
        <v>145</v>
      </c>
      <c r="M17" s="177"/>
      <c r="N17"/>
      <c r="O17"/>
      <c r="P17"/>
      <c r="Q17"/>
      <c r="R17"/>
      <c r="S17"/>
      <c r="T17"/>
      <c r="U17"/>
      <c r="V17"/>
      <c r="W17"/>
      <c r="X17"/>
      <c r="Y17"/>
      <c r="Z17"/>
    </row>
    <row r="18" spans="1:26" ht="13.5" customHeight="1" x14ac:dyDescent="0.2">
      <c r="A18" s="46" t="s">
        <v>35</v>
      </c>
      <c r="B18" s="436">
        <f>T_13!B20</f>
        <v>3</v>
      </c>
      <c r="C18" s="437">
        <f>T_13!C20</f>
        <v>101</v>
      </c>
      <c r="D18" s="437">
        <f>T_13!D20</f>
        <v>2</v>
      </c>
      <c r="E18" s="437">
        <f>T_13!E20</f>
        <v>19</v>
      </c>
      <c r="F18" s="437">
        <f>T_13!F20</f>
        <v>2</v>
      </c>
      <c r="G18" s="438">
        <f>T_13!G20</f>
        <v>38</v>
      </c>
      <c r="H18" s="437">
        <f>T_13!H20</f>
        <v>31</v>
      </c>
      <c r="I18" s="437">
        <f>T_13!I20</f>
        <v>11</v>
      </c>
      <c r="J18" s="438">
        <f>T_13!J20</f>
        <v>30</v>
      </c>
      <c r="K18" s="896">
        <f>SUM(H18:J18)</f>
        <v>72</v>
      </c>
      <c r="L18" s="248">
        <f>SUM(B18:J18)</f>
        <v>237</v>
      </c>
      <c r="M18" s="177"/>
      <c r="N18"/>
      <c r="O18"/>
      <c r="P18"/>
      <c r="Q18"/>
      <c r="R18"/>
      <c r="S18"/>
      <c r="T18"/>
      <c r="U18"/>
      <c r="V18"/>
      <c r="W18"/>
      <c r="X18"/>
      <c r="Y18"/>
      <c r="Z18"/>
    </row>
    <row r="19" spans="1:26" ht="13.5" customHeight="1" x14ac:dyDescent="0.2">
      <c r="A19" s="343" t="s">
        <v>36</v>
      </c>
      <c r="B19" s="439">
        <f>T_13!B21</f>
        <v>5</v>
      </c>
      <c r="C19" s="440">
        <f>T_13!C21</f>
        <v>7</v>
      </c>
      <c r="D19" s="440">
        <f>T_13!D21</f>
        <v>0</v>
      </c>
      <c r="E19" s="440">
        <f>T_13!E21</f>
        <v>11</v>
      </c>
      <c r="F19" s="440">
        <f>T_13!F21</f>
        <v>3</v>
      </c>
      <c r="G19" s="441">
        <f>T_13!G21</f>
        <v>5</v>
      </c>
      <c r="H19" s="440">
        <f>T_13!H21</f>
        <v>78</v>
      </c>
      <c r="I19" s="440">
        <f>T_13!I21</f>
        <v>1</v>
      </c>
      <c r="J19" s="441">
        <f>T_13!J21</f>
        <v>13</v>
      </c>
      <c r="K19" s="895">
        <f t="shared" si="0"/>
        <v>92</v>
      </c>
      <c r="L19" s="442">
        <f t="shared" si="1"/>
        <v>123</v>
      </c>
      <c r="M19" s="177"/>
      <c r="N19"/>
      <c r="O19"/>
      <c r="P19"/>
      <c r="Q19"/>
      <c r="R19"/>
      <c r="S19"/>
      <c r="T19"/>
      <c r="U19"/>
      <c r="V19"/>
      <c r="W19"/>
      <c r="X19"/>
      <c r="Y19"/>
      <c r="Z19"/>
    </row>
    <row r="20" spans="1:26" ht="13.5" customHeight="1" x14ac:dyDescent="0.2">
      <c r="A20" s="46" t="s">
        <v>37</v>
      </c>
      <c r="B20" s="436">
        <f>T_13!B22</f>
        <v>4</v>
      </c>
      <c r="C20" s="437">
        <f>T_13!C22</f>
        <v>250</v>
      </c>
      <c r="D20" s="437">
        <f>T_13!D22</f>
        <v>2</v>
      </c>
      <c r="E20" s="437">
        <f>T_13!E22</f>
        <v>6</v>
      </c>
      <c r="F20" s="437">
        <f>T_13!F22</f>
        <v>2</v>
      </c>
      <c r="G20" s="438">
        <f>T_13!G22</f>
        <v>18</v>
      </c>
      <c r="H20" s="437">
        <f>T_13!H22</f>
        <v>31</v>
      </c>
      <c r="I20" s="437">
        <f>T_13!I22</f>
        <v>8</v>
      </c>
      <c r="J20" s="438">
        <f>T_13!J22</f>
        <v>19</v>
      </c>
      <c r="K20" s="896">
        <f t="shared" si="0"/>
        <v>58</v>
      </c>
      <c r="L20" s="248">
        <f t="shared" si="1"/>
        <v>340</v>
      </c>
      <c r="M20" s="177"/>
      <c r="N20"/>
      <c r="O20"/>
      <c r="P20"/>
      <c r="Q20"/>
      <c r="R20"/>
      <c r="S20"/>
      <c r="T20"/>
      <c r="U20"/>
      <c r="V20"/>
      <c r="W20"/>
      <c r="X20"/>
      <c r="Y20"/>
      <c r="Z20"/>
    </row>
    <row r="21" spans="1:26" ht="13.5" customHeight="1" x14ac:dyDescent="0.2">
      <c r="A21" s="343" t="s">
        <v>38</v>
      </c>
      <c r="B21" s="439">
        <f>T_13!B23</f>
        <v>0</v>
      </c>
      <c r="C21" s="440">
        <f>T_13!C23</f>
        <v>1</v>
      </c>
      <c r="D21" s="440">
        <f>T_13!D23</f>
        <v>0</v>
      </c>
      <c r="E21" s="440">
        <f>T_13!E23</f>
        <v>2</v>
      </c>
      <c r="F21" s="440">
        <f>T_13!F23</f>
        <v>0</v>
      </c>
      <c r="G21" s="441">
        <f>T_13!G23</f>
        <v>0</v>
      </c>
      <c r="H21" s="440">
        <f>T_13!H23</f>
        <v>3</v>
      </c>
      <c r="I21" s="440">
        <f>T_13!I23</f>
        <v>0</v>
      </c>
      <c r="J21" s="441">
        <f>T_13!J23</f>
        <v>2</v>
      </c>
      <c r="K21" s="895">
        <f t="shared" si="0"/>
        <v>5</v>
      </c>
      <c r="L21" s="442">
        <f t="shared" si="1"/>
        <v>8</v>
      </c>
      <c r="M21" s="177"/>
      <c r="N21"/>
      <c r="O21"/>
      <c r="P21"/>
      <c r="Q21"/>
      <c r="R21"/>
      <c r="S21"/>
      <c r="T21"/>
      <c r="U21"/>
      <c r="V21"/>
      <c r="W21"/>
      <c r="X21"/>
      <c r="Y21"/>
      <c r="Z21"/>
    </row>
    <row r="22" spans="1:26" ht="13.5" customHeight="1" x14ac:dyDescent="0.2">
      <c r="A22" s="46" t="s">
        <v>39</v>
      </c>
      <c r="B22" s="436">
        <f>T_13!B24</f>
        <v>0</v>
      </c>
      <c r="C22" s="437">
        <f>T_13!C24</f>
        <v>33</v>
      </c>
      <c r="D22" s="437">
        <f>T_13!D24</f>
        <v>2</v>
      </c>
      <c r="E22" s="437">
        <f>T_13!E24</f>
        <v>5</v>
      </c>
      <c r="F22" s="437">
        <f>T_13!F24</f>
        <v>1</v>
      </c>
      <c r="G22" s="438">
        <f>T_13!G24</f>
        <v>4</v>
      </c>
      <c r="H22" s="437">
        <f>T_13!H24</f>
        <v>9</v>
      </c>
      <c r="I22" s="437">
        <f>T_13!I24</f>
        <v>4</v>
      </c>
      <c r="J22" s="438">
        <f>T_13!J24</f>
        <v>3</v>
      </c>
      <c r="K22" s="896">
        <f t="shared" si="0"/>
        <v>16</v>
      </c>
      <c r="L22" s="248">
        <f t="shared" si="1"/>
        <v>61</v>
      </c>
      <c r="M22" s="177"/>
      <c r="N22"/>
      <c r="O22"/>
      <c r="P22"/>
      <c r="Q22"/>
      <c r="R22"/>
      <c r="S22"/>
      <c r="T22"/>
      <c r="U22"/>
      <c r="V22"/>
      <c r="W22"/>
      <c r="X22"/>
      <c r="Y22"/>
      <c r="Z22"/>
    </row>
    <row r="23" spans="1:26" ht="13.5" customHeight="1" x14ac:dyDescent="0.2">
      <c r="A23" s="343" t="s">
        <v>40</v>
      </c>
      <c r="B23" s="439">
        <f>T_13!B25</f>
        <v>1</v>
      </c>
      <c r="C23" s="440">
        <f>T_13!C25</f>
        <v>26</v>
      </c>
      <c r="D23" s="440">
        <f>T_13!D25</f>
        <v>1</v>
      </c>
      <c r="E23" s="440">
        <f>T_13!E25</f>
        <v>1</v>
      </c>
      <c r="F23" s="440">
        <f>T_13!F25</f>
        <v>0</v>
      </c>
      <c r="G23" s="441">
        <f>T_13!G25</f>
        <v>2</v>
      </c>
      <c r="H23" s="440">
        <f>T_13!H25</f>
        <v>6</v>
      </c>
      <c r="I23" s="440">
        <f>T_13!I25</f>
        <v>0</v>
      </c>
      <c r="J23" s="441">
        <f>T_13!J25</f>
        <v>2</v>
      </c>
      <c r="K23" s="895">
        <f t="shared" si="0"/>
        <v>8</v>
      </c>
      <c r="L23" s="442">
        <f t="shared" si="1"/>
        <v>39</v>
      </c>
      <c r="M23" s="177"/>
      <c r="N23"/>
      <c r="O23"/>
      <c r="P23"/>
      <c r="Q23"/>
      <c r="R23"/>
      <c r="S23"/>
      <c r="T23"/>
      <c r="U23"/>
      <c r="V23"/>
      <c r="W23"/>
      <c r="X23"/>
      <c r="Y23"/>
      <c r="Z23"/>
    </row>
    <row r="24" spans="1:26" ht="13.5" customHeight="1" x14ac:dyDescent="0.2">
      <c r="A24" s="46" t="s">
        <v>393</v>
      </c>
      <c r="B24" s="436">
        <f>T_13!B26</f>
        <v>0</v>
      </c>
      <c r="C24" s="437">
        <f>T_13!C26</f>
        <v>60</v>
      </c>
      <c r="D24" s="437">
        <f>T_13!D26</f>
        <v>0</v>
      </c>
      <c r="E24" s="437">
        <f>T_13!E26</f>
        <v>1</v>
      </c>
      <c r="F24" s="437">
        <f>T_13!F26</f>
        <v>0</v>
      </c>
      <c r="G24" s="438">
        <f>T_13!G26</f>
        <v>1</v>
      </c>
      <c r="H24" s="437">
        <f>T_13!H26</f>
        <v>1</v>
      </c>
      <c r="I24" s="437">
        <f>T_13!I26</f>
        <v>0</v>
      </c>
      <c r="J24" s="438">
        <f>T_13!J26</f>
        <v>1</v>
      </c>
      <c r="K24" s="896">
        <f t="shared" si="0"/>
        <v>2</v>
      </c>
      <c r="L24" s="248">
        <f t="shared" si="1"/>
        <v>64</v>
      </c>
      <c r="M24" s="177"/>
      <c r="N24"/>
      <c r="O24"/>
      <c r="P24"/>
      <c r="Q24"/>
      <c r="R24"/>
      <c r="S24"/>
      <c r="T24"/>
      <c r="U24"/>
      <c r="V24"/>
      <c r="W24"/>
      <c r="X24"/>
      <c r="Y24"/>
      <c r="Z24"/>
    </row>
    <row r="25" spans="1:26" ht="13.5" customHeight="1" x14ac:dyDescent="0.2">
      <c r="A25" s="343" t="s">
        <v>41</v>
      </c>
      <c r="B25" s="439">
        <f>T_13!B27</f>
        <v>1</v>
      </c>
      <c r="C25" s="440">
        <f>T_13!C27</f>
        <v>6</v>
      </c>
      <c r="D25" s="440">
        <f>T_13!D27</f>
        <v>0</v>
      </c>
      <c r="E25" s="440">
        <f>T_13!E27</f>
        <v>2</v>
      </c>
      <c r="F25" s="440">
        <f>T_13!F27</f>
        <v>0</v>
      </c>
      <c r="G25" s="441">
        <f>T_13!G27</f>
        <v>3</v>
      </c>
      <c r="H25" s="440">
        <f>T_13!H27</f>
        <v>8</v>
      </c>
      <c r="I25" s="440">
        <f>T_13!I27</f>
        <v>1</v>
      </c>
      <c r="J25" s="441">
        <f>T_13!J27</f>
        <v>3</v>
      </c>
      <c r="K25" s="895">
        <f t="shared" si="0"/>
        <v>12</v>
      </c>
      <c r="L25" s="442">
        <f t="shared" si="1"/>
        <v>24</v>
      </c>
      <c r="M25" s="177"/>
      <c r="N25"/>
      <c r="O25"/>
      <c r="P25"/>
      <c r="Q25"/>
      <c r="R25"/>
      <c r="S25"/>
      <c r="T25"/>
      <c r="U25"/>
      <c r="V25"/>
      <c r="W25"/>
      <c r="X25"/>
      <c r="Y25"/>
      <c r="Z25"/>
    </row>
    <row r="26" spans="1:26" ht="13.5" customHeight="1" x14ac:dyDescent="0.2">
      <c r="A26" s="46" t="s">
        <v>42</v>
      </c>
      <c r="B26" s="436">
        <f>T_13!B28</f>
        <v>2</v>
      </c>
      <c r="C26" s="437">
        <f>T_13!C28</f>
        <v>8</v>
      </c>
      <c r="D26" s="437">
        <f>T_13!D28</f>
        <v>1</v>
      </c>
      <c r="E26" s="437">
        <f>T_13!E28</f>
        <v>7</v>
      </c>
      <c r="F26" s="437">
        <f>T_13!F28</f>
        <v>2</v>
      </c>
      <c r="G26" s="438">
        <f>T_13!G28</f>
        <v>4</v>
      </c>
      <c r="H26" s="437">
        <f>T_13!H28</f>
        <v>2</v>
      </c>
      <c r="I26" s="437">
        <f>T_13!I28</f>
        <v>0</v>
      </c>
      <c r="J26" s="438">
        <f>T_13!J28</f>
        <v>4</v>
      </c>
      <c r="K26" s="896">
        <f t="shared" si="0"/>
        <v>6</v>
      </c>
      <c r="L26" s="248">
        <f t="shared" si="1"/>
        <v>30</v>
      </c>
      <c r="M26" s="177"/>
      <c r="N26"/>
      <c r="O26"/>
      <c r="P26"/>
      <c r="Q26"/>
      <c r="R26"/>
      <c r="S26"/>
      <c r="T26"/>
      <c r="U26"/>
      <c r="V26"/>
      <c r="W26"/>
      <c r="X26"/>
      <c r="Y26"/>
      <c r="Z26"/>
    </row>
    <row r="27" spans="1:26" ht="13.5" customHeight="1" x14ac:dyDescent="0.2">
      <c r="A27" s="343" t="s">
        <v>43</v>
      </c>
      <c r="B27" s="439">
        <f>T_13!B29</f>
        <v>0</v>
      </c>
      <c r="C27" s="440">
        <f>T_13!C29</f>
        <v>4</v>
      </c>
      <c r="D27" s="440">
        <f>T_13!D29</f>
        <v>0</v>
      </c>
      <c r="E27" s="440">
        <f>T_13!E29</f>
        <v>0</v>
      </c>
      <c r="F27" s="440">
        <f>T_13!F29</f>
        <v>1</v>
      </c>
      <c r="G27" s="441">
        <f>T_13!G29</f>
        <v>0</v>
      </c>
      <c r="H27" s="440">
        <f>T_13!H29</f>
        <v>2</v>
      </c>
      <c r="I27" s="440">
        <f>T_13!I29</f>
        <v>0</v>
      </c>
      <c r="J27" s="441">
        <f>T_13!J29</f>
        <v>0</v>
      </c>
      <c r="K27" s="895">
        <f t="shared" si="0"/>
        <v>2</v>
      </c>
      <c r="L27" s="442">
        <f t="shared" si="1"/>
        <v>7</v>
      </c>
      <c r="M27" s="177"/>
      <c r="N27"/>
      <c r="O27"/>
      <c r="P27"/>
      <c r="Q27"/>
      <c r="R27"/>
      <c r="S27"/>
      <c r="T27"/>
      <c r="U27"/>
      <c r="V27"/>
      <c r="W27"/>
      <c r="X27"/>
      <c r="Y27"/>
      <c r="Z27"/>
    </row>
    <row r="28" spans="1:26" ht="13.5" customHeight="1" x14ac:dyDescent="0.2">
      <c r="A28" s="46" t="s">
        <v>44</v>
      </c>
      <c r="B28" s="436">
        <f>T_13!B30</f>
        <v>3</v>
      </c>
      <c r="C28" s="437">
        <f>T_13!C30</f>
        <v>39</v>
      </c>
      <c r="D28" s="437">
        <f>T_13!D30</f>
        <v>0</v>
      </c>
      <c r="E28" s="437">
        <f>T_13!E30</f>
        <v>5</v>
      </c>
      <c r="F28" s="437">
        <f>T_13!F30</f>
        <v>1</v>
      </c>
      <c r="G28" s="438">
        <f>T_13!G30</f>
        <v>7</v>
      </c>
      <c r="H28" s="437">
        <f>T_13!H30</f>
        <v>18</v>
      </c>
      <c r="I28" s="437">
        <f>T_13!I30</f>
        <v>2</v>
      </c>
      <c r="J28" s="438">
        <f>T_13!J30</f>
        <v>14</v>
      </c>
      <c r="K28" s="896">
        <f t="shared" si="0"/>
        <v>34</v>
      </c>
      <c r="L28" s="248">
        <f t="shared" si="1"/>
        <v>89</v>
      </c>
      <c r="M28" s="177"/>
      <c r="N28"/>
      <c r="O28"/>
      <c r="P28"/>
      <c r="Q28"/>
      <c r="R28"/>
      <c r="S28"/>
      <c r="T28"/>
      <c r="U28"/>
      <c r="V28"/>
      <c r="W28"/>
      <c r="X28"/>
      <c r="Y28"/>
      <c r="Z28"/>
    </row>
    <row r="29" spans="1:26" ht="13.5" customHeight="1" x14ac:dyDescent="0.2">
      <c r="A29" s="343" t="s">
        <v>45</v>
      </c>
      <c r="B29" s="439">
        <f>T_13!B31</f>
        <v>0</v>
      </c>
      <c r="C29" s="440">
        <f>T_13!C31</f>
        <v>8</v>
      </c>
      <c r="D29" s="440">
        <f>T_13!D31</f>
        <v>0</v>
      </c>
      <c r="E29" s="440">
        <f>T_13!E31</f>
        <v>10</v>
      </c>
      <c r="F29" s="440">
        <f>T_13!F31</f>
        <v>0</v>
      </c>
      <c r="G29" s="441">
        <f>T_13!G31</f>
        <v>2</v>
      </c>
      <c r="H29" s="440">
        <f>T_13!H31</f>
        <v>7</v>
      </c>
      <c r="I29" s="440">
        <f>T_13!I31</f>
        <v>5</v>
      </c>
      <c r="J29" s="441">
        <f>T_13!J31</f>
        <v>3</v>
      </c>
      <c r="K29" s="895">
        <f t="shared" si="0"/>
        <v>15</v>
      </c>
      <c r="L29" s="442">
        <f t="shared" si="1"/>
        <v>35</v>
      </c>
      <c r="M29" s="177"/>
      <c r="N29"/>
      <c r="O29"/>
      <c r="P29"/>
      <c r="Q29"/>
      <c r="R29"/>
      <c r="S29"/>
      <c r="T29"/>
      <c r="U29"/>
      <c r="V29"/>
      <c r="W29"/>
      <c r="X29"/>
      <c r="Y29"/>
      <c r="Z29"/>
    </row>
    <row r="30" spans="1:26" ht="13.5" customHeight="1" x14ac:dyDescent="0.2">
      <c r="A30" s="10" t="s">
        <v>46</v>
      </c>
      <c r="B30" s="436">
        <f>T_13!B32</f>
        <v>1</v>
      </c>
      <c r="C30" s="437">
        <f>T_13!C32</f>
        <v>12</v>
      </c>
      <c r="D30" s="437">
        <f>T_13!D32</f>
        <v>1</v>
      </c>
      <c r="E30" s="437">
        <f>T_13!E32</f>
        <v>4</v>
      </c>
      <c r="F30" s="437">
        <f>T_13!F32</f>
        <v>0</v>
      </c>
      <c r="G30" s="438">
        <f>T_13!G32</f>
        <v>6</v>
      </c>
      <c r="H30" s="437">
        <f>T_13!H32</f>
        <v>3</v>
      </c>
      <c r="I30" s="437">
        <f>T_13!I32</f>
        <v>1</v>
      </c>
      <c r="J30" s="438">
        <f>T_13!J32</f>
        <v>3</v>
      </c>
      <c r="K30" s="896">
        <f t="shared" si="0"/>
        <v>7</v>
      </c>
      <c r="L30" s="248">
        <f t="shared" si="1"/>
        <v>31</v>
      </c>
      <c r="M30" s="177"/>
      <c r="N30"/>
      <c r="O30"/>
      <c r="P30"/>
      <c r="Q30"/>
      <c r="R30"/>
      <c r="S30"/>
      <c r="T30"/>
      <c r="U30"/>
      <c r="V30"/>
      <c r="W30"/>
      <c r="X30"/>
      <c r="Y30"/>
      <c r="Z30"/>
    </row>
    <row r="31" spans="1:26" ht="13.5" customHeight="1" x14ac:dyDescent="0.2">
      <c r="A31" s="343" t="s">
        <v>47</v>
      </c>
      <c r="B31" s="439">
        <f>T_13!B33</f>
        <v>1</v>
      </c>
      <c r="C31" s="440">
        <f>T_13!C33</f>
        <v>5</v>
      </c>
      <c r="D31" s="440">
        <f>T_13!D33</f>
        <v>0</v>
      </c>
      <c r="E31" s="440">
        <f>T_13!E33</f>
        <v>1</v>
      </c>
      <c r="F31" s="440">
        <f>T_13!F33</f>
        <v>0</v>
      </c>
      <c r="G31" s="441">
        <f>T_13!G33</f>
        <v>0</v>
      </c>
      <c r="H31" s="440">
        <f>T_13!H33</f>
        <v>0</v>
      </c>
      <c r="I31" s="440">
        <f>T_13!I33</f>
        <v>1</v>
      </c>
      <c r="J31" s="441">
        <f>T_13!J33</f>
        <v>1</v>
      </c>
      <c r="K31" s="895">
        <f t="shared" si="0"/>
        <v>2</v>
      </c>
      <c r="L31" s="442">
        <f t="shared" si="1"/>
        <v>9</v>
      </c>
      <c r="M31" s="177"/>
      <c r="N31"/>
      <c r="O31"/>
      <c r="P31"/>
      <c r="Q31"/>
      <c r="R31"/>
      <c r="S31"/>
      <c r="T31"/>
      <c r="U31"/>
      <c r="V31"/>
      <c r="W31"/>
      <c r="X31"/>
      <c r="Y31"/>
      <c r="Z31"/>
    </row>
    <row r="32" spans="1:26" ht="13.5" customHeight="1" x14ac:dyDescent="0.2">
      <c r="A32" s="46" t="s">
        <v>48</v>
      </c>
      <c r="B32" s="436">
        <f>T_13!B34</f>
        <v>1</v>
      </c>
      <c r="C32" s="437">
        <f>T_13!C34</f>
        <v>8</v>
      </c>
      <c r="D32" s="437">
        <f>T_13!D34</f>
        <v>0</v>
      </c>
      <c r="E32" s="437">
        <f>T_13!E34</f>
        <v>3</v>
      </c>
      <c r="F32" s="437">
        <f>T_13!F34</f>
        <v>0</v>
      </c>
      <c r="G32" s="438">
        <f>T_13!G34</f>
        <v>0</v>
      </c>
      <c r="H32" s="437">
        <f>T_13!H34</f>
        <v>14</v>
      </c>
      <c r="I32" s="437">
        <f>T_13!I34</f>
        <v>0</v>
      </c>
      <c r="J32" s="438">
        <f>T_13!J34</f>
        <v>1</v>
      </c>
      <c r="K32" s="896">
        <f t="shared" si="0"/>
        <v>15</v>
      </c>
      <c r="L32" s="248">
        <f t="shared" si="1"/>
        <v>27</v>
      </c>
      <c r="M32" s="177"/>
      <c r="N32"/>
      <c r="O32"/>
      <c r="P32"/>
      <c r="Q32"/>
      <c r="R32"/>
      <c r="S32"/>
      <c r="T32"/>
      <c r="U32"/>
      <c r="V32"/>
      <c r="W32"/>
      <c r="X32"/>
      <c r="Y32"/>
      <c r="Z32"/>
    </row>
    <row r="33" spans="1:26" ht="13.5" customHeight="1" x14ac:dyDescent="0.2">
      <c r="A33" s="355" t="s">
        <v>49</v>
      </c>
      <c r="B33" s="439">
        <f>T_13!B35</f>
        <v>0</v>
      </c>
      <c r="C33" s="440">
        <f>T_13!C35</f>
        <v>14</v>
      </c>
      <c r="D33" s="440">
        <f>T_13!D35</f>
        <v>0</v>
      </c>
      <c r="E33" s="440">
        <f>T_13!E35</f>
        <v>7</v>
      </c>
      <c r="F33" s="440">
        <f>T_13!F35</f>
        <v>0</v>
      </c>
      <c r="G33" s="441">
        <f>T_13!G35</f>
        <v>3</v>
      </c>
      <c r="H33" s="440">
        <f>T_13!H35</f>
        <v>8</v>
      </c>
      <c r="I33" s="440">
        <f>T_13!I35</f>
        <v>0</v>
      </c>
      <c r="J33" s="441">
        <f>T_13!J35</f>
        <v>7</v>
      </c>
      <c r="K33" s="895">
        <f t="shared" si="0"/>
        <v>15</v>
      </c>
      <c r="L33" s="442">
        <f t="shared" si="1"/>
        <v>39</v>
      </c>
      <c r="M33" s="177"/>
      <c r="N33"/>
      <c r="O33"/>
      <c r="P33"/>
      <c r="Q33"/>
      <c r="R33"/>
      <c r="S33"/>
      <c r="T33"/>
      <c r="U33"/>
      <c r="V33"/>
      <c r="W33"/>
      <c r="X33"/>
      <c r="Y33"/>
      <c r="Z33"/>
    </row>
    <row r="34" spans="1:26" ht="13.5" customHeight="1" x14ac:dyDescent="0.2">
      <c r="A34" s="5" t="s">
        <v>50</v>
      </c>
      <c r="B34" s="436">
        <f>T_13!B36</f>
        <v>0</v>
      </c>
      <c r="C34" s="437">
        <f>T_13!C36</f>
        <v>24</v>
      </c>
      <c r="D34" s="437">
        <f>T_13!D36</f>
        <v>0</v>
      </c>
      <c r="E34" s="437">
        <f>T_13!E36</f>
        <v>2</v>
      </c>
      <c r="F34" s="437">
        <f>T_13!F36</f>
        <v>0</v>
      </c>
      <c r="G34" s="438">
        <f>T_13!G36</f>
        <v>3</v>
      </c>
      <c r="H34" s="437">
        <f>T_13!H36</f>
        <v>11</v>
      </c>
      <c r="I34" s="437">
        <f>T_13!I36</f>
        <v>1</v>
      </c>
      <c r="J34" s="438">
        <f>T_13!J36</f>
        <v>2</v>
      </c>
      <c r="K34" s="896">
        <f t="shared" si="0"/>
        <v>14</v>
      </c>
      <c r="L34" s="248">
        <f t="shared" si="1"/>
        <v>43</v>
      </c>
      <c r="M34" s="177"/>
      <c r="N34"/>
      <c r="O34"/>
      <c r="P34"/>
      <c r="Q34"/>
      <c r="R34"/>
      <c r="S34"/>
      <c r="T34"/>
      <c r="U34"/>
      <c r="V34"/>
      <c r="W34"/>
      <c r="X34"/>
      <c r="Y34"/>
      <c r="Z34"/>
    </row>
    <row r="35" spans="1:26" ht="13.5" customHeight="1" x14ac:dyDescent="0.2">
      <c r="A35" s="355" t="s">
        <v>51</v>
      </c>
      <c r="B35" s="439">
        <f>T_13!B37</f>
        <v>0</v>
      </c>
      <c r="C35" s="440">
        <f>T_13!C37</f>
        <v>0</v>
      </c>
      <c r="D35" s="440">
        <f>T_13!D37</f>
        <v>1</v>
      </c>
      <c r="E35" s="440">
        <f>T_13!E37</f>
        <v>1</v>
      </c>
      <c r="F35" s="440">
        <f>T_13!F37</f>
        <v>0</v>
      </c>
      <c r="G35" s="441">
        <f>T_13!G37</f>
        <v>1</v>
      </c>
      <c r="H35" s="440">
        <f>T_13!H37</f>
        <v>2</v>
      </c>
      <c r="I35" s="440">
        <f>T_13!I37</f>
        <v>0</v>
      </c>
      <c r="J35" s="441">
        <f>T_13!J37</f>
        <v>0</v>
      </c>
      <c r="K35" s="895">
        <f t="shared" si="0"/>
        <v>2</v>
      </c>
      <c r="L35" s="442">
        <f t="shared" si="1"/>
        <v>5</v>
      </c>
      <c r="M35" s="177"/>
      <c r="N35"/>
      <c r="O35"/>
      <c r="P35"/>
      <c r="Q35"/>
      <c r="R35"/>
      <c r="S35"/>
      <c r="T35"/>
      <c r="U35"/>
      <c r="V35"/>
      <c r="W35"/>
      <c r="X35"/>
      <c r="Y35"/>
      <c r="Z35"/>
    </row>
    <row r="36" spans="1:26" ht="13.5" customHeight="1" x14ac:dyDescent="0.2">
      <c r="A36" s="5" t="s">
        <v>52</v>
      </c>
      <c r="B36" s="436">
        <f>T_13!B38</f>
        <v>0</v>
      </c>
      <c r="C36" s="437">
        <f>T_13!C38</f>
        <v>51</v>
      </c>
      <c r="D36" s="437">
        <f>T_13!D38</f>
        <v>0</v>
      </c>
      <c r="E36" s="437">
        <f>T_13!E38</f>
        <v>3</v>
      </c>
      <c r="F36" s="437">
        <f>T_13!F38</f>
        <v>1</v>
      </c>
      <c r="G36" s="438">
        <f>T_13!G38</f>
        <v>6</v>
      </c>
      <c r="H36" s="437">
        <f>T_13!H38</f>
        <v>13</v>
      </c>
      <c r="I36" s="437">
        <f>T_13!I38</f>
        <v>3</v>
      </c>
      <c r="J36" s="438">
        <f>T_13!J38</f>
        <v>5</v>
      </c>
      <c r="K36" s="896">
        <f t="shared" si="0"/>
        <v>21</v>
      </c>
      <c r="L36" s="248">
        <f t="shared" si="1"/>
        <v>82</v>
      </c>
      <c r="M36" s="177"/>
      <c r="N36"/>
      <c r="O36"/>
      <c r="P36"/>
      <c r="Q36"/>
      <c r="R36"/>
      <c r="S36"/>
      <c r="T36"/>
      <c r="U36"/>
      <c r="V36"/>
      <c r="W36"/>
      <c r="X36"/>
      <c r="Y36"/>
      <c r="Z36"/>
    </row>
    <row r="37" spans="1:26" ht="13.5" customHeight="1" x14ac:dyDescent="0.2">
      <c r="A37" s="915"/>
      <c r="B37" s="897"/>
      <c r="C37" s="898"/>
      <c r="D37" s="898"/>
      <c r="E37" s="898"/>
      <c r="F37" s="898"/>
      <c r="G37" s="899"/>
      <c r="H37" s="898"/>
      <c r="I37" s="898"/>
      <c r="J37" s="899"/>
      <c r="K37" s="895"/>
      <c r="L37" s="442"/>
      <c r="M37" s="177"/>
      <c r="N37"/>
      <c r="O37"/>
      <c r="P37"/>
      <c r="Q37"/>
      <c r="R37"/>
      <c r="S37"/>
      <c r="T37"/>
      <c r="U37"/>
      <c r="V37"/>
      <c r="W37"/>
      <c r="X37"/>
      <c r="Y37"/>
      <c r="Z37"/>
    </row>
    <row r="38" spans="1:26" ht="30" customHeight="1" x14ac:dyDescent="0.2">
      <c r="A38" s="232" t="s">
        <v>159</v>
      </c>
      <c r="B38" s="625">
        <f>SUM(B5:B36)</f>
        <v>41</v>
      </c>
      <c r="C38" s="626">
        <f t="shared" ref="C38:L38" si="2">SUM(C5:C36)</f>
        <v>1128</v>
      </c>
      <c r="D38" s="626">
        <f t="shared" si="2"/>
        <v>17</v>
      </c>
      <c r="E38" s="626">
        <f t="shared" si="2"/>
        <v>153</v>
      </c>
      <c r="F38" s="626">
        <f t="shared" si="2"/>
        <v>16</v>
      </c>
      <c r="G38" s="626">
        <f t="shared" si="2"/>
        <v>202</v>
      </c>
      <c r="H38" s="625">
        <f t="shared" si="2"/>
        <v>716</v>
      </c>
      <c r="I38" s="626">
        <f t="shared" si="2"/>
        <v>117</v>
      </c>
      <c r="J38" s="900">
        <f t="shared" si="2"/>
        <v>205</v>
      </c>
      <c r="K38" s="626">
        <f t="shared" si="2"/>
        <v>1038</v>
      </c>
      <c r="L38" s="907">
        <f t="shared" si="2"/>
        <v>2595</v>
      </c>
      <c r="M38" s="177"/>
      <c r="N38"/>
      <c r="O38"/>
      <c r="P38"/>
      <c r="Q38"/>
      <c r="R38"/>
      <c r="S38"/>
      <c r="T38"/>
      <c r="U38"/>
      <c r="V38"/>
      <c r="W38"/>
      <c r="X38"/>
      <c r="Y38"/>
      <c r="Z38"/>
    </row>
    <row r="39" spans="1:26" x14ac:dyDescent="0.2">
      <c r="A39" s="58"/>
      <c r="B39" s="34"/>
      <c r="C39" s="34"/>
      <c r="D39" s="34"/>
      <c r="E39" s="34"/>
      <c r="F39" s="34"/>
      <c r="G39" s="34"/>
      <c r="H39" s="34"/>
      <c r="I39" s="34"/>
      <c r="J39" s="34"/>
      <c r="K39" s="57"/>
      <c r="L39" s="34"/>
      <c r="N39"/>
      <c r="O39"/>
      <c r="P39"/>
      <c r="Q39"/>
      <c r="R39"/>
      <c r="S39"/>
      <c r="T39"/>
      <c r="U39"/>
      <c r="V39"/>
      <c r="W39"/>
      <c r="X39"/>
      <c r="Y39"/>
      <c r="Z39"/>
    </row>
    <row r="40" spans="1:26" ht="15" x14ac:dyDescent="0.25">
      <c r="A40" s="58"/>
      <c r="B40" s="34"/>
      <c r="C40" s="34"/>
      <c r="D40" s="34"/>
      <c r="E40" s="34"/>
      <c r="F40" s="34"/>
      <c r="G40" s="34"/>
      <c r="H40" s="34"/>
      <c r="I40" s="34"/>
      <c r="J40" s="34"/>
      <c r="K40" s="57"/>
      <c r="L40" s="234" t="s">
        <v>0</v>
      </c>
      <c r="N40"/>
      <c r="O40"/>
      <c r="P40"/>
      <c r="Q40"/>
      <c r="R40"/>
      <c r="S40"/>
      <c r="T40"/>
      <c r="U40"/>
      <c r="V40"/>
      <c r="W40"/>
      <c r="X40"/>
      <c r="Y40"/>
      <c r="Z40"/>
    </row>
    <row r="41" spans="1:26" x14ac:dyDescent="0.2">
      <c r="A41" s="1629" t="s">
        <v>22</v>
      </c>
      <c r="B41" s="1674" t="s">
        <v>134</v>
      </c>
      <c r="C41" s="1675"/>
      <c r="D41" s="1675"/>
      <c r="E41" s="1675"/>
      <c r="F41" s="1675"/>
      <c r="G41" s="1675"/>
      <c r="H41" s="1675"/>
      <c r="I41" s="1675"/>
      <c r="J41" s="1675"/>
      <c r="K41" s="1676"/>
      <c r="L41" s="1716" t="s">
        <v>334</v>
      </c>
      <c r="N41"/>
      <c r="O41"/>
      <c r="P41"/>
      <c r="Q41"/>
      <c r="R41"/>
      <c r="S41"/>
      <c r="T41"/>
      <c r="U41"/>
      <c r="V41"/>
      <c r="W41"/>
      <c r="X41"/>
      <c r="Y41"/>
      <c r="Z41"/>
    </row>
    <row r="42" spans="1:26" ht="52.5" customHeight="1" x14ac:dyDescent="0.2">
      <c r="A42" s="1630"/>
      <c r="B42" s="1222" t="s">
        <v>95</v>
      </c>
      <c r="C42" s="1223" t="s">
        <v>96</v>
      </c>
      <c r="D42" s="1223" t="s">
        <v>1004</v>
      </c>
      <c r="E42" s="1223" t="s">
        <v>999</v>
      </c>
      <c r="F42" s="1223" t="s">
        <v>97</v>
      </c>
      <c r="G42" s="1224" t="s">
        <v>93</v>
      </c>
      <c r="H42" s="1225" t="s">
        <v>1015</v>
      </c>
      <c r="I42" s="1226" t="s">
        <v>1016</v>
      </c>
      <c r="J42" s="1227" t="s">
        <v>1017</v>
      </c>
      <c r="K42" s="894" t="s">
        <v>170</v>
      </c>
      <c r="L42" s="1719"/>
      <c r="N42"/>
      <c r="O42"/>
      <c r="P42"/>
      <c r="Q42"/>
      <c r="R42"/>
      <c r="S42"/>
      <c r="T42"/>
      <c r="U42"/>
      <c r="V42"/>
      <c r="W42"/>
      <c r="X42"/>
      <c r="Y42"/>
      <c r="Z42"/>
    </row>
    <row r="43" spans="1:26" ht="18.75" customHeight="1" x14ac:dyDescent="0.2">
      <c r="A43" s="343" t="s">
        <v>23</v>
      </c>
      <c r="B43" s="443">
        <f>T_13!K7</f>
        <v>4</v>
      </c>
      <c r="C43" s="444">
        <f>T_13!L7</f>
        <v>80</v>
      </c>
      <c r="D43" s="444">
        <f>T_13!M7</f>
        <v>0</v>
      </c>
      <c r="E43" s="444">
        <f>T_13!N7</f>
        <v>7</v>
      </c>
      <c r="F43" s="444">
        <f>T_13!O7</f>
        <v>1</v>
      </c>
      <c r="G43" s="445">
        <f>T_13!P7</f>
        <v>8</v>
      </c>
      <c r="H43" s="444">
        <f>T_13!Q7</f>
        <v>95</v>
      </c>
      <c r="I43" s="444">
        <f>T_13!R7</f>
        <v>13</v>
      </c>
      <c r="J43" s="445">
        <f>T_13!S7</f>
        <v>53</v>
      </c>
      <c r="K43" s="901">
        <f>SUM(H43:J43)</f>
        <v>161</v>
      </c>
      <c r="L43" s="442">
        <f>SUM(B43:J43)</f>
        <v>261</v>
      </c>
      <c r="M43" s="177"/>
      <c r="N43"/>
      <c r="O43"/>
      <c r="P43"/>
      <c r="Q43"/>
      <c r="R43"/>
      <c r="S43"/>
      <c r="T43"/>
      <c r="U43"/>
      <c r="V43"/>
      <c r="W43"/>
      <c r="X43"/>
      <c r="Y43"/>
      <c r="Z43"/>
    </row>
    <row r="44" spans="1:26" ht="13.5" customHeight="1" x14ac:dyDescent="0.2">
      <c r="A44" s="46" t="s">
        <v>24</v>
      </c>
      <c r="B44" s="436">
        <f>T_13!K8</f>
        <v>6</v>
      </c>
      <c r="C44" s="437">
        <f>T_13!L8</f>
        <v>65</v>
      </c>
      <c r="D44" s="437">
        <f>T_13!M8</f>
        <v>0</v>
      </c>
      <c r="E44" s="437">
        <f>T_13!N8</f>
        <v>1</v>
      </c>
      <c r="F44" s="437">
        <f>T_13!O8</f>
        <v>1</v>
      </c>
      <c r="G44" s="438">
        <f>T_13!P8</f>
        <v>13</v>
      </c>
      <c r="H44" s="437">
        <f>T_13!Q8</f>
        <v>14</v>
      </c>
      <c r="I44" s="437">
        <f>T_13!R8</f>
        <v>4</v>
      </c>
      <c r="J44" s="438">
        <f>T_13!S8</f>
        <v>29</v>
      </c>
      <c r="K44" s="902">
        <f t="shared" ref="K44:K74" si="3">SUM(H44:J44)</f>
        <v>47</v>
      </c>
      <c r="L44" s="248">
        <f t="shared" ref="L44:L74" si="4">SUM(B44:J44)</f>
        <v>133</v>
      </c>
      <c r="M44" s="177"/>
      <c r="N44"/>
      <c r="O44"/>
      <c r="P44"/>
      <c r="Q44"/>
      <c r="R44"/>
      <c r="S44"/>
      <c r="T44"/>
      <c r="U44"/>
      <c r="V44"/>
      <c r="W44"/>
      <c r="X44"/>
      <c r="Y44"/>
      <c r="Z44"/>
    </row>
    <row r="45" spans="1:26" ht="13.5" customHeight="1" x14ac:dyDescent="0.2">
      <c r="A45" s="343" t="s">
        <v>25</v>
      </c>
      <c r="B45" s="439">
        <f>T_13!K9</f>
        <v>8</v>
      </c>
      <c r="C45" s="440">
        <f>T_13!L9</f>
        <v>43</v>
      </c>
      <c r="D45" s="440">
        <f>T_13!M9</f>
        <v>3</v>
      </c>
      <c r="E45" s="440">
        <f>T_13!N9</f>
        <v>4</v>
      </c>
      <c r="F45" s="440">
        <f>T_13!O9</f>
        <v>0</v>
      </c>
      <c r="G45" s="441">
        <f>T_13!P9</f>
        <v>20</v>
      </c>
      <c r="H45" s="440">
        <f>T_13!Q9</f>
        <v>14</v>
      </c>
      <c r="I45" s="440">
        <f>T_13!R9</f>
        <v>3</v>
      </c>
      <c r="J45" s="441">
        <f>T_13!S9</f>
        <v>20</v>
      </c>
      <c r="K45" s="901">
        <f t="shared" si="3"/>
        <v>37</v>
      </c>
      <c r="L45" s="442">
        <f t="shared" si="4"/>
        <v>115</v>
      </c>
      <c r="M45" s="177"/>
      <c r="N45"/>
      <c r="O45"/>
      <c r="P45"/>
      <c r="Q45"/>
      <c r="R45"/>
      <c r="S45"/>
      <c r="T45"/>
      <c r="U45"/>
      <c r="V45"/>
      <c r="W45"/>
      <c r="X45"/>
      <c r="Y45"/>
      <c r="Z45"/>
    </row>
    <row r="46" spans="1:26" ht="13.5" customHeight="1" x14ac:dyDescent="0.2">
      <c r="A46" s="46" t="s">
        <v>26</v>
      </c>
      <c r="B46" s="436">
        <f>T_13!K10</f>
        <v>3</v>
      </c>
      <c r="C46" s="437">
        <f>T_13!L10</f>
        <v>21</v>
      </c>
      <c r="D46" s="437">
        <f>T_13!M10</f>
        <v>0</v>
      </c>
      <c r="E46" s="437">
        <f>T_13!N10</f>
        <v>1</v>
      </c>
      <c r="F46" s="437">
        <f>T_13!O10</f>
        <v>1</v>
      </c>
      <c r="G46" s="438">
        <f>T_13!P10</f>
        <v>2</v>
      </c>
      <c r="H46" s="437">
        <f>T_13!Q10</f>
        <v>10</v>
      </c>
      <c r="I46" s="437">
        <f>T_13!R10</f>
        <v>1</v>
      </c>
      <c r="J46" s="438">
        <f>T_13!S10</f>
        <v>2</v>
      </c>
      <c r="K46" s="902">
        <f t="shared" si="3"/>
        <v>13</v>
      </c>
      <c r="L46" s="248">
        <f t="shared" si="4"/>
        <v>41</v>
      </c>
      <c r="M46" s="177"/>
      <c r="N46"/>
      <c r="O46"/>
      <c r="P46"/>
      <c r="Q46"/>
      <c r="R46"/>
      <c r="S46"/>
      <c r="T46"/>
      <c r="U46"/>
      <c r="V46"/>
      <c r="W46"/>
      <c r="X46"/>
      <c r="Y46"/>
      <c r="Z46"/>
    </row>
    <row r="47" spans="1:26" ht="13.5" customHeight="1" x14ac:dyDescent="0.2">
      <c r="A47" s="343" t="s">
        <v>27</v>
      </c>
      <c r="B47" s="439">
        <f>T_13!K11</f>
        <v>5</v>
      </c>
      <c r="C47" s="440">
        <f>T_13!L11</f>
        <v>34</v>
      </c>
      <c r="D47" s="440">
        <f>T_13!M11</f>
        <v>1</v>
      </c>
      <c r="E47" s="440">
        <f>T_13!N11</f>
        <v>1</v>
      </c>
      <c r="F47" s="440">
        <f>T_13!O11</f>
        <v>0</v>
      </c>
      <c r="G47" s="441">
        <f>T_13!P11</f>
        <v>12</v>
      </c>
      <c r="H47" s="440">
        <f>T_13!Q11</f>
        <v>5</v>
      </c>
      <c r="I47" s="440">
        <f>T_13!R11</f>
        <v>1</v>
      </c>
      <c r="J47" s="441">
        <f>T_13!S11</f>
        <v>17</v>
      </c>
      <c r="K47" s="901">
        <f t="shared" si="3"/>
        <v>23</v>
      </c>
      <c r="L47" s="442">
        <f t="shared" si="4"/>
        <v>76</v>
      </c>
      <c r="M47" s="177"/>
      <c r="N47"/>
      <c r="O47"/>
      <c r="P47"/>
      <c r="Q47"/>
      <c r="R47"/>
      <c r="S47"/>
      <c r="T47"/>
      <c r="U47"/>
      <c r="V47"/>
      <c r="W47"/>
      <c r="X47"/>
      <c r="Y47"/>
      <c r="Z47"/>
    </row>
    <row r="48" spans="1:26" ht="13.5" customHeight="1" x14ac:dyDescent="0.2">
      <c r="A48" s="46" t="s">
        <v>28</v>
      </c>
      <c r="B48" s="436">
        <f>T_13!K12</f>
        <v>3</v>
      </c>
      <c r="C48" s="437">
        <f>T_13!L12</f>
        <v>34</v>
      </c>
      <c r="D48" s="437">
        <f>T_13!M12</f>
        <v>0</v>
      </c>
      <c r="E48" s="437">
        <f>T_13!N12</f>
        <v>1</v>
      </c>
      <c r="F48" s="437">
        <f>T_13!O12</f>
        <v>0</v>
      </c>
      <c r="G48" s="438">
        <f>T_13!P12</f>
        <v>16</v>
      </c>
      <c r="H48" s="437">
        <f>T_13!Q12</f>
        <v>12</v>
      </c>
      <c r="I48" s="437">
        <f>T_13!R12</f>
        <v>1</v>
      </c>
      <c r="J48" s="438">
        <f>T_13!S12</f>
        <v>32</v>
      </c>
      <c r="K48" s="902">
        <f t="shared" si="3"/>
        <v>45</v>
      </c>
      <c r="L48" s="248">
        <f t="shared" si="4"/>
        <v>99</v>
      </c>
      <c r="M48" s="177"/>
      <c r="N48"/>
      <c r="O48"/>
      <c r="P48"/>
      <c r="Q48"/>
      <c r="R48"/>
      <c r="S48"/>
      <c r="T48"/>
      <c r="U48"/>
      <c r="V48"/>
      <c r="W48"/>
      <c r="X48"/>
      <c r="Y48"/>
      <c r="Z48"/>
    </row>
    <row r="49" spans="1:26" ht="13.5" customHeight="1" x14ac:dyDescent="0.2">
      <c r="A49" s="343" t="s">
        <v>29</v>
      </c>
      <c r="B49" s="439">
        <f>T_13!K13</f>
        <v>12</v>
      </c>
      <c r="C49" s="440">
        <f>T_13!L13</f>
        <v>231</v>
      </c>
      <c r="D49" s="440">
        <f>T_13!M13</f>
        <v>0</v>
      </c>
      <c r="E49" s="440">
        <f>T_13!N13</f>
        <v>15</v>
      </c>
      <c r="F49" s="440">
        <f>T_13!O13</f>
        <v>3</v>
      </c>
      <c r="G49" s="441">
        <f>T_13!P13</f>
        <v>72</v>
      </c>
      <c r="H49" s="440">
        <f>T_13!Q13</f>
        <v>227</v>
      </c>
      <c r="I49" s="440">
        <f>T_13!R13</f>
        <v>40</v>
      </c>
      <c r="J49" s="441">
        <f>T_13!S13</f>
        <v>66</v>
      </c>
      <c r="K49" s="901">
        <f t="shared" si="3"/>
        <v>333</v>
      </c>
      <c r="L49" s="442">
        <f t="shared" si="4"/>
        <v>666</v>
      </c>
      <c r="M49" s="177"/>
      <c r="N49"/>
      <c r="O49"/>
      <c r="P49"/>
      <c r="Q49"/>
      <c r="R49"/>
      <c r="S49"/>
      <c r="T49"/>
      <c r="U49"/>
      <c r="V49"/>
      <c r="W49"/>
      <c r="X49"/>
      <c r="Y49"/>
      <c r="Z49"/>
    </row>
    <row r="50" spans="1:26" ht="13.5" customHeight="1" x14ac:dyDescent="0.2">
      <c r="A50" s="46" t="s">
        <v>30</v>
      </c>
      <c r="B50" s="436">
        <f>T_13!K14</f>
        <v>9</v>
      </c>
      <c r="C50" s="437">
        <f>T_13!L14</f>
        <v>221</v>
      </c>
      <c r="D50" s="437">
        <f>T_13!M14</f>
        <v>1</v>
      </c>
      <c r="E50" s="437">
        <f>T_13!N14</f>
        <v>12</v>
      </c>
      <c r="F50" s="437">
        <f>T_13!O14</f>
        <v>3</v>
      </c>
      <c r="G50" s="438">
        <f>T_13!P14</f>
        <v>64</v>
      </c>
      <c r="H50" s="437">
        <f>T_13!Q14</f>
        <v>131</v>
      </c>
      <c r="I50" s="437">
        <f>T_13!R14</f>
        <v>14</v>
      </c>
      <c r="J50" s="438">
        <f>T_13!S14</f>
        <v>124</v>
      </c>
      <c r="K50" s="902">
        <f t="shared" si="3"/>
        <v>269</v>
      </c>
      <c r="L50" s="248">
        <f t="shared" si="4"/>
        <v>579</v>
      </c>
      <c r="M50" s="177"/>
      <c r="N50"/>
      <c r="O50"/>
      <c r="P50"/>
      <c r="Q50"/>
      <c r="R50"/>
      <c r="S50"/>
      <c r="T50"/>
      <c r="U50"/>
      <c r="V50"/>
      <c r="W50"/>
      <c r="X50"/>
      <c r="Y50"/>
      <c r="Z50"/>
    </row>
    <row r="51" spans="1:26" ht="13.5" customHeight="1" x14ac:dyDescent="0.2">
      <c r="A51" s="343" t="s">
        <v>31</v>
      </c>
      <c r="B51" s="439">
        <f>T_13!K15</f>
        <v>4</v>
      </c>
      <c r="C51" s="440">
        <f>T_13!L15</f>
        <v>54</v>
      </c>
      <c r="D51" s="440">
        <f>T_13!M15</f>
        <v>1</v>
      </c>
      <c r="E51" s="440">
        <f>T_13!N15</f>
        <v>4</v>
      </c>
      <c r="F51" s="440">
        <f>T_13!O15</f>
        <v>0</v>
      </c>
      <c r="G51" s="441">
        <f>T_13!P15</f>
        <v>16</v>
      </c>
      <c r="H51" s="440">
        <f>T_13!Q15</f>
        <v>36</v>
      </c>
      <c r="I51" s="440">
        <f>T_13!R15</f>
        <v>11</v>
      </c>
      <c r="J51" s="441">
        <f>T_13!S15</f>
        <v>36</v>
      </c>
      <c r="K51" s="901">
        <f t="shared" si="3"/>
        <v>83</v>
      </c>
      <c r="L51" s="442">
        <f t="shared" si="4"/>
        <v>162</v>
      </c>
      <c r="M51" s="177"/>
      <c r="N51"/>
      <c r="O51"/>
      <c r="P51"/>
      <c r="Q51"/>
      <c r="R51"/>
      <c r="S51"/>
      <c r="T51"/>
      <c r="U51"/>
      <c r="V51"/>
      <c r="W51"/>
      <c r="X51"/>
      <c r="Y51"/>
      <c r="Z51"/>
    </row>
    <row r="52" spans="1:26" ht="13.5" customHeight="1" x14ac:dyDescent="0.2">
      <c r="A52" s="46" t="s">
        <v>32</v>
      </c>
      <c r="B52" s="436">
        <f>T_13!K16</f>
        <v>2</v>
      </c>
      <c r="C52" s="437">
        <f>T_13!L16</f>
        <v>82</v>
      </c>
      <c r="D52" s="437">
        <f>T_13!M16</f>
        <v>2</v>
      </c>
      <c r="E52" s="437">
        <f>T_13!N16</f>
        <v>2</v>
      </c>
      <c r="F52" s="437">
        <f>T_13!O16</f>
        <v>1</v>
      </c>
      <c r="G52" s="438">
        <f>T_13!P16</f>
        <v>42</v>
      </c>
      <c r="H52" s="437">
        <f>T_13!Q16</f>
        <v>15</v>
      </c>
      <c r="I52" s="437">
        <f>T_13!R16</f>
        <v>9</v>
      </c>
      <c r="J52" s="438">
        <f>T_13!S16</f>
        <v>22</v>
      </c>
      <c r="K52" s="902">
        <f t="shared" si="3"/>
        <v>46</v>
      </c>
      <c r="L52" s="248">
        <f t="shared" si="4"/>
        <v>177</v>
      </c>
      <c r="M52" s="177"/>
      <c r="N52"/>
      <c r="O52"/>
      <c r="P52"/>
      <c r="Q52"/>
      <c r="R52"/>
      <c r="S52"/>
      <c r="T52"/>
      <c r="U52"/>
      <c r="V52"/>
      <c r="W52"/>
      <c r="X52"/>
      <c r="Y52"/>
      <c r="Z52"/>
    </row>
    <row r="53" spans="1:26" ht="13.5" customHeight="1" x14ac:dyDescent="0.2">
      <c r="A53" s="343" t="s">
        <v>33</v>
      </c>
      <c r="B53" s="439">
        <f>T_13!K17</f>
        <v>5</v>
      </c>
      <c r="C53" s="440">
        <f>T_13!L17</f>
        <v>35</v>
      </c>
      <c r="D53" s="440">
        <f>T_13!M17</f>
        <v>1</v>
      </c>
      <c r="E53" s="440">
        <f>T_13!N17</f>
        <v>5</v>
      </c>
      <c r="F53" s="440">
        <f>T_13!O17</f>
        <v>0</v>
      </c>
      <c r="G53" s="441">
        <f>T_13!P17</f>
        <v>23</v>
      </c>
      <c r="H53" s="440">
        <f>T_13!Q17</f>
        <v>36</v>
      </c>
      <c r="I53" s="440">
        <f>T_13!R17</f>
        <v>5</v>
      </c>
      <c r="J53" s="441">
        <f>T_13!S17</f>
        <v>42</v>
      </c>
      <c r="K53" s="901">
        <f t="shared" si="3"/>
        <v>83</v>
      </c>
      <c r="L53" s="442">
        <f t="shared" si="4"/>
        <v>152</v>
      </c>
      <c r="M53" s="177"/>
      <c r="N53"/>
      <c r="O53"/>
      <c r="P53"/>
      <c r="Q53"/>
      <c r="R53"/>
      <c r="S53"/>
      <c r="T53"/>
      <c r="U53"/>
      <c r="V53"/>
      <c r="W53"/>
      <c r="X53"/>
      <c r="Y53"/>
      <c r="Z53"/>
    </row>
    <row r="54" spans="1:26" ht="13.5" customHeight="1" x14ac:dyDescent="0.2">
      <c r="A54" s="46" t="s">
        <v>137</v>
      </c>
      <c r="B54" s="436">
        <f>T_13!K18</f>
        <v>13</v>
      </c>
      <c r="C54" s="437">
        <f>T_13!L18</f>
        <v>334</v>
      </c>
      <c r="D54" s="437">
        <f>T_13!M18</f>
        <v>0</v>
      </c>
      <c r="E54" s="437">
        <f>T_13!N18</f>
        <v>23</v>
      </c>
      <c r="F54" s="437">
        <f>T_13!O18</f>
        <v>3</v>
      </c>
      <c r="G54" s="438">
        <f>T_13!P18</f>
        <v>260</v>
      </c>
      <c r="H54" s="437">
        <f>T_13!Q18</f>
        <v>295</v>
      </c>
      <c r="I54" s="437">
        <f>T_13!R18</f>
        <v>76</v>
      </c>
      <c r="J54" s="438">
        <f>T_13!S18</f>
        <v>217</v>
      </c>
      <c r="K54" s="902">
        <f t="shared" si="3"/>
        <v>588</v>
      </c>
      <c r="L54" s="248">
        <f t="shared" si="4"/>
        <v>1221</v>
      </c>
      <c r="M54" s="177"/>
      <c r="N54"/>
      <c r="O54"/>
      <c r="P54"/>
      <c r="Q54"/>
      <c r="R54"/>
      <c r="S54"/>
      <c r="T54"/>
      <c r="U54"/>
      <c r="V54"/>
      <c r="W54"/>
      <c r="X54"/>
      <c r="Y54"/>
      <c r="Z54"/>
    </row>
    <row r="55" spans="1:26" ht="13.5" customHeight="1" x14ac:dyDescent="0.2">
      <c r="A55" s="343" t="s">
        <v>34</v>
      </c>
      <c r="B55" s="439">
        <f>T_13!K19</f>
        <v>12</v>
      </c>
      <c r="C55" s="440">
        <f>T_13!L19</f>
        <v>134</v>
      </c>
      <c r="D55" s="440">
        <f>T_13!M19</f>
        <v>3</v>
      </c>
      <c r="E55" s="440">
        <f>T_13!N19</f>
        <v>3</v>
      </c>
      <c r="F55" s="440">
        <f>T_13!O19</f>
        <v>2</v>
      </c>
      <c r="G55" s="441">
        <f>T_13!P19</f>
        <v>36</v>
      </c>
      <c r="H55" s="440">
        <f>T_13!Q19</f>
        <v>42</v>
      </c>
      <c r="I55" s="440">
        <f>T_13!R19</f>
        <v>8</v>
      </c>
      <c r="J55" s="441">
        <f>T_13!S19</f>
        <v>43</v>
      </c>
      <c r="K55" s="901">
        <f t="shared" si="3"/>
        <v>93</v>
      </c>
      <c r="L55" s="442">
        <f t="shared" si="4"/>
        <v>283</v>
      </c>
      <c r="M55" s="177"/>
      <c r="N55"/>
      <c r="O55"/>
      <c r="P55"/>
      <c r="Q55"/>
      <c r="R55"/>
      <c r="S55"/>
      <c r="T55"/>
      <c r="U55"/>
      <c r="V55"/>
      <c r="W55"/>
      <c r="X55"/>
      <c r="Y55"/>
      <c r="Z55"/>
    </row>
    <row r="56" spans="1:26" ht="13.5" customHeight="1" x14ac:dyDescent="0.2">
      <c r="A56" s="46" t="s">
        <v>35</v>
      </c>
      <c r="B56" s="436">
        <f>T_13!K20</f>
        <v>28</v>
      </c>
      <c r="C56" s="437">
        <f>T_13!L20</f>
        <v>244</v>
      </c>
      <c r="D56" s="437">
        <f>T_13!M20</f>
        <v>9</v>
      </c>
      <c r="E56" s="437">
        <f>T_13!N20</f>
        <v>19</v>
      </c>
      <c r="F56" s="437">
        <f>T_13!O20</f>
        <v>5</v>
      </c>
      <c r="G56" s="438">
        <f>T_13!P20</f>
        <v>94</v>
      </c>
      <c r="H56" s="437">
        <f>T_13!Q20</f>
        <v>102</v>
      </c>
      <c r="I56" s="437">
        <f>T_13!R20</f>
        <v>13</v>
      </c>
      <c r="J56" s="438">
        <f>T_13!S20</f>
        <v>193</v>
      </c>
      <c r="K56" s="902">
        <f t="shared" si="3"/>
        <v>308</v>
      </c>
      <c r="L56" s="248">
        <f t="shared" si="4"/>
        <v>707</v>
      </c>
      <c r="M56" s="177"/>
      <c r="N56"/>
      <c r="O56"/>
      <c r="P56"/>
      <c r="Q56"/>
      <c r="R56"/>
      <c r="S56"/>
      <c r="T56"/>
      <c r="U56"/>
      <c r="V56"/>
      <c r="W56"/>
      <c r="X56"/>
      <c r="Y56"/>
      <c r="Z56"/>
    </row>
    <row r="57" spans="1:26" ht="13.5" customHeight="1" x14ac:dyDescent="0.2">
      <c r="A57" s="343" t="s">
        <v>36</v>
      </c>
      <c r="B57" s="439">
        <f>T_13!K21</f>
        <v>44</v>
      </c>
      <c r="C57" s="440">
        <f>T_13!L21</f>
        <v>412</v>
      </c>
      <c r="D57" s="440">
        <f>T_13!M21</f>
        <v>7</v>
      </c>
      <c r="E57" s="440">
        <f>T_13!N21</f>
        <v>44</v>
      </c>
      <c r="F57" s="440">
        <f>T_13!O21</f>
        <v>1</v>
      </c>
      <c r="G57" s="441">
        <f>T_13!P21</f>
        <v>282</v>
      </c>
      <c r="H57" s="440">
        <f>T_13!Q21</f>
        <v>751</v>
      </c>
      <c r="I57" s="440">
        <f>T_13!R21</f>
        <v>70</v>
      </c>
      <c r="J57" s="441">
        <f>T_13!S21</f>
        <v>616</v>
      </c>
      <c r="K57" s="901">
        <f t="shared" si="3"/>
        <v>1437</v>
      </c>
      <c r="L57" s="442">
        <f t="shared" si="4"/>
        <v>2227</v>
      </c>
      <c r="M57" s="177"/>
      <c r="N57"/>
      <c r="O57"/>
      <c r="P57"/>
      <c r="Q57"/>
      <c r="R57"/>
      <c r="S57"/>
      <c r="T57"/>
      <c r="U57"/>
      <c r="V57"/>
      <c r="W57"/>
      <c r="X57"/>
      <c r="Y57"/>
      <c r="Z57"/>
    </row>
    <row r="58" spans="1:26" ht="13.5" customHeight="1" x14ac:dyDescent="0.2">
      <c r="A58" s="46" t="s">
        <v>37</v>
      </c>
      <c r="B58" s="436">
        <f>T_13!K22</f>
        <v>7</v>
      </c>
      <c r="C58" s="437">
        <f>T_13!L22</f>
        <v>71</v>
      </c>
      <c r="D58" s="437">
        <f>T_13!M22</f>
        <v>0</v>
      </c>
      <c r="E58" s="437">
        <f>T_13!N22</f>
        <v>4</v>
      </c>
      <c r="F58" s="437">
        <f>T_13!O22</f>
        <v>4</v>
      </c>
      <c r="G58" s="438">
        <f>T_13!P22</f>
        <v>18</v>
      </c>
      <c r="H58" s="437">
        <f>T_13!Q22</f>
        <v>17</v>
      </c>
      <c r="I58" s="437">
        <f>T_13!R22</f>
        <v>0</v>
      </c>
      <c r="J58" s="438">
        <f>T_13!S22</f>
        <v>10</v>
      </c>
      <c r="K58" s="902">
        <f t="shared" si="3"/>
        <v>27</v>
      </c>
      <c r="L58" s="248">
        <f t="shared" si="4"/>
        <v>131</v>
      </c>
      <c r="M58" s="177"/>
      <c r="N58"/>
      <c r="O58"/>
      <c r="P58"/>
      <c r="Q58"/>
      <c r="R58"/>
      <c r="S58"/>
      <c r="T58"/>
      <c r="U58"/>
      <c r="V58"/>
      <c r="W58"/>
      <c r="X58"/>
      <c r="Y58"/>
      <c r="Z58"/>
    </row>
    <row r="59" spans="1:26" ht="13.5" customHeight="1" x14ac:dyDescent="0.2">
      <c r="A59" s="343" t="s">
        <v>38</v>
      </c>
      <c r="B59" s="439">
        <f>T_13!K23</f>
        <v>5</v>
      </c>
      <c r="C59" s="440">
        <f>T_13!L23</f>
        <v>196</v>
      </c>
      <c r="D59" s="440">
        <f>T_13!M23</f>
        <v>1</v>
      </c>
      <c r="E59" s="440">
        <f>T_13!N23</f>
        <v>1</v>
      </c>
      <c r="F59" s="440">
        <f>T_13!O23</f>
        <v>1</v>
      </c>
      <c r="G59" s="441">
        <f>T_13!P23</f>
        <v>29</v>
      </c>
      <c r="H59" s="440">
        <f>T_13!Q23</f>
        <v>39</v>
      </c>
      <c r="I59" s="440">
        <f>T_13!R23</f>
        <v>2</v>
      </c>
      <c r="J59" s="441">
        <f>T_13!S23</f>
        <v>66</v>
      </c>
      <c r="K59" s="901">
        <f t="shared" si="3"/>
        <v>107</v>
      </c>
      <c r="L59" s="442">
        <f t="shared" si="4"/>
        <v>340</v>
      </c>
      <c r="M59" s="177"/>
      <c r="N59"/>
      <c r="O59"/>
      <c r="P59"/>
      <c r="Q59"/>
      <c r="R59"/>
      <c r="S59"/>
      <c r="T59"/>
      <c r="U59"/>
      <c r="V59"/>
      <c r="W59"/>
      <c r="X59"/>
      <c r="Y59"/>
      <c r="Z59"/>
    </row>
    <row r="60" spans="1:26" ht="13.5" customHeight="1" x14ac:dyDescent="0.2">
      <c r="A60" s="46" t="s">
        <v>39</v>
      </c>
      <c r="B60" s="436">
        <f>T_13!K24</f>
        <v>6</v>
      </c>
      <c r="C60" s="437">
        <f>T_13!L24</f>
        <v>138</v>
      </c>
      <c r="D60" s="437">
        <f>T_13!M24</f>
        <v>3</v>
      </c>
      <c r="E60" s="437">
        <f>T_13!N24</f>
        <v>6</v>
      </c>
      <c r="F60" s="437">
        <f>T_13!O24</f>
        <v>0</v>
      </c>
      <c r="G60" s="438">
        <f>T_13!P24</f>
        <v>80</v>
      </c>
      <c r="H60" s="437">
        <f>T_13!Q24</f>
        <v>37</v>
      </c>
      <c r="I60" s="437">
        <f>T_13!R24</f>
        <v>9</v>
      </c>
      <c r="J60" s="438">
        <f>T_13!S24</f>
        <v>50</v>
      </c>
      <c r="K60" s="902">
        <f t="shared" si="3"/>
        <v>96</v>
      </c>
      <c r="L60" s="248">
        <f t="shared" si="4"/>
        <v>329</v>
      </c>
      <c r="M60" s="177"/>
      <c r="N60"/>
      <c r="O60"/>
      <c r="P60"/>
      <c r="Q60"/>
      <c r="R60"/>
      <c r="S60"/>
      <c r="T60"/>
      <c r="U60"/>
      <c r="V60"/>
      <c r="W60"/>
      <c r="X60"/>
      <c r="Y60"/>
      <c r="Z60"/>
    </row>
    <row r="61" spans="1:26" ht="13.5" customHeight="1" x14ac:dyDescent="0.2">
      <c r="A61" s="343" t="s">
        <v>40</v>
      </c>
      <c r="B61" s="439">
        <f>T_13!K25</f>
        <v>4</v>
      </c>
      <c r="C61" s="440">
        <f>T_13!L25</f>
        <v>22</v>
      </c>
      <c r="D61" s="440">
        <f>T_13!M25</f>
        <v>0</v>
      </c>
      <c r="E61" s="440">
        <f>T_13!N25</f>
        <v>3</v>
      </c>
      <c r="F61" s="440">
        <f>T_13!O25</f>
        <v>0</v>
      </c>
      <c r="G61" s="441">
        <f>T_13!P25</f>
        <v>7</v>
      </c>
      <c r="H61" s="440">
        <f>T_13!Q25</f>
        <v>3</v>
      </c>
      <c r="I61" s="440">
        <f>T_13!R25</f>
        <v>0</v>
      </c>
      <c r="J61" s="441">
        <f>T_13!S25</f>
        <v>5</v>
      </c>
      <c r="K61" s="901">
        <f t="shared" si="3"/>
        <v>8</v>
      </c>
      <c r="L61" s="442">
        <f t="shared" si="4"/>
        <v>44</v>
      </c>
      <c r="M61" s="177"/>
      <c r="N61"/>
      <c r="O61"/>
      <c r="P61"/>
      <c r="Q61"/>
      <c r="R61"/>
      <c r="S61"/>
      <c r="T61"/>
      <c r="U61"/>
      <c r="V61"/>
      <c r="W61"/>
      <c r="X61"/>
      <c r="Y61"/>
      <c r="Z61"/>
    </row>
    <row r="62" spans="1:26" ht="13.5" customHeight="1" x14ac:dyDescent="0.2">
      <c r="A62" s="46" t="s">
        <v>393</v>
      </c>
      <c r="B62" s="436">
        <f>T_13!K26</f>
        <v>0</v>
      </c>
      <c r="C62" s="437">
        <f>T_13!L26</f>
        <v>1</v>
      </c>
      <c r="D62" s="437">
        <f>T_13!M26</f>
        <v>0</v>
      </c>
      <c r="E62" s="437">
        <f>T_13!N26</f>
        <v>0</v>
      </c>
      <c r="F62" s="437">
        <f>T_13!O26</f>
        <v>0</v>
      </c>
      <c r="G62" s="438">
        <f>T_13!P26</f>
        <v>0</v>
      </c>
      <c r="H62" s="437">
        <f>T_13!Q26</f>
        <v>0</v>
      </c>
      <c r="I62" s="437">
        <f>T_13!R26</f>
        <v>0</v>
      </c>
      <c r="J62" s="438">
        <f>T_13!S26</f>
        <v>0</v>
      </c>
      <c r="K62" s="902">
        <f t="shared" si="3"/>
        <v>0</v>
      </c>
      <c r="L62" s="248">
        <f t="shared" si="4"/>
        <v>1</v>
      </c>
      <c r="M62" s="177"/>
      <c r="N62"/>
      <c r="O62"/>
      <c r="P62"/>
      <c r="Q62"/>
      <c r="R62"/>
      <c r="S62"/>
      <c r="T62"/>
      <c r="U62"/>
      <c r="V62"/>
      <c r="W62"/>
      <c r="X62"/>
      <c r="Y62"/>
      <c r="Z62"/>
    </row>
    <row r="63" spans="1:26" ht="13.5" customHeight="1" x14ac:dyDescent="0.2">
      <c r="A63" s="343" t="s">
        <v>41</v>
      </c>
      <c r="B63" s="439">
        <f>T_13!K27</f>
        <v>15</v>
      </c>
      <c r="C63" s="440">
        <f>T_13!L27</f>
        <v>212</v>
      </c>
      <c r="D63" s="440">
        <f>T_13!M27</f>
        <v>3</v>
      </c>
      <c r="E63" s="440">
        <f>T_13!N27</f>
        <v>5</v>
      </c>
      <c r="F63" s="440">
        <f>T_13!O27</f>
        <v>1</v>
      </c>
      <c r="G63" s="441">
        <f>T_13!P27</f>
        <v>121</v>
      </c>
      <c r="H63" s="440">
        <f>T_13!Q27</f>
        <v>81</v>
      </c>
      <c r="I63" s="440">
        <f>T_13!R27</f>
        <v>10</v>
      </c>
      <c r="J63" s="441">
        <f>T_13!S27</f>
        <v>97</v>
      </c>
      <c r="K63" s="901">
        <f t="shared" si="3"/>
        <v>188</v>
      </c>
      <c r="L63" s="442">
        <f t="shared" si="4"/>
        <v>545</v>
      </c>
      <c r="M63" s="177"/>
      <c r="N63"/>
      <c r="O63"/>
      <c r="P63"/>
      <c r="Q63"/>
      <c r="R63"/>
      <c r="S63"/>
      <c r="T63"/>
      <c r="U63"/>
      <c r="V63"/>
      <c r="W63"/>
      <c r="X63"/>
      <c r="Y63"/>
      <c r="Z63"/>
    </row>
    <row r="64" spans="1:26" ht="13.5" customHeight="1" x14ac:dyDescent="0.2">
      <c r="A64" s="46" t="s">
        <v>42</v>
      </c>
      <c r="B64" s="436">
        <f>T_13!K28</f>
        <v>20</v>
      </c>
      <c r="C64" s="437">
        <f>T_13!L28</f>
        <v>356</v>
      </c>
      <c r="D64" s="437">
        <f>T_13!M28</f>
        <v>3</v>
      </c>
      <c r="E64" s="437">
        <f>T_13!N28</f>
        <v>36</v>
      </c>
      <c r="F64" s="437">
        <f>T_13!O28</f>
        <v>5</v>
      </c>
      <c r="G64" s="438">
        <f>T_13!P28</f>
        <v>164</v>
      </c>
      <c r="H64" s="437">
        <f>T_13!Q28</f>
        <v>186</v>
      </c>
      <c r="I64" s="437">
        <f>T_13!R28</f>
        <v>27</v>
      </c>
      <c r="J64" s="438">
        <f>T_13!S28</f>
        <v>379</v>
      </c>
      <c r="K64" s="902">
        <f t="shared" si="3"/>
        <v>592</v>
      </c>
      <c r="L64" s="248">
        <f t="shared" si="4"/>
        <v>1176</v>
      </c>
      <c r="M64" s="177"/>
      <c r="N64"/>
      <c r="O64"/>
      <c r="P64"/>
      <c r="Q64"/>
      <c r="R64"/>
      <c r="S64"/>
      <c r="T64"/>
      <c r="U64"/>
      <c r="V64"/>
      <c r="W64"/>
      <c r="X64"/>
      <c r="Y64"/>
      <c r="Z64"/>
    </row>
    <row r="65" spans="1:26" ht="13.5" customHeight="1" x14ac:dyDescent="0.2">
      <c r="A65" s="343" t="s">
        <v>43</v>
      </c>
      <c r="B65" s="439">
        <f>T_13!K29</f>
        <v>0</v>
      </c>
      <c r="C65" s="440">
        <f>T_13!L29</f>
        <v>0</v>
      </c>
      <c r="D65" s="440">
        <f>T_13!M29</f>
        <v>0</v>
      </c>
      <c r="E65" s="440">
        <f>T_13!N29</f>
        <v>0</v>
      </c>
      <c r="F65" s="440">
        <f>T_13!O29</f>
        <v>0</v>
      </c>
      <c r="G65" s="441">
        <f>T_13!P29</f>
        <v>2</v>
      </c>
      <c r="H65" s="440">
        <f>T_13!Q29</f>
        <v>0</v>
      </c>
      <c r="I65" s="440">
        <f>T_13!R29</f>
        <v>0</v>
      </c>
      <c r="J65" s="441">
        <f>T_13!S29</f>
        <v>0</v>
      </c>
      <c r="K65" s="901">
        <f t="shared" si="3"/>
        <v>0</v>
      </c>
      <c r="L65" s="442">
        <f t="shared" si="4"/>
        <v>2</v>
      </c>
      <c r="M65" s="177"/>
      <c r="N65"/>
      <c r="O65"/>
      <c r="P65"/>
      <c r="Q65"/>
      <c r="R65"/>
      <c r="S65"/>
      <c r="T65"/>
      <c r="U65"/>
      <c r="V65"/>
      <c r="W65"/>
      <c r="X65"/>
      <c r="Y65"/>
      <c r="Z65"/>
    </row>
    <row r="66" spans="1:26" ht="13.5" customHeight="1" x14ac:dyDescent="0.2">
      <c r="A66" s="46" t="s">
        <v>44</v>
      </c>
      <c r="B66" s="436">
        <f>T_13!K30</f>
        <v>2</v>
      </c>
      <c r="C66" s="437">
        <f>T_13!L30</f>
        <v>36</v>
      </c>
      <c r="D66" s="437">
        <f>T_13!M30</f>
        <v>0</v>
      </c>
      <c r="E66" s="437">
        <f>T_13!N30</f>
        <v>5</v>
      </c>
      <c r="F66" s="437">
        <f>T_13!O30</f>
        <v>0</v>
      </c>
      <c r="G66" s="438">
        <f>T_13!P30</f>
        <v>11</v>
      </c>
      <c r="H66" s="437">
        <f>T_13!Q30</f>
        <v>9</v>
      </c>
      <c r="I66" s="437">
        <f>T_13!R30</f>
        <v>2</v>
      </c>
      <c r="J66" s="438">
        <f>T_13!S30</f>
        <v>23</v>
      </c>
      <c r="K66" s="902">
        <f t="shared" si="3"/>
        <v>34</v>
      </c>
      <c r="L66" s="248">
        <f t="shared" si="4"/>
        <v>88</v>
      </c>
      <c r="M66" s="177"/>
    </row>
    <row r="67" spans="1:26" ht="13.5" customHeight="1" x14ac:dyDescent="0.2">
      <c r="A67" s="343" t="s">
        <v>45</v>
      </c>
      <c r="B67" s="439">
        <f>T_13!K31</f>
        <v>12</v>
      </c>
      <c r="C67" s="440">
        <f>T_13!L31</f>
        <v>127</v>
      </c>
      <c r="D67" s="440">
        <f>T_13!M31</f>
        <v>2</v>
      </c>
      <c r="E67" s="440">
        <f>T_13!N31</f>
        <v>12</v>
      </c>
      <c r="F67" s="440">
        <f>T_13!O31</f>
        <v>1</v>
      </c>
      <c r="G67" s="441">
        <f>T_13!P31</f>
        <v>71</v>
      </c>
      <c r="H67" s="440">
        <f>T_13!Q31</f>
        <v>107</v>
      </c>
      <c r="I67" s="440">
        <f>T_13!R31</f>
        <v>8</v>
      </c>
      <c r="J67" s="441">
        <f>T_13!S31</f>
        <v>128</v>
      </c>
      <c r="K67" s="901">
        <f t="shared" si="3"/>
        <v>243</v>
      </c>
      <c r="L67" s="442">
        <f t="shared" si="4"/>
        <v>468</v>
      </c>
      <c r="M67" s="177"/>
    </row>
    <row r="68" spans="1:26" ht="13.5" customHeight="1" x14ac:dyDescent="0.2">
      <c r="A68" s="10" t="s">
        <v>46</v>
      </c>
      <c r="B68" s="436">
        <f>T_13!K32</f>
        <v>2</v>
      </c>
      <c r="C68" s="437">
        <f>T_13!L32</f>
        <v>45</v>
      </c>
      <c r="D68" s="437">
        <f>T_13!M32</f>
        <v>2</v>
      </c>
      <c r="E68" s="437">
        <f>T_13!N32</f>
        <v>2</v>
      </c>
      <c r="F68" s="437">
        <f>T_13!O32</f>
        <v>0</v>
      </c>
      <c r="G68" s="438">
        <f>T_13!P32</f>
        <v>24</v>
      </c>
      <c r="H68" s="437">
        <f>T_13!Q32</f>
        <v>15</v>
      </c>
      <c r="I68" s="437">
        <f>T_13!R32</f>
        <v>2</v>
      </c>
      <c r="J68" s="438">
        <f>T_13!S32</f>
        <v>10</v>
      </c>
      <c r="K68" s="902">
        <f t="shared" si="3"/>
        <v>27</v>
      </c>
      <c r="L68" s="248">
        <f t="shared" si="4"/>
        <v>102</v>
      </c>
      <c r="M68" s="177"/>
    </row>
    <row r="69" spans="1:26" ht="13.5" customHeight="1" x14ac:dyDescent="0.2">
      <c r="A69" s="378" t="s">
        <v>47</v>
      </c>
      <c r="B69" s="439">
        <f>T_13!K33</f>
        <v>0</v>
      </c>
      <c r="C69" s="440">
        <f>T_13!L33</f>
        <v>2</v>
      </c>
      <c r="D69" s="440">
        <f>T_13!M33</f>
        <v>0</v>
      </c>
      <c r="E69" s="440">
        <f>T_13!N33</f>
        <v>0</v>
      </c>
      <c r="F69" s="440">
        <f>T_13!O33</f>
        <v>0</v>
      </c>
      <c r="G69" s="441">
        <f>T_13!P33</f>
        <v>0</v>
      </c>
      <c r="H69" s="440">
        <f>T_13!Q33</f>
        <v>0</v>
      </c>
      <c r="I69" s="440">
        <f>T_13!R33</f>
        <v>0</v>
      </c>
      <c r="J69" s="441">
        <f>T_13!S33</f>
        <v>0</v>
      </c>
      <c r="K69" s="901">
        <f>SUM(H69:J69)</f>
        <v>0</v>
      </c>
      <c r="L69" s="442">
        <f t="shared" si="4"/>
        <v>2</v>
      </c>
      <c r="M69" s="177"/>
    </row>
    <row r="70" spans="1:26" ht="13.5" customHeight="1" x14ac:dyDescent="0.2">
      <c r="A70" s="46" t="s">
        <v>48</v>
      </c>
      <c r="B70" s="436">
        <f>T_13!K34</f>
        <v>3</v>
      </c>
      <c r="C70" s="437">
        <f>T_13!L34</f>
        <v>99</v>
      </c>
      <c r="D70" s="437">
        <f>T_13!M34</f>
        <v>1</v>
      </c>
      <c r="E70" s="437">
        <f>T_13!N34</f>
        <v>2</v>
      </c>
      <c r="F70" s="437">
        <f>T_13!O34</f>
        <v>2</v>
      </c>
      <c r="G70" s="438">
        <f>T_13!P34</f>
        <v>46</v>
      </c>
      <c r="H70" s="437">
        <f>T_13!Q34</f>
        <v>40</v>
      </c>
      <c r="I70" s="437">
        <f>T_13!R34</f>
        <v>2</v>
      </c>
      <c r="J70" s="438">
        <f>T_13!S34</f>
        <v>28</v>
      </c>
      <c r="K70" s="902">
        <f t="shared" si="3"/>
        <v>70</v>
      </c>
      <c r="L70" s="248">
        <f t="shared" si="4"/>
        <v>223</v>
      </c>
      <c r="M70" s="177"/>
    </row>
    <row r="71" spans="1:26" ht="13.5" customHeight="1" x14ac:dyDescent="0.2">
      <c r="A71" s="343" t="s">
        <v>49</v>
      </c>
      <c r="B71" s="439">
        <f>T_13!K35</f>
        <v>20</v>
      </c>
      <c r="C71" s="440">
        <f>T_13!L35</f>
        <v>195</v>
      </c>
      <c r="D71" s="440">
        <f>T_13!M35</f>
        <v>6</v>
      </c>
      <c r="E71" s="440">
        <f>T_13!N35</f>
        <v>6</v>
      </c>
      <c r="F71" s="440">
        <f>T_13!O35</f>
        <v>4</v>
      </c>
      <c r="G71" s="441">
        <f>T_13!P35</f>
        <v>70</v>
      </c>
      <c r="H71" s="440">
        <f>T_13!Q35</f>
        <v>179</v>
      </c>
      <c r="I71" s="440">
        <f>T_13!R35</f>
        <v>28</v>
      </c>
      <c r="J71" s="441">
        <f>T_13!S35</f>
        <v>249</v>
      </c>
      <c r="K71" s="901">
        <f t="shared" si="3"/>
        <v>456</v>
      </c>
      <c r="L71" s="442">
        <f t="shared" si="4"/>
        <v>757</v>
      </c>
      <c r="M71" s="177"/>
    </row>
    <row r="72" spans="1:26" ht="13.5" customHeight="1" x14ac:dyDescent="0.2">
      <c r="A72" s="46" t="s">
        <v>50</v>
      </c>
      <c r="B72" s="436">
        <f>T_13!K36</f>
        <v>2</v>
      </c>
      <c r="C72" s="437">
        <f>T_13!L36</f>
        <v>55</v>
      </c>
      <c r="D72" s="437">
        <f>T_13!M36</f>
        <v>1</v>
      </c>
      <c r="E72" s="437">
        <f>T_13!N36</f>
        <v>5</v>
      </c>
      <c r="F72" s="437">
        <f>T_13!O36</f>
        <v>0</v>
      </c>
      <c r="G72" s="438">
        <f>T_13!P36</f>
        <v>14</v>
      </c>
      <c r="H72" s="437">
        <f>T_13!Q36</f>
        <v>23</v>
      </c>
      <c r="I72" s="437">
        <f>T_13!R36</f>
        <v>3</v>
      </c>
      <c r="J72" s="438">
        <f>T_13!S36</f>
        <v>21</v>
      </c>
      <c r="K72" s="902">
        <f t="shared" si="3"/>
        <v>47</v>
      </c>
      <c r="L72" s="248">
        <f t="shared" si="4"/>
        <v>124</v>
      </c>
      <c r="M72" s="177"/>
    </row>
    <row r="73" spans="1:26" ht="13.5" customHeight="1" x14ac:dyDescent="0.2">
      <c r="A73" s="343" t="s">
        <v>51</v>
      </c>
      <c r="B73" s="439">
        <f>T_13!K37</f>
        <v>3</v>
      </c>
      <c r="C73" s="440">
        <f>T_13!L37</f>
        <v>69</v>
      </c>
      <c r="D73" s="440">
        <f>T_13!M37</f>
        <v>1</v>
      </c>
      <c r="E73" s="440">
        <f>T_13!N37</f>
        <v>1</v>
      </c>
      <c r="F73" s="440">
        <f>T_13!O37</f>
        <v>1</v>
      </c>
      <c r="G73" s="441">
        <f>T_13!P37</f>
        <v>34</v>
      </c>
      <c r="H73" s="440">
        <f>T_13!Q37</f>
        <v>55</v>
      </c>
      <c r="I73" s="440">
        <f>T_13!R37</f>
        <v>6</v>
      </c>
      <c r="J73" s="441">
        <f>T_13!S37</f>
        <v>66</v>
      </c>
      <c r="K73" s="901">
        <f t="shared" si="3"/>
        <v>127</v>
      </c>
      <c r="L73" s="442">
        <f t="shared" si="4"/>
        <v>236</v>
      </c>
      <c r="M73" s="177"/>
    </row>
    <row r="74" spans="1:26" ht="13.5" customHeight="1" x14ac:dyDescent="0.2">
      <c r="A74" s="46" t="s">
        <v>52</v>
      </c>
      <c r="B74" s="436">
        <f>T_13!K38</f>
        <v>4</v>
      </c>
      <c r="C74" s="437">
        <f>T_13!L38</f>
        <v>287</v>
      </c>
      <c r="D74" s="437">
        <f>T_13!M38</f>
        <v>1</v>
      </c>
      <c r="E74" s="437">
        <f>T_13!N38</f>
        <v>10</v>
      </c>
      <c r="F74" s="437">
        <f>T_13!O38</f>
        <v>4</v>
      </c>
      <c r="G74" s="438">
        <f>T_13!P38</f>
        <v>68</v>
      </c>
      <c r="H74" s="437">
        <f>T_13!Q38</f>
        <v>148</v>
      </c>
      <c r="I74" s="437">
        <f>T_13!R38</f>
        <v>19</v>
      </c>
      <c r="J74" s="438">
        <f>T_13!S38</f>
        <v>95</v>
      </c>
      <c r="K74" s="902">
        <f t="shared" si="3"/>
        <v>262</v>
      </c>
      <c r="L74" s="248">
        <f t="shared" si="4"/>
        <v>636</v>
      </c>
      <c r="M74" s="177"/>
    </row>
    <row r="75" spans="1:26" ht="13.5" customHeight="1" x14ac:dyDescent="0.2">
      <c r="A75" s="447"/>
      <c r="B75" s="903"/>
      <c r="C75" s="904"/>
      <c r="D75" s="904"/>
      <c r="E75" s="904"/>
      <c r="F75" s="904"/>
      <c r="G75" s="905"/>
      <c r="H75" s="904"/>
      <c r="I75" s="904"/>
      <c r="J75" s="905"/>
      <c r="K75" s="901"/>
      <c r="L75" s="906"/>
      <c r="M75" s="177"/>
    </row>
    <row r="76" spans="1:26" ht="30" customHeight="1" x14ac:dyDescent="0.2">
      <c r="A76" s="232" t="s">
        <v>159</v>
      </c>
      <c r="B76" s="625">
        <f>SUM(B43:B74)</f>
        <v>263</v>
      </c>
      <c r="C76" s="626">
        <f t="shared" ref="C76:L76" si="5">SUM(C43:C74)</f>
        <v>3935</v>
      </c>
      <c r="D76" s="626">
        <f t="shared" si="5"/>
        <v>52</v>
      </c>
      <c r="E76" s="626">
        <f t="shared" si="5"/>
        <v>240</v>
      </c>
      <c r="F76" s="626">
        <f t="shared" si="5"/>
        <v>44</v>
      </c>
      <c r="G76" s="626">
        <f t="shared" si="5"/>
        <v>1719</v>
      </c>
      <c r="H76" s="625">
        <f t="shared" si="5"/>
        <v>2724</v>
      </c>
      <c r="I76" s="626">
        <f t="shared" si="5"/>
        <v>387</v>
      </c>
      <c r="J76" s="900">
        <f t="shared" si="5"/>
        <v>2739</v>
      </c>
      <c r="K76" s="626">
        <f t="shared" si="5"/>
        <v>5850</v>
      </c>
      <c r="L76" s="907">
        <f t="shared" si="5"/>
        <v>12103</v>
      </c>
      <c r="M76" s="177"/>
    </row>
    <row r="78" spans="1:26" x14ac:dyDescent="0.2">
      <c r="A78" s="13" t="s">
        <v>162</v>
      </c>
    </row>
    <row r="79" spans="1:26" x14ac:dyDescent="0.2">
      <c r="A79" s="1649" t="s">
        <v>963</v>
      </c>
      <c r="B79" s="1649"/>
      <c r="C79" s="1649"/>
      <c r="D79" s="1649"/>
      <c r="E79" s="1649"/>
      <c r="F79" s="1649"/>
      <c r="G79" s="1649"/>
      <c r="H79" s="1649"/>
      <c r="I79" s="1649"/>
      <c r="J79" s="1649"/>
      <c r="K79" s="1649"/>
    </row>
    <row r="80" spans="1:26" x14ac:dyDescent="0.2">
      <c r="A80" s="1673"/>
      <c r="B80" s="1673"/>
      <c r="C80" s="1673"/>
      <c r="D80" s="1673"/>
      <c r="E80" s="1673"/>
      <c r="F80" s="1673"/>
      <c r="G80" s="1673"/>
    </row>
    <row r="81" spans="1:1" x14ac:dyDescent="0.2">
      <c r="A81" s="51" t="s">
        <v>136</v>
      </c>
    </row>
  </sheetData>
  <sheetProtection algorithmName="SHA-512" hashValue="axNLQhL/gqRvJIX6xIpSoF4q3GMkrinWXxKhIEaNMQsKmsKYc+uKuMHc+NsvlvKKhbnuTlSyZ/3cQ6saq6TF/A==" saltValue="wUhVf+wAg83d5TrThcWnbQ==" spinCount="100000" sheet="1" objects="1" scenarios="1"/>
  <mergeCells count="9">
    <mergeCell ref="A1:G1"/>
    <mergeCell ref="A80:G80"/>
    <mergeCell ref="A3:A4"/>
    <mergeCell ref="B3:K3"/>
    <mergeCell ref="L3:L4"/>
    <mergeCell ref="A41:A42"/>
    <mergeCell ref="B41:K41"/>
    <mergeCell ref="L41:L42"/>
    <mergeCell ref="A79:K79"/>
  </mergeCells>
  <hyperlinks>
    <hyperlink ref="A81" location="Contents!A1" display="Return to contents " xr:uid="{00000000-0004-0000-3C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39" max="12" man="1"/>
  </rowBreaks>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6"/>
  <dimension ref="A2:AB39"/>
  <sheetViews>
    <sheetView workbookViewId="0">
      <selection activeCell="C4" sqref="C4"/>
    </sheetView>
  </sheetViews>
  <sheetFormatPr defaultRowHeight="12.75" x14ac:dyDescent="0.2"/>
  <cols>
    <col min="1" max="1" width="20.28515625" bestFit="1" customWidth="1"/>
    <col min="2" max="2" width="26.28515625" bestFit="1" customWidth="1"/>
    <col min="3" max="3" width="19.85546875" bestFit="1" customWidth="1"/>
    <col min="4" max="4" width="36.140625" bestFit="1" customWidth="1"/>
    <col min="5" max="5" width="27.7109375" bestFit="1" customWidth="1"/>
    <col min="6" max="6" width="25.5703125" bestFit="1" customWidth="1"/>
    <col min="7" max="7" width="39.7109375" bestFit="1" customWidth="1"/>
    <col min="8" max="8" width="40.7109375" bestFit="1" customWidth="1"/>
    <col min="9" max="9" width="40.5703125" bestFit="1" customWidth="1"/>
    <col min="10" max="10" width="34.28515625" bestFit="1" customWidth="1"/>
    <col min="11" max="11" width="26.28515625" bestFit="1" customWidth="1"/>
    <col min="12" max="12" width="19.85546875" bestFit="1" customWidth="1"/>
    <col min="13" max="13" width="36.140625" bestFit="1" customWidth="1"/>
    <col min="14" max="14" width="27.7109375" bestFit="1" customWidth="1"/>
    <col min="15" max="15" width="25.5703125" bestFit="1" customWidth="1"/>
    <col min="16" max="16" width="39.7109375" bestFit="1" customWidth="1"/>
    <col min="17" max="17" width="40.7109375" bestFit="1" customWidth="1"/>
    <col min="18" max="18" width="40.5703125" bestFit="1" customWidth="1"/>
    <col min="19" max="19" width="34.28515625" bestFit="1" customWidth="1"/>
    <col min="20" max="20" width="31.5703125" bestFit="1" customWidth="1"/>
    <col min="21" max="21" width="25.140625" bestFit="1" customWidth="1"/>
    <col min="22" max="22" width="41.42578125" bestFit="1" customWidth="1"/>
    <col min="23" max="23" width="33" bestFit="1" customWidth="1"/>
    <col min="24" max="24" width="30.85546875" bestFit="1" customWidth="1"/>
    <col min="25" max="25" width="45" bestFit="1" customWidth="1"/>
    <col min="26" max="26" width="46" bestFit="1" customWidth="1"/>
    <col min="27" max="27" width="45.85546875" bestFit="1" customWidth="1"/>
    <col min="28" max="28" width="39.5703125" bestFit="1" customWidth="1"/>
  </cols>
  <sheetData>
    <row r="2" spans="1:28" x14ac:dyDescent="0.2">
      <c r="A2" s="1300" t="s">
        <v>4</v>
      </c>
      <c r="B2" t="s">
        <v>603</v>
      </c>
    </row>
    <row r="4" spans="1:28" x14ac:dyDescent="0.2">
      <c r="B4" s="1300" t="s">
        <v>670</v>
      </c>
    </row>
    <row r="5" spans="1:28" x14ac:dyDescent="0.2">
      <c r="B5" t="s">
        <v>62</v>
      </c>
      <c r="K5" t="s">
        <v>118</v>
      </c>
      <c r="T5" t="s">
        <v>768</v>
      </c>
      <c r="U5" t="s">
        <v>769</v>
      </c>
      <c r="V5" t="s">
        <v>770</v>
      </c>
      <c r="W5" t="s">
        <v>771</v>
      </c>
      <c r="X5" t="s">
        <v>772</v>
      </c>
      <c r="Y5" t="s">
        <v>773</v>
      </c>
      <c r="Z5" t="s">
        <v>774</v>
      </c>
      <c r="AA5" t="s">
        <v>775</v>
      </c>
      <c r="AB5" t="s">
        <v>776</v>
      </c>
    </row>
    <row r="6" spans="1:28" x14ac:dyDescent="0.2">
      <c r="A6" s="1300" t="s">
        <v>658</v>
      </c>
      <c r="B6" t="s">
        <v>746</v>
      </c>
      <c r="C6" t="s">
        <v>747</v>
      </c>
      <c r="D6" t="s">
        <v>748</v>
      </c>
      <c r="E6" t="s">
        <v>749</v>
      </c>
      <c r="F6" t="s">
        <v>750</v>
      </c>
      <c r="G6" t="s">
        <v>739</v>
      </c>
      <c r="H6" t="s">
        <v>751</v>
      </c>
      <c r="I6" t="s">
        <v>752</v>
      </c>
      <c r="J6" t="s">
        <v>753</v>
      </c>
      <c r="K6" t="s">
        <v>746</v>
      </c>
      <c r="L6" t="s">
        <v>747</v>
      </c>
      <c r="M6" t="s">
        <v>748</v>
      </c>
      <c r="N6" t="s">
        <v>749</v>
      </c>
      <c r="O6" t="s">
        <v>750</v>
      </c>
      <c r="P6" t="s">
        <v>739</v>
      </c>
      <c r="Q6" t="s">
        <v>751</v>
      </c>
      <c r="R6" t="s">
        <v>752</v>
      </c>
      <c r="S6" t="s">
        <v>753</v>
      </c>
    </row>
    <row r="7" spans="1:28" x14ac:dyDescent="0.2">
      <c r="A7" s="1301" t="s">
        <v>23</v>
      </c>
      <c r="C7">
        <v>27</v>
      </c>
      <c r="E7">
        <v>6</v>
      </c>
      <c r="G7">
        <v>3</v>
      </c>
      <c r="H7">
        <v>31</v>
      </c>
      <c r="I7">
        <v>1</v>
      </c>
      <c r="J7">
        <v>13</v>
      </c>
      <c r="K7">
        <v>4</v>
      </c>
      <c r="L7">
        <v>80</v>
      </c>
      <c r="N7">
        <v>7</v>
      </c>
      <c r="O7">
        <v>1</v>
      </c>
      <c r="P7">
        <v>8</v>
      </c>
      <c r="Q7">
        <v>95</v>
      </c>
      <c r="R7">
        <v>13</v>
      </c>
      <c r="S7">
        <v>53</v>
      </c>
      <c r="T7">
        <v>4</v>
      </c>
      <c r="U7">
        <v>107</v>
      </c>
      <c r="W7">
        <v>13</v>
      </c>
      <c r="X7">
        <v>1</v>
      </c>
      <c r="Y7">
        <v>11</v>
      </c>
      <c r="Z7">
        <v>126</v>
      </c>
      <c r="AA7">
        <v>14</v>
      </c>
      <c r="AB7">
        <v>66</v>
      </c>
    </row>
    <row r="8" spans="1:28" x14ac:dyDescent="0.2">
      <c r="A8" s="1301" t="s">
        <v>24</v>
      </c>
      <c r="B8">
        <v>2</v>
      </c>
      <c r="C8">
        <v>41</v>
      </c>
      <c r="D8">
        <v>1</v>
      </c>
      <c r="E8">
        <v>4</v>
      </c>
      <c r="G8">
        <v>4</v>
      </c>
      <c r="H8">
        <v>12</v>
      </c>
      <c r="I8">
        <v>2</v>
      </c>
      <c r="J8">
        <v>15</v>
      </c>
      <c r="K8">
        <v>6</v>
      </c>
      <c r="L8">
        <v>65</v>
      </c>
      <c r="N8">
        <v>1</v>
      </c>
      <c r="O8">
        <v>1</v>
      </c>
      <c r="P8">
        <v>13</v>
      </c>
      <c r="Q8">
        <v>14</v>
      </c>
      <c r="R8">
        <v>4</v>
      </c>
      <c r="S8">
        <v>29</v>
      </c>
      <c r="T8">
        <v>8</v>
      </c>
      <c r="U8">
        <v>106</v>
      </c>
      <c r="V8">
        <v>1</v>
      </c>
      <c r="W8">
        <v>5</v>
      </c>
      <c r="X8">
        <v>1</v>
      </c>
      <c r="Y8">
        <v>17</v>
      </c>
      <c r="Z8">
        <v>26</v>
      </c>
      <c r="AA8">
        <v>6</v>
      </c>
      <c r="AB8">
        <v>44</v>
      </c>
    </row>
    <row r="9" spans="1:28" x14ac:dyDescent="0.2">
      <c r="A9" s="1301" t="s">
        <v>25</v>
      </c>
      <c r="C9">
        <v>31</v>
      </c>
      <c r="E9">
        <v>1</v>
      </c>
      <c r="G9">
        <v>7</v>
      </c>
      <c r="H9">
        <v>20</v>
      </c>
      <c r="I9">
        <v>2</v>
      </c>
      <c r="J9">
        <v>5</v>
      </c>
      <c r="K9">
        <v>8</v>
      </c>
      <c r="L9">
        <v>43</v>
      </c>
      <c r="M9">
        <v>3</v>
      </c>
      <c r="N9">
        <v>4</v>
      </c>
      <c r="P9">
        <v>20</v>
      </c>
      <c r="Q9">
        <v>14</v>
      </c>
      <c r="R9">
        <v>3</v>
      </c>
      <c r="S9">
        <v>20</v>
      </c>
      <c r="T9">
        <v>8</v>
      </c>
      <c r="U9">
        <v>74</v>
      </c>
      <c r="V9">
        <v>3</v>
      </c>
      <c r="W9">
        <v>5</v>
      </c>
      <c r="Y9">
        <v>27</v>
      </c>
      <c r="Z9">
        <v>34</v>
      </c>
      <c r="AA9">
        <v>5</v>
      </c>
      <c r="AB9">
        <v>25</v>
      </c>
    </row>
    <row r="10" spans="1:28" x14ac:dyDescent="0.2">
      <c r="A10" s="1301" t="s">
        <v>26</v>
      </c>
      <c r="B10">
        <v>3</v>
      </c>
      <c r="C10">
        <v>21</v>
      </c>
      <c r="D10">
        <v>1</v>
      </c>
      <c r="E10">
        <v>4</v>
      </c>
      <c r="F10">
        <v>2</v>
      </c>
      <c r="G10">
        <v>2</v>
      </c>
      <c r="H10">
        <v>4</v>
      </c>
      <c r="I10">
        <v>1</v>
      </c>
      <c r="J10">
        <v>2</v>
      </c>
      <c r="K10">
        <v>3</v>
      </c>
      <c r="L10">
        <v>21</v>
      </c>
      <c r="N10">
        <v>1</v>
      </c>
      <c r="O10">
        <v>1</v>
      </c>
      <c r="P10">
        <v>2</v>
      </c>
      <c r="Q10">
        <v>10</v>
      </c>
      <c r="R10">
        <v>1</v>
      </c>
      <c r="S10">
        <v>2</v>
      </c>
      <c r="T10">
        <v>6</v>
      </c>
      <c r="U10">
        <v>42</v>
      </c>
      <c r="V10">
        <v>1</v>
      </c>
      <c r="W10">
        <v>5</v>
      </c>
      <c r="X10">
        <v>3</v>
      </c>
      <c r="Y10">
        <v>4</v>
      </c>
      <c r="Z10">
        <v>14</v>
      </c>
      <c r="AA10">
        <v>2</v>
      </c>
      <c r="AB10">
        <v>4</v>
      </c>
    </row>
    <row r="11" spans="1:28" x14ac:dyDescent="0.2">
      <c r="A11" s="1301" t="s">
        <v>27</v>
      </c>
      <c r="C11">
        <v>22</v>
      </c>
      <c r="D11">
        <v>1</v>
      </c>
      <c r="E11">
        <v>2</v>
      </c>
      <c r="G11">
        <v>2</v>
      </c>
      <c r="H11">
        <v>4</v>
      </c>
      <c r="J11">
        <v>2</v>
      </c>
      <c r="K11">
        <v>5</v>
      </c>
      <c r="L11">
        <v>34</v>
      </c>
      <c r="M11">
        <v>1</v>
      </c>
      <c r="N11">
        <v>1</v>
      </c>
      <c r="P11">
        <v>12</v>
      </c>
      <c r="Q11">
        <v>5</v>
      </c>
      <c r="R11">
        <v>1</v>
      </c>
      <c r="S11">
        <v>17</v>
      </c>
      <c r="T11">
        <v>5</v>
      </c>
      <c r="U11">
        <v>56</v>
      </c>
      <c r="V11">
        <v>2</v>
      </c>
      <c r="W11">
        <v>3</v>
      </c>
      <c r="Y11">
        <v>14</v>
      </c>
      <c r="Z11">
        <v>9</v>
      </c>
      <c r="AA11">
        <v>1</v>
      </c>
      <c r="AB11">
        <v>19</v>
      </c>
    </row>
    <row r="12" spans="1:28" x14ac:dyDescent="0.2">
      <c r="A12" s="1301" t="s">
        <v>28</v>
      </c>
      <c r="B12">
        <v>1</v>
      </c>
      <c r="C12">
        <v>40</v>
      </c>
      <c r="D12">
        <v>2</v>
      </c>
      <c r="E12">
        <v>4</v>
      </c>
      <c r="F12">
        <v>1</v>
      </c>
      <c r="G12">
        <v>8</v>
      </c>
      <c r="H12">
        <v>15</v>
      </c>
      <c r="I12">
        <v>2</v>
      </c>
      <c r="J12">
        <v>6</v>
      </c>
      <c r="K12">
        <v>3</v>
      </c>
      <c r="L12">
        <v>34</v>
      </c>
      <c r="N12">
        <v>1</v>
      </c>
      <c r="P12">
        <v>16</v>
      </c>
      <c r="Q12">
        <v>12</v>
      </c>
      <c r="R12">
        <v>1</v>
      </c>
      <c r="S12">
        <v>32</v>
      </c>
      <c r="T12">
        <v>4</v>
      </c>
      <c r="U12">
        <v>74</v>
      </c>
      <c r="V12">
        <v>2</v>
      </c>
      <c r="W12">
        <v>5</v>
      </c>
      <c r="X12">
        <v>1</v>
      </c>
      <c r="Y12">
        <v>24</v>
      </c>
      <c r="Z12">
        <v>27</v>
      </c>
      <c r="AA12">
        <v>3</v>
      </c>
      <c r="AB12">
        <v>38</v>
      </c>
    </row>
    <row r="13" spans="1:28" x14ac:dyDescent="0.2">
      <c r="A13" s="1301" t="s">
        <v>29</v>
      </c>
      <c r="B13">
        <v>1</v>
      </c>
      <c r="C13">
        <v>39</v>
      </c>
      <c r="D13">
        <v>1</v>
      </c>
      <c r="E13">
        <v>4</v>
      </c>
      <c r="G13">
        <v>6</v>
      </c>
      <c r="H13">
        <v>35</v>
      </c>
      <c r="I13">
        <v>13</v>
      </c>
      <c r="J13">
        <v>8</v>
      </c>
      <c r="K13">
        <v>12</v>
      </c>
      <c r="L13">
        <v>231</v>
      </c>
      <c r="N13">
        <v>15</v>
      </c>
      <c r="O13">
        <v>3</v>
      </c>
      <c r="P13">
        <v>72</v>
      </c>
      <c r="Q13">
        <v>227</v>
      </c>
      <c r="R13">
        <v>40</v>
      </c>
      <c r="S13">
        <v>66</v>
      </c>
      <c r="T13">
        <v>13</v>
      </c>
      <c r="U13">
        <v>270</v>
      </c>
      <c r="V13">
        <v>1</v>
      </c>
      <c r="W13">
        <v>19</v>
      </c>
      <c r="X13">
        <v>3</v>
      </c>
      <c r="Y13">
        <v>78</v>
      </c>
      <c r="Z13">
        <v>262</v>
      </c>
      <c r="AA13">
        <v>53</v>
      </c>
      <c r="AB13">
        <v>74</v>
      </c>
    </row>
    <row r="14" spans="1:28" x14ac:dyDescent="0.2">
      <c r="A14" s="1301" t="s">
        <v>30</v>
      </c>
      <c r="B14">
        <v>1</v>
      </c>
      <c r="C14">
        <v>3</v>
      </c>
      <c r="E14">
        <v>5</v>
      </c>
      <c r="G14">
        <v>1</v>
      </c>
      <c r="H14">
        <v>1</v>
      </c>
      <c r="I14">
        <v>1</v>
      </c>
      <c r="J14">
        <v>1</v>
      </c>
      <c r="K14">
        <v>9</v>
      </c>
      <c r="L14">
        <v>221</v>
      </c>
      <c r="M14">
        <v>1</v>
      </c>
      <c r="N14">
        <v>12</v>
      </c>
      <c r="O14">
        <v>3</v>
      </c>
      <c r="P14">
        <v>64</v>
      </c>
      <c r="Q14">
        <v>131</v>
      </c>
      <c r="R14">
        <v>14</v>
      </c>
      <c r="S14">
        <v>124</v>
      </c>
      <c r="T14">
        <v>10</v>
      </c>
      <c r="U14">
        <v>224</v>
      </c>
      <c r="V14">
        <v>1</v>
      </c>
      <c r="W14">
        <v>17</v>
      </c>
      <c r="X14">
        <v>3</v>
      </c>
      <c r="Y14">
        <v>65</v>
      </c>
      <c r="Z14">
        <v>132</v>
      </c>
      <c r="AA14">
        <v>15</v>
      </c>
      <c r="AB14">
        <v>125</v>
      </c>
    </row>
    <row r="15" spans="1:28" x14ac:dyDescent="0.2">
      <c r="A15" s="1301" t="s">
        <v>31</v>
      </c>
      <c r="C15">
        <v>4</v>
      </c>
      <c r="D15">
        <v>1</v>
      </c>
      <c r="E15">
        <v>1</v>
      </c>
      <c r="H15">
        <v>3</v>
      </c>
      <c r="J15">
        <v>4</v>
      </c>
      <c r="K15">
        <v>4</v>
      </c>
      <c r="L15">
        <v>54</v>
      </c>
      <c r="M15">
        <v>1</v>
      </c>
      <c r="N15">
        <v>4</v>
      </c>
      <c r="P15">
        <v>16</v>
      </c>
      <c r="Q15">
        <v>36</v>
      </c>
      <c r="R15">
        <v>11</v>
      </c>
      <c r="S15">
        <v>36</v>
      </c>
      <c r="T15">
        <v>4</v>
      </c>
      <c r="U15">
        <v>58</v>
      </c>
      <c r="V15">
        <v>2</v>
      </c>
      <c r="W15">
        <v>5</v>
      </c>
      <c r="Y15">
        <v>16</v>
      </c>
      <c r="Z15">
        <v>39</v>
      </c>
      <c r="AA15">
        <v>11</v>
      </c>
      <c r="AB15">
        <v>40</v>
      </c>
    </row>
    <row r="16" spans="1:28" x14ac:dyDescent="0.2">
      <c r="A16" s="1301" t="s">
        <v>32</v>
      </c>
      <c r="C16">
        <v>36</v>
      </c>
      <c r="E16">
        <v>3</v>
      </c>
      <c r="G16">
        <v>11</v>
      </c>
      <c r="H16">
        <v>10</v>
      </c>
      <c r="I16">
        <v>4</v>
      </c>
      <c r="J16">
        <v>2</v>
      </c>
      <c r="K16">
        <v>2</v>
      </c>
      <c r="L16">
        <v>82</v>
      </c>
      <c r="M16">
        <v>2</v>
      </c>
      <c r="N16">
        <v>2</v>
      </c>
      <c r="O16">
        <v>1</v>
      </c>
      <c r="P16">
        <v>42</v>
      </c>
      <c r="Q16">
        <v>15</v>
      </c>
      <c r="R16">
        <v>9</v>
      </c>
      <c r="S16">
        <v>22</v>
      </c>
      <c r="T16">
        <v>2</v>
      </c>
      <c r="U16">
        <v>118</v>
      </c>
      <c r="V16">
        <v>2</v>
      </c>
      <c r="W16">
        <v>5</v>
      </c>
      <c r="X16">
        <v>1</v>
      </c>
      <c r="Y16">
        <v>53</v>
      </c>
      <c r="Z16">
        <v>25</v>
      </c>
      <c r="AA16">
        <v>13</v>
      </c>
      <c r="AB16">
        <v>24</v>
      </c>
    </row>
    <row r="17" spans="1:28" x14ac:dyDescent="0.2">
      <c r="A17" s="1301" t="s">
        <v>33</v>
      </c>
      <c r="B17">
        <v>1</v>
      </c>
      <c r="C17">
        <v>2</v>
      </c>
      <c r="E17">
        <v>3</v>
      </c>
      <c r="G17">
        <v>1</v>
      </c>
      <c r="H17">
        <v>4</v>
      </c>
      <c r="I17">
        <v>1</v>
      </c>
      <c r="J17">
        <v>1</v>
      </c>
      <c r="K17">
        <v>5</v>
      </c>
      <c r="L17">
        <v>35</v>
      </c>
      <c r="M17">
        <v>1</v>
      </c>
      <c r="N17">
        <v>5</v>
      </c>
      <c r="P17">
        <v>23</v>
      </c>
      <c r="Q17">
        <v>36</v>
      </c>
      <c r="R17">
        <v>5</v>
      </c>
      <c r="S17">
        <v>42</v>
      </c>
      <c r="T17">
        <v>6</v>
      </c>
      <c r="U17">
        <v>37</v>
      </c>
      <c r="V17">
        <v>1</v>
      </c>
      <c r="W17">
        <v>8</v>
      </c>
      <c r="Y17">
        <v>24</v>
      </c>
      <c r="Z17">
        <v>40</v>
      </c>
      <c r="AA17">
        <v>6</v>
      </c>
      <c r="AB17">
        <v>43</v>
      </c>
    </row>
    <row r="18" spans="1:28" x14ac:dyDescent="0.2">
      <c r="A18" s="1301" t="s">
        <v>665</v>
      </c>
      <c r="B18">
        <v>4</v>
      </c>
      <c r="C18">
        <v>118</v>
      </c>
      <c r="E18">
        <v>18</v>
      </c>
      <c r="G18">
        <v>43</v>
      </c>
      <c r="H18">
        <v>315</v>
      </c>
      <c r="I18">
        <v>46</v>
      </c>
      <c r="J18">
        <v>21</v>
      </c>
      <c r="K18">
        <v>13</v>
      </c>
      <c r="L18">
        <v>334</v>
      </c>
      <c r="N18">
        <v>23</v>
      </c>
      <c r="O18">
        <v>3</v>
      </c>
      <c r="P18">
        <v>260</v>
      </c>
      <c r="Q18">
        <v>295</v>
      </c>
      <c r="R18">
        <v>76</v>
      </c>
      <c r="S18">
        <v>217</v>
      </c>
      <c r="T18">
        <v>17</v>
      </c>
      <c r="U18">
        <v>452</v>
      </c>
      <c r="W18">
        <v>41</v>
      </c>
      <c r="X18">
        <v>3</v>
      </c>
      <c r="Y18">
        <v>303</v>
      </c>
      <c r="Z18">
        <v>610</v>
      </c>
      <c r="AA18">
        <v>122</v>
      </c>
      <c r="AB18">
        <v>238</v>
      </c>
    </row>
    <row r="19" spans="1:28" x14ac:dyDescent="0.2">
      <c r="A19" s="1301" t="s">
        <v>34</v>
      </c>
      <c r="B19">
        <v>6</v>
      </c>
      <c r="C19">
        <v>87</v>
      </c>
      <c r="E19">
        <v>8</v>
      </c>
      <c r="G19">
        <v>11</v>
      </c>
      <c r="H19">
        <v>15</v>
      </c>
      <c r="I19">
        <v>6</v>
      </c>
      <c r="J19">
        <v>12</v>
      </c>
      <c r="K19">
        <v>12</v>
      </c>
      <c r="L19">
        <v>134</v>
      </c>
      <c r="M19">
        <v>3</v>
      </c>
      <c r="N19">
        <v>3</v>
      </c>
      <c r="O19">
        <v>2</v>
      </c>
      <c r="P19">
        <v>36</v>
      </c>
      <c r="Q19">
        <v>42</v>
      </c>
      <c r="R19">
        <v>8</v>
      </c>
      <c r="S19">
        <v>43</v>
      </c>
      <c r="T19">
        <v>18</v>
      </c>
      <c r="U19">
        <v>221</v>
      </c>
      <c r="V19">
        <v>3</v>
      </c>
      <c r="W19">
        <v>11</v>
      </c>
      <c r="X19">
        <v>2</v>
      </c>
      <c r="Y19">
        <v>47</v>
      </c>
      <c r="Z19">
        <v>57</v>
      </c>
      <c r="AA19">
        <v>14</v>
      </c>
      <c r="AB19">
        <v>55</v>
      </c>
    </row>
    <row r="20" spans="1:28" x14ac:dyDescent="0.2">
      <c r="A20" s="1301" t="s">
        <v>35</v>
      </c>
      <c r="B20">
        <v>3</v>
      </c>
      <c r="C20">
        <v>101</v>
      </c>
      <c r="D20">
        <v>2</v>
      </c>
      <c r="E20">
        <v>19</v>
      </c>
      <c r="F20">
        <v>2</v>
      </c>
      <c r="G20">
        <v>38</v>
      </c>
      <c r="H20">
        <v>31</v>
      </c>
      <c r="I20">
        <v>11</v>
      </c>
      <c r="J20">
        <v>30</v>
      </c>
      <c r="K20">
        <v>28</v>
      </c>
      <c r="L20">
        <v>244</v>
      </c>
      <c r="M20">
        <v>9</v>
      </c>
      <c r="N20">
        <v>19</v>
      </c>
      <c r="O20">
        <v>5</v>
      </c>
      <c r="P20">
        <v>94</v>
      </c>
      <c r="Q20">
        <v>102</v>
      </c>
      <c r="R20">
        <v>13</v>
      </c>
      <c r="S20">
        <v>193</v>
      </c>
      <c r="T20">
        <v>31</v>
      </c>
      <c r="U20">
        <v>345</v>
      </c>
      <c r="V20">
        <v>11</v>
      </c>
      <c r="W20">
        <v>38</v>
      </c>
      <c r="X20">
        <v>7</v>
      </c>
      <c r="Y20">
        <v>132</v>
      </c>
      <c r="Z20">
        <v>133</v>
      </c>
      <c r="AA20">
        <v>24</v>
      </c>
      <c r="AB20">
        <v>223</v>
      </c>
    </row>
    <row r="21" spans="1:28" x14ac:dyDescent="0.2">
      <c r="A21" s="1301" t="s">
        <v>36</v>
      </c>
      <c r="B21">
        <v>5</v>
      </c>
      <c r="C21">
        <v>7</v>
      </c>
      <c r="E21">
        <v>11</v>
      </c>
      <c r="F21">
        <v>3</v>
      </c>
      <c r="G21">
        <v>5</v>
      </c>
      <c r="H21">
        <v>78</v>
      </c>
      <c r="I21">
        <v>1</v>
      </c>
      <c r="J21">
        <v>13</v>
      </c>
      <c r="K21">
        <v>44</v>
      </c>
      <c r="L21">
        <v>412</v>
      </c>
      <c r="M21">
        <v>7</v>
      </c>
      <c r="N21">
        <v>44</v>
      </c>
      <c r="O21">
        <v>1</v>
      </c>
      <c r="P21">
        <v>282</v>
      </c>
      <c r="Q21">
        <v>751</v>
      </c>
      <c r="R21">
        <v>70</v>
      </c>
      <c r="S21">
        <v>616</v>
      </c>
      <c r="T21">
        <v>49</v>
      </c>
      <c r="U21">
        <v>419</v>
      </c>
      <c r="V21">
        <v>7</v>
      </c>
      <c r="W21">
        <v>55</v>
      </c>
      <c r="X21">
        <v>4</v>
      </c>
      <c r="Y21">
        <v>287</v>
      </c>
      <c r="Z21">
        <v>829</v>
      </c>
      <c r="AA21">
        <v>71</v>
      </c>
      <c r="AB21">
        <v>629</v>
      </c>
    </row>
    <row r="22" spans="1:28" x14ac:dyDescent="0.2">
      <c r="A22" s="1301" t="s">
        <v>37</v>
      </c>
      <c r="B22">
        <v>4</v>
      </c>
      <c r="C22">
        <v>250</v>
      </c>
      <c r="D22">
        <v>2</v>
      </c>
      <c r="E22">
        <v>6</v>
      </c>
      <c r="F22">
        <v>2</v>
      </c>
      <c r="G22">
        <v>18</v>
      </c>
      <c r="H22">
        <v>31</v>
      </c>
      <c r="I22">
        <v>8</v>
      </c>
      <c r="J22">
        <v>19</v>
      </c>
      <c r="K22">
        <v>7</v>
      </c>
      <c r="L22">
        <v>71</v>
      </c>
      <c r="N22">
        <v>4</v>
      </c>
      <c r="O22">
        <v>4</v>
      </c>
      <c r="P22">
        <v>18</v>
      </c>
      <c r="Q22">
        <v>17</v>
      </c>
      <c r="S22">
        <v>10</v>
      </c>
      <c r="T22">
        <v>11</v>
      </c>
      <c r="U22">
        <v>321</v>
      </c>
      <c r="V22">
        <v>2</v>
      </c>
      <c r="W22">
        <v>10</v>
      </c>
      <c r="X22">
        <v>6</v>
      </c>
      <c r="Y22">
        <v>36</v>
      </c>
      <c r="Z22">
        <v>48</v>
      </c>
      <c r="AA22">
        <v>8</v>
      </c>
      <c r="AB22">
        <v>29</v>
      </c>
    </row>
    <row r="23" spans="1:28" x14ac:dyDescent="0.2">
      <c r="A23" s="1301" t="s">
        <v>38</v>
      </c>
      <c r="C23">
        <v>1</v>
      </c>
      <c r="E23">
        <v>2</v>
      </c>
      <c r="H23">
        <v>3</v>
      </c>
      <c r="J23">
        <v>2</v>
      </c>
      <c r="K23">
        <v>5</v>
      </c>
      <c r="L23">
        <v>196</v>
      </c>
      <c r="M23">
        <v>1</v>
      </c>
      <c r="N23">
        <v>1</v>
      </c>
      <c r="O23">
        <v>1</v>
      </c>
      <c r="P23">
        <v>29</v>
      </c>
      <c r="Q23">
        <v>39</v>
      </c>
      <c r="R23">
        <v>2</v>
      </c>
      <c r="S23">
        <v>66</v>
      </c>
      <c r="T23">
        <v>5</v>
      </c>
      <c r="U23">
        <v>197</v>
      </c>
      <c r="V23">
        <v>1</v>
      </c>
      <c r="W23">
        <v>3</v>
      </c>
      <c r="X23">
        <v>1</v>
      </c>
      <c r="Y23">
        <v>29</v>
      </c>
      <c r="Z23">
        <v>42</v>
      </c>
      <c r="AA23">
        <v>2</v>
      </c>
      <c r="AB23">
        <v>68</v>
      </c>
    </row>
    <row r="24" spans="1:28" x14ac:dyDescent="0.2">
      <c r="A24" s="1301" t="s">
        <v>39</v>
      </c>
      <c r="C24">
        <v>33</v>
      </c>
      <c r="D24">
        <v>2</v>
      </c>
      <c r="E24">
        <v>5</v>
      </c>
      <c r="F24">
        <v>1</v>
      </c>
      <c r="G24">
        <v>4</v>
      </c>
      <c r="H24">
        <v>9</v>
      </c>
      <c r="I24">
        <v>4</v>
      </c>
      <c r="J24">
        <v>3</v>
      </c>
      <c r="K24">
        <v>6</v>
      </c>
      <c r="L24">
        <v>138</v>
      </c>
      <c r="M24">
        <v>3</v>
      </c>
      <c r="N24">
        <v>6</v>
      </c>
      <c r="P24">
        <v>80</v>
      </c>
      <c r="Q24">
        <v>37</v>
      </c>
      <c r="R24">
        <v>9</v>
      </c>
      <c r="S24">
        <v>50</v>
      </c>
      <c r="T24">
        <v>6</v>
      </c>
      <c r="U24">
        <v>171</v>
      </c>
      <c r="V24">
        <v>5</v>
      </c>
      <c r="W24">
        <v>11</v>
      </c>
      <c r="X24">
        <v>1</v>
      </c>
      <c r="Y24">
        <v>84</v>
      </c>
      <c r="Z24">
        <v>46</v>
      </c>
      <c r="AA24">
        <v>13</v>
      </c>
      <c r="AB24">
        <v>53</v>
      </c>
    </row>
    <row r="25" spans="1:28" x14ac:dyDescent="0.2">
      <c r="A25" s="1301" t="s">
        <v>40</v>
      </c>
      <c r="B25">
        <v>1</v>
      </c>
      <c r="C25">
        <v>26</v>
      </c>
      <c r="D25">
        <v>1</v>
      </c>
      <c r="E25">
        <v>1</v>
      </c>
      <c r="G25">
        <v>2</v>
      </c>
      <c r="H25">
        <v>6</v>
      </c>
      <c r="J25">
        <v>2</v>
      </c>
      <c r="K25">
        <v>4</v>
      </c>
      <c r="L25">
        <v>22</v>
      </c>
      <c r="N25">
        <v>3</v>
      </c>
      <c r="P25">
        <v>7</v>
      </c>
      <c r="Q25">
        <v>3</v>
      </c>
      <c r="S25">
        <v>5</v>
      </c>
      <c r="T25">
        <v>5</v>
      </c>
      <c r="U25">
        <v>48</v>
      </c>
      <c r="V25">
        <v>1</v>
      </c>
      <c r="W25">
        <v>4</v>
      </c>
      <c r="Y25">
        <v>9</v>
      </c>
      <c r="Z25">
        <v>9</v>
      </c>
      <c r="AB25">
        <v>7</v>
      </c>
    </row>
    <row r="26" spans="1:28" x14ac:dyDescent="0.2">
      <c r="A26" s="1301" t="s">
        <v>393</v>
      </c>
      <c r="C26">
        <v>60</v>
      </c>
      <c r="E26">
        <v>1</v>
      </c>
      <c r="G26">
        <v>1</v>
      </c>
      <c r="H26">
        <v>1</v>
      </c>
      <c r="J26">
        <v>1</v>
      </c>
      <c r="L26">
        <v>1</v>
      </c>
      <c r="U26">
        <v>61</v>
      </c>
      <c r="W26">
        <v>1</v>
      </c>
      <c r="Y26">
        <v>1</v>
      </c>
      <c r="Z26">
        <v>1</v>
      </c>
      <c r="AB26">
        <v>1</v>
      </c>
    </row>
    <row r="27" spans="1:28" x14ac:dyDescent="0.2">
      <c r="A27" s="1301" t="s">
        <v>41</v>
      </c>
      <c r="B27">
        <v>1</v>
      </c>
      <c r="C27">
        <v>6</v>
      </c>
      <c r="E27">
        <v>2</v>
      </c>
      <c r="G27">
        <v>3</v>
      </c>
      <c r="H27">
        <v>8</v>
      </c>
      <c r="I27">
        <v>1</v>
      </c>
      <c r="J27">
        <v>3</v>
      </c>
      <c r="K27">
        <v>15</v>
      </c>
      <c r="L27">
        <v>212</v>
      </c>
      <c r="M27">
        <v>3</v>
      </c>
      <c r="N27">
        <v>5</v>
      </c>
      <c r="O27">
        <v>1</v>
      </c>
      <c r="P27">
        <v>121</v>
      </c>
      <c r="Q27">
        <v>81</v>
      </c>
      <c r="R27">
        <v>10</v>
      </c>
      <c r="S27">
        <v>97</v>
      </c>
      <c r="T27">
        <v>16</v>
      </c>
      <c r="U27">
        <v>218</v>
      </c>
      <c r="V27">
        <v>3</v>
      </c>
      <c r="W27">
        <v>7</v>
      </c>
      <c r="X27">
        <v>1</v>
      </c>
      <c r="Y27">
        <v>124</v>
      </c>
      <c r="Z27">
        <v>89</v>
      </c>
      <c r="AA27">
        <v>11</v>
      </c>
      <c r="AB27">
        <v>100</v>
      </c>
    </row>
    <row r="28" spans="1:28" x14ac:dyDescent="0.2">
      <c r="A28" s="1301" t="s">
        <v>42</v>
      </c>
      <c r="B28">
        <v>2</v>
      </c>
      <c r="C28">
        <v>8</v>
      </c>
      <c r="D28">
        <v>1</v>
      </c>
      <c r="E28">
        <v>7</v>
      </c>
      <c r="F28">
        <v>2</v>
      </c>
      <c r="G28">
        <v>4</v>
      </c>
      <c r="H28">
        <v>2</v>
      </c>
      <c r="J28">
        <v>4</v>
      </c>
      <c r="K28">
        <v>20</v>
      </c>
      <c r="L28">
        <v>356</v>
      </c>
      <c r="M28">
        <v>3</v>
      </c>
      <c r="N28">
        <v>36</v>
      </c>
      <c r="O28">
        <v>5</v>
      </c>
      <c r="P28">
        <v>164</v>
      </c>
      <c r="Q28">
        <v>186</v>
      </c>
      <c r="R28">
        <v>27</v>
      </c>
      <c r="S28">
        <v>379</v>
      </c>
      <c r="T28">
        <v>22</v>
      </c>
      <c r="U28">
        <v>364</v>
      </c>
      <c r="V28">
        <v>4</v>
      </c>
      <c r="W28">
        <v>43</v>
      </c>
      <c r="X28">
        <v>7</v>
      </c>
      <c r="Y28">
        <v>168</v>
      </c>
      <c r="Z28">
        <v>188</v>
      </c>
      <c r="AA28">
        <v>27</v>
      </c>
      <c r="AB28">
        <v>383</v>
      </c>
    </row>
    <row r="29" spans="1:28" x14ac:dyDescent="0.2">
      <c r="A29" s="1301" t="s">
        <v>43</v>
      </c>
      <c r="C29">
        <v>4</v>
      </c>
      <c r="F29">
        <v>1</v>
      </c>
      <c r="H29">
        <v>2</v>
      </c>
      <c r="P29">
        <v>2</v>
      </c>
      <c r="U29">
        <v>4</v>
      </c>
      <c r="X29">
        <v>1</v>
      </c>
      <c r="Y29">
        <v>2</v>
      </c>
      <c r="Z29">
        <v>2</v>
      </c>
    </row>
    <row r="30" spans="1:28" x14ac:dyDescent="0.2">
      <c r="A30" s="1301" t="s">
        <v>44</v>
      </c>
      <c r="B30">
        <v>3</v>
      </c>
      <c r="C30">
        <v>39</v>
      </c>
      <c r="E30">
        <v>5</v>
      </c>
      <c r="F30">
        <v>1</v>
      </c>
      <c r="G30">
        <v>7</v>
      </c>
      <c r="H30">
        <v>18</v>
      </c>
      <c r="I30">
        <v>2</v>
      </c>
      <c r="J30">
        <v>14</v>
      </c>
      <c r="K30">
        <v>2</v>
      </c>
      <c r="L30">
        <v>36</v>
      </c>
      <c r="N30">
        <v>5</v>
      </c>
      <c r="P30">
        <v>11</v>
      </c>
      <c r="Q30">
        <v>9</v>
      </c>
      <c r="R30">
        <v>2</v>
      </c>
      <c r="S30">
        <v>23</v>
      </c>
      <c r="T30">
        <v>5</v>
      </c>
      <c r="U30">
        <v>75</v>
      </c>
      <c r="W30">
        <v>10</v>
      </c>
      <c r="X30">
        <v>1</v>
      </c>
      <c r="Y30">
        <v>18</v>
      </c>
      <c r="Z30">
        <v>27</v>
      </c>
      <c r="AA30">
        <v>4</v>
      </c>
      <c r="AB30">
        <v>37</v>
      </c>
    </row>
    <row r="31" spans="1:28" x14ac:dyDescent="0.2">
      <c r="A31" s="1301" t="s">
        <v>45</v>
      </c>
      <c r="C31">
        <v>8</v>
      </c>
      <c r="E31">
        <v>10</v>
      </c>
      <c r="G31">
        <v>2</v>
      </c>
      <c r="H31">
        <v>7</v>
      </c>
      <c r="I31">
        <v>5</v>
      </c>
      <c r="J31">
        <v>3</v>
      </c>
      <c r="K31">
        <v>12</v>
      </c>
      <c r="L31">
        <v>127</v>
      </c>
      <c r="M31">
        <v>2</v>
      </c>
      <c r="N31">
        <v>12</v>
      </c>
      <c r="O31">
        <v>1</v>
      </c>
      <c r="P31">
        <v>71</v>
      </c>
      <c r="Q31">
        <v>107</v>
      </c>
      <c r="R31">
        <v>8</v>
      </c>
      <c r="S31">
        <v>128</v>
      </c>
      <c r="T31">
        <v>12</v>
      </c>
      <c r="U31">
        <v>135</v>
      </c>
      <c r="V31">
        <v>2</v>
      </c>
      <c r="W31">
        <v>22</v>
      </c>
      <c r="X31">
        <v>1</v>
      </c>
      <c r="Y31">
        <v>73</v>
      </c>
      <c r="Z31">
        <v>114</v>
      </c>
      <c r="AA31">
        <v>13</v>
      </c>
      <c r="AB31">
        <v>131</v>
      </c>
    </row>
    <row r="32" spans="1:28" x14ac:dyDescent="0.2">
      <c r="A32" s="1301" t="s">
        <v>46</v>
      </c>
      <c r="B32">
        <v>1</v>
      </c>
      <c r="C32">
        <v>12</v>
      </c>
      <c r="D32">
        <v>1</v>
      </c>
      <c r="E32">
        <v>4</v>
      </c>
      <c r="G32">
        <v>6</v>
      </c>
      <c r="H32">
        <v>3</v>
      </c>
      <c r="I32">
        <v>1</v>
      </c>
      <c r="J32">
        <v>3</v>
      </c>
      <c r="K32">
        <v>2</v>
      </c>
      <c r="L32">
        <v>45</v>
      </c>
      <c r="M32">
        <v>2</v>
      </c>
      <c r="N32">
        <v>2</v>
      </c>
      <c r="P32">
        <v>24</v>
      </c>
      <c r="Q32">
        <v>15</v>
      </c>
      <c r="R32">
        <v>2</v>
      </c>
      <c r="S32">
        <v>10</v>
      </c>
      <c r="T32">
        <v>3</v>
      </c>
      <c r="U32">
        <v>57</v>
      </c>
      <c r="V32">
        <v>3</v>
      </c>
      <c r="W32">
        <v>6</v>
      </c>
      <c r="Y32">
        <v>30</v>
      </c>
      <c r="Z32">
        <v>18</v>
      </c>
      <c r="AA32">
        <v>3</v>
      </c>
      <c r="AB32">
        <v>13</v>
      </c>
    </row>
    <row r="33" spans="1:28" x14ac:dyDescent="0.2">
      <c r="A33" s="1301" t="s">
        <v>47</v>
      </c>
      <c r="B33">
        <v>1</v>
      </c>
      <c r="C33">
        <v>5</v>
      </c>
      <c r="E33">
        <v>1</v>
      </c>
      <c r="I33">
        <v>1</v>
      </c>
      <c r="J33">
        <v>1</v>
      </c>
      <c r="L33">
        <v>2</v>
      </c>
      <c r="T33">
        <v>1</v>
      </c>
      <c r="U33">
        <v>7</v>
      </c>
      <c r="W33">
        <v>1</v>
      </c>
      <c r="AA33">
        <v>1</v>
      </c>
      <c r="AB33">
        <v>1</v>
      </c>
    </row>
    <row r="34" spans="1:28" x14ac:dyDescent="0.2">
      <c r="A34" s="1301" t="s">
        <v>48</v>
      </c>
      <c r="B34">
        <v>1</v>
      </c>
      <c r="C34">
        <v>8</v>
      </c>
      <c r="E34">
        <v>3</v>
      </c>
      <c r="H34">
        <v>14</v>
      </c>
      <c r="J34">
        <v>1</v>
      </c>
      <c r="K34">
        <v>3</v>
      </c>
      <c r="L34">
        <v>99</v>
      </c>
      <c r="M34">
        <v>1</v>
      </c>
      <c r="N34">
        <v>2</v>
      </c>
      <c r="O34">
        <v>2</v>
      </c>
      <c r="P34">
        <v>46</v>
      </c>
      <c r="Q34">
        <v>40</v>
      </c>
      <c r="R34">
        <v>2</v>
      </c>
      <c r="S34">
        <v>28</v>
      </c>
      <c r="T34">
        <v>4</v>
      </c>
      <c r="U34">
        <v>107</v>
      </c>
      <c r="V34">
        <v>1</v>
      </c>
      <c r="W34">
        <v>5</v>
      </c>
      <c r="X34">
        <v>2</v>
      </c>
      <c r="Y34">
        <v>46</v>
      </c>
      <c r="Z34">
        <v>54</v>
      </c>
      <c r="AA34">
        <v>2</v>
      </c>
      <c r="AB34">
        <v>29</v>
      </c>
    </row>
    <row r="35" spans="1:28" x14ac:dyDescent="0.2">
      <c r="A35" s="1301" t="s">
        <v>49</v>
      </c>
      <c r="C35">
        <v>14</v>
      </c>
      <c r="E35">
        <v>7</v>
      </c>
      <c r="G35">
        <v>3</v>
      </c>
      <c r="H35">
        <v>8</v>
      </c>
      <c r="J35">
        <v>7</v>
      </c>
      <c r="K35">
        <v>20</v>
      </c>
      <c r="L35">
        <v>195</v>
      </c>
      <c r="M35">
        <v>6</v>
      </c>
      <c r="N35">
        <v>6</v>
      </c>
      <c r="O35">
        <v>4</v>
      </c>
      <c r="P35">
        <v>70</v>
      </c>
      <c r="Q35">
        <v>179</v>
      </c>
      <c r="R35">
        <v>28</v>
      </c>
      <c r="S35">
        <v>249</v>
      </c>
      <c r="T35">
        <v>20</v>
      </c>
      <c r="U35">
        <v>209</v>
      </c>
      <c r="V35">
        <v>6</v>
      </c>
      <c r="W35">
        <v>13</v>
      </c>
      <c r="X35">
        <v>4</v>
      </c>
      <c r="Y35">
        <v>73</v>
      </c>
      <c r="Z35">
        <v>187</v>
      </c>
      <c r="AA35">
        <v>28</v>
      </c>
      <c r="AB35">
        <v>256</v>
      </c>
    </row>
    <row r="36" spans="1:28" x14ac:dyDescent="0.2">
      <c r="A36" s="1301" t="s">
        <v>50</v>
      </c>
      <c r="C36">
        <v>24</v>
      </c>
      <c r="E36">
        <v>2</v>
      </c>
      <c r="G36">
        <v>3</v>
      </c>
      <c r="H36">
        <v>11</v>
      </c>
      <c r="I36">
        <v>1</v>
      </c>
      <c r="J36">
        <v>2</v>
      </c>
      <c r="K36">
        <v>2</v>
      </c>
      <c r="L36">
        <v>55</v>
      </c>
      <c r="M36">
        <v>1</v>
      </c>
      <c r="N36">
        <v>5</v>
      </c>
      <c r="P36">
        <v>14</v>
      </c>
      <c r="Q36">
        <v>23</v>
      </c>
      <c r="R36">
        <v>3</v>
      </c>
      <c r="S36">
        <v>21</v>
      </c>
      <c r="T36">
        <v>2</v>
      </c>
      <c r="U36">
        <v>79</v>
      </c>
      <c r="V36">
        <v>1</v>
      </c>
      <c r="W36">
        <v>7</v>
      </c>
      <c r="Y36">
        <v>17</v>
      </c>
      <c r="Z36">
        <v>34</v>
      </c>
      <c r="AA36">
        <v>4</v>
      </c>
      <c r="AB36">
        <v>23</v>
      </c>
    </row>
    <row r="37" spans="1:28" x14ac:dyDescent="0.2">
      <c r="A37" s="1301" t="s">
        <v>51</v>
      </c>
      <c r="D37">
        <v>1</v>
      </c>
      <c r="E37">
        <v>1</v>
      </c>
      <c r="G37">
        <v>1</v>
      </c>
      <c r="H37">
        <v>2</v>
      </c>
      <c r="K37">
        <v>3</v>
      </c>
      <c r="L37">
        <v>69</v>
      </c>
      <c r="M37">
        <v>1</v>
      </c>
      <c r="N37">
        <v>1</v>
      </c>
      <c r="O37">
        <v>1</v>
      </c>
      <c r="P37">
        <v>34</v>
      </c>
      <c r="Q37">
        <v>55</v>
      </c>
      <c r="R37">
        <v>6</v>
      </c>
      <c r="S37">
        <v>66</v>
      </c>
      <c r="T37">
        <v>3</v>
      </c>
      <c r="U37">
        <v>69</v>
      </c>
      <c r="V37">
        <v>2</v>
      </c>
      <c r="W37">
        <v>2</v>
      </c>
      <c r="X37">
        <v>1</v>
      </c>
      <c r="Y37">
        <v>35</v>
      </c>
      <c r="Z37">
        <v>57</v>
      </c>
      <c r="AA37">
        <v>6</v>
      </c>
      <c r="AB37">
        <v>66</v>
      </c>
    </row>
    <row r="38" spans="1:28" x14ac:dyDescent="0.2">
      <c r="A38" s="1301" t="s">
        <v>52</v>
      </c>
      <c r="C38">
        <v>51</v>
      </c>
      <c r="E38">
        <v>3</v>
      </c>
      <c r="F38">
        <v>1</v>
      </c>
      <c r="G38">
        <v>6</v>
      </c>
      <c r="H38">
        <v>13</v>
      </c>
      <c r="I38">
        <v>3</v>
      </c>
      <c r="J38">
        <v>5</v>
      </c>
      <c r="K38">
        <v>4</v>
      </c>
      <c r="L38">
        <v>287</v>
      </c>
      <c r="M38">
        <v>1</v>
      </c>
      <c r="N38">
        <v>10</v>
      </c>
      <c r="O38">
        <v>4</v>
      </c>
      <c r="P38">
        <v>68</v>
      </c>
      <c r="Q38">
        <v>148</v>
      </c>
      <c r="R38">
        <v>19</v>
      </c>
      <c r="S38">
        <v>95</v>
      </c>
      <c r="T38">
        <v>4</v>
      </c>
      <c r="U38">
        <v>338</v>
      </c>
      <c r="V38">
        <v>1</v>
      </c>
      <c r="W38">
        <v>13</v>
      </c>
      <c r="X38">
        <v>5</v>
      </c>
      <c r="Y38">
        <v>74</v>
      </c>
      <c r="Z38">
        <v>161</v>
      </c>
      <c r="AA38">
        <v>22</v>
      </c>
      <c r="AB38">
        <v>100</v>
      </c>
    </row>
    <row r="39" spans="1:28" x14ac:dyDescent="0.2">
      <c r="A39" s="1301" t="s">
        <v>666</v>
      </c>
      <c r="B39">
        <v>41</v>
      </c>
      <c r="C39">
        <v>1128</v>
      </c>
      <c r="D39">
        <v>17</v>
      </c>
      <c r="E39">
        <v>153</v>
      </c>
      <c r="F39">
        <v>16</v>
      </c>
      <c r="G39">
        <v>202</v>
      </c>
      <c r="H39">
        <v>716</v>
      </c>
      <c r="I39">
        <v>117</v>
      </c>
      <c r="J39">
        <v>205</v>
      </c>
      <c r="K39">
        <v>263</v>
      </c>
      <c r="L39">
        <v>3935</v>
      </c>
      <c r="M39">
        <v>52</v>
      </c>
      <c r="N39">
        <v>240</v>
      </c>
      <c r="O39">
        <v>44</v>
      </c>
      <c r="P39">
        <v>1719</v>
      </c>
      <c r="Q39">
        <v>2724</v>
      </c>
      <c r="R39">
        <v>387</v>
      </c>
      <c r="S39">
        <v>2739</v>
      </c>
      <c r="T39">
        <v>304</v>
      </c>
      <c r="U39">
        <v>5063</v>
      </c>
      <c r="V39">
        <v>69</v>
      </c>
      <c r="W39">
        <v>393</v>
      </c>
      <c r="X39">
        <v>60</v>
      </c>
      <c r="Y39">
        <v>1921</v>
      </c>
      <c r="Z39">
        <v>3440</v>
      </c>
      <c r="AA39">
        <v>504</v>
      </c>
      <c r="AB39">
        <v>2944</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7">
    <tabColor theme="4"/>
    <pageSetUpPr fitToPage="1"/>
  </sheetPr>
  <dimension ref="A1:O44"/>
  <sheetViews>
    <sheetView zoomScaleNormal="100" workbookViewId="0">
      <pane ySplit="1" topLeftCell="A2" activePane="bottomLeft" state="frozen"/>
      <selection activeCell="M9" sqref="M9"/>
      <selection pane="bottomLeft" sqref="A1:E1"/>
    </sheetView>
  </sheetViews>
  <sheetFormatPr defaultRowHeight="12.75" x14ac:dyDescent="0.2"/>
  <cols>
    <col min="1" max="1" width="22.42578125" style="1" customWidth="1"/>
    <col min="2" max="4" width="12.85546875" style="1" customWidth="1"/>
    <col min="5" max="5" width="9.140625" style="1"/>
    <col min="6" max="7" width="13.5703125" style="1" customWidth="1"/>
    <col min="8" max="8" width="12" style="1" customWidth="1"/>
    <col min="9" max="9" width="9.140625" style="1"/>
    <col min="10" max="10" width="11.42578125" style="1" customWidth="1"/>
    <col min="11" max="16384" width="9.140625" style="1"/>
  </cols>
  <sheetData>
    <row r="1" spans="1:8" ht="38.25" customHeight="1" x14ac:dyDescent="0.2">
      <c r="A1" s="1653" t="s">
        <v>777</v>
      </c>
      <c r="B1" s="1653"/>
      <c r="C1" s="1653"/>
      <c r="D1" s="1653"/>
      <c r="E1" s="1653"/>
      <c r="F1" s="467"/>
      <c r="G1" s="467"/>
      <c r="H1" s="467"/>
    </row>
    <row r="2" spans="1:8" ht="15" x14ac:dyDescent="0.25">
      <c r="D2" s="234" t="s">
        <v>0</v>
      </c>
      <c r="F2" s="1721" t="s">
        <v>778</v>
      </c>
      <c r="G2" s="1721"/>
      <c r="H2" s="1721"/>
    </row>
    <row r="3" spans="1:8" ht="38.25" x14ac:dyDescent="0.2">
      <c r="A3" s="4" t="s">
        <v>22</v>
      </c>
      <c r="B3" s="1121" t="s">
        <v>133</v>
      </c>
      <c r="C3" s="1123" t="s">
        <v>134</v>
      </c>
      <c r="D3" s="140" t="s">
        <v>135</v>
      </c>
      <c r="E3" s="141"/>
      <c r="F3" s="1121" t="s">
        <v>133</v>
      </c>
      <c r="G3" s="1123" t="s">
        <v>134</v>
      </c>
      <c r="H3" s="140" t="s">
        <v>135</v>
      </c>
    </row>
    <row r="4" spans="1:8" ht="18.75" customHeight="1" x14ac:dyDescent="0.2">
      <c r="A4" s="355" t="s">
        <v>23</v>
      </c>
      <c r="B4" s="449">
        <f>T_13b!C7</f>
        <v>81</v>
      </c>
      <c r="C4" s="449">
        <f>T_13b!E7</f>
        <v>261</v>
      </c>
      <c r="D4" s="450">
        <f>SUM(B4:C4)</f>
        <v>342</v>
      </c>
      <c r="E4" s="805"/>
      <c r="F4" s="425">
        <f>B4/T_13b!$F7*100000</f>
        <v>17.70104895104895</v>
      </c>
      <c r="G4" s="434">
        <f>C4/T_13b!$F7*100000</f>
        <v>57.036713286713287</v>
      </c>
      <c r="H4" s="389">
        <f>D4/T_13b!$F7*100000</f>
        <v>74.73776223776224</v>
      </c>
    </row>
    <row r="5" spans="1:8" ht="13.5" customHeight="1" x14ac:dyDescent="0.2">
      <c r="A5" s="5" t="s">
        <v>24</v>
      </c>
      <c r="B5" s="250">
        <f>T_13b!C8</f>
        <v>81</v>
      </c>
      <c r="C5" s="250">
        <f>T_13b!E8</f>
        <v>133</v>
      </c>
      <c r="D5" s="60">
        <f t="shared" ref="D5:D35" si="0">SUM(B5:C5)</f>
        <v>214</v>
      </c>
      <c r="E5" s="805"/>
      <c r="F5" s="108">
        <f>B5/T_13b!$F8*100000</f>
        <v>15.469824293353705</v>
      </c>
      <c r="G5" s="107">
        <f>C5/T_13b!$F8*100000</f>
        <v>25.401069518716579</v>
      </c>
      <c r="H5" s="89">
        <f>D5/T_13b!$F8*100000</f>
        <v>40.870893812070285</v>
      </c>
    </row>
    <row r="6" spans="1:8" ht="13.5" customHeight="1" x14ac:dyDescent="0.2">
      <c r="A6" s="355" t="s">
        <v>25</v>
      </c>
      <c r="B6" s="449">
        <f>T_13b!C9</f>
        <v>66</v>
      </c>
      <c r="C6" s="449">
        <f>T_13b!E9</f>
        <v>115</v>
      </c>
      <c r="D6" s="450">
        <f t="shared" si="0"/>
        <v>181</v>
      </c>
      <c r="E6" s="805"/>
      <c r="F6" s="425">
        <f>B6/T_13b!$F9*100000</f>
        <v>28.379772961816304</v>
      </c>
      <c r="G6" s="434">
        <f>C6/T_13b!$F9*100000</f>
        <v>49.449604403164777</v>
      </c>
      <c r="H6" s="389">
        <f>D6/T_13b!$F9*100000</f>
        <v>77.82937736498107</v>
      </c>
    </row>
    <row r="7" spans="1:8" ht="13.5" customHeight="1" x14ac:dyDescent="0.2">
      <c r="A7" s="5" t="s">
        <v>26</v>
      </c>
      <c r="B7" s="250">
        <f>T_13b!C10</f>
        <v>40</v>
      </c>
      <c r="C7" s="250">
        <f>T_13b!E10</f>
        <v>41</v>
      </c>
      <c r="D7" s="60">
        <f t="shared" si="0"/>
        <v>81</v>
      </c>
      <c r="E7" s="805"/>
      <c r="F7" s="108">
        <f>B7/T_13b!$F10*100000</f>
        <v>23.038820412394884</v>
      </c>
      <c r="G7" s="107">
        <f>C7/T_13b!$F10*100000</f>
        <v>23.614790922704756</v>
      </c>
      <c r="H7" s="89">
        <f>D7/T_13b!$F10*100000</f>
        <v>46.65361133509964</v>
      </c>
    </row>
    <row r="8" spans="1:8" ht="13.5" customHeight="1" x14ac:dyDescent="0.2">
      <c r="A8" s="355" t="s">
        <v>27</v>
      </c>
      <c r="B8" s="449">
        <f>T_13b!C11</f>
        <v>33</v>
      </c>
      <c r="C8" s="449">
        <f>T_13b!E11</f>
        <v>76</v>
      </c>
      <c r="D8" s="450">
        <f t="shared" si="0"/>
        <v>109</v>
      </c>
      <c r="E8" s="805"/>
      <c r="F8" s="425">
        <f>B8/T_13b!$F11*100000</f>
        <v>32.069970845481045</v>
      </c>
      <c r="G8" s="434">
        <f>C8/T_13b!$F11*100000</f>
        <v>73.858114674441211</v>
      </c>
      <c r="H8" s="389">
        <f>D8/T_13b!$F11*100000</f>
        <v>105.92808551992225</v>
      </c>
    </row>
    <row r="9" spans="1:8" ht="13.5" customHeight="1" x14ac:dyDescent="0.2">
      <c r="A9" s="5" t="s">
        <v>28</v>
      </c>
      <c r="B9" s="250">
        <f>T_13b!C12</f>
        <v>79</v>
      </c>
      <c r="C9" s="250">
        <f>T_13b!E12</f>
        <v>99</v>
      </c>
      <c r="D9" s="60">
        <f t="shared" si="0"/>
        <v>178</v>
      </c>
      <c r="E9" s="805"/>
      <c r="F9" s="108">
        <f>B9/T_13b!$F12*100000</f>
        <v>26.474530831099194</v>
      </c>
      <c r="G9" s="107">
        <f>C9/T_13b!$F12*100000</f>
        <v>33.1769436997319</v>
      </c>
      <c r="H9" s="89">
        <f>D9/T_13b!$F12*100000</f>
        <v>59.651474530831095</v>
      </c>
    </row>
    <row r="10" spans="1:8" ht="13.5" customHeight="1" x14ac:dyDescent="0.2">
      <c r="A10" s="355" t="s">
        <v>29</v>
      </c>
      <c r="B10" s="449">
        <f>T_13b!C13</f>
        <v>107</v>
      </c>
      <c r="C10" s="449">
        <f>T_13b!E13</f>
        <v>666</v>
      </c>
      <c r="D10" s="450">
        <f t="shared" si="0"/>
        <v>773</v>
      </c>
      <c r="E10" s="805"/>
      <c r="F10" s="425">
        <f>B10/T_13b!$F13*100000</f>
        <v>35.976060789455985</v>
      </c>
      <c r="G10" s="434">
        <f>C10/T_13b!$F13*100000</f>
        <v>223.92576154932419</v>
      </c>
      <c r="H10" s="389">
        <f>D10/T_13b!$F13*100000</f>
        <v>259.90182233878016</v>
      </c>
    </row>
    <row r="11" spans="1:8" ht="13.5" customHeight="1" x14ac:dyDescent="0.2">
      <c r="A11" s="5" t="s">
        <v>30</v>
      </c>
      <c r="B11" s="250">
        <f>T_13b!C14</f>
        <v>13</v>
      </c>
      <c r="C11" s="250">
        <f>T_13b!E14</f>
        <v>579</v>
      </c>
      <c r="D11" s="60">
        <f t="shared" si="0"/>
        <v>592</v>
      </c>
      <c r="E11" s="805"/>
      <c r="F11" s="108">
        <f>B11/T_13b!$F14*100000</f>
        <v>5.3304904051172706</v>
      </c>
      <c r="G11" s="107">
        <f>C11/T_13b!$F14*100000</f>
        <v>237.41184188945383</v>
      </c>
      <c r="H11" s="89">
        <f>D11/T_13b!$F14*100000</f>
        <v>242.74233229457113</v>
      </c>
    </row>
    <row r="12" spans="1:8" ht="13.5" customHeight="1" x14ac:dyDescent="0.2">
      <c r="A12" s="355" t="s">
        <v>31</v>
      </c>
      <c r="B12" s="449">
        <f>T_13b!C15</f>
        <v>13</v>
      </c>
      <c r="C12" s="449">
        <f>T_13b!E15</f>
        <v>162</v>
      </c>
      <c r="D12" s="450">
        <f t="shared" si="0"/>
        <v>175</v>
      </c>
      <c r="E12" s="805"/>
      <c r="F12" s="425">
        <f>B12/T_13b!$F15*100000</f>
        <v>6.0112827152501618</v>
      </c>
      <c r="G12" s="434">
        <f>C12/T_13b!$F15*100000</f>
        <v>74.909830759271244</v>
      </c>
      <c r="H12" s="389">
        <f>D12/T_13b!$F15*100000</f>
        <v>80.921113474521405</v>
      </c>
    </row>
    <row r="13" spans="1:8" ht="13.5" customHeight="1" x14ac:dyDescent="0.2">
      <c r="A13" s="5" t="s">
        <v>32</v>
      </c>
      <c r="B13" s="250">
        <f>T_13b!C16</f>
        <v>66</v>
      </c>
      <c r="C13" s="250">
        <f>T_13b!E16</f>
        <v>177</v>
      </c>
      <c r="D13" s="60">
        <f t="shared" si="0"/>
        <v>243</v>
      </c>
      <c r="E13" s="805"/>
      <c r="F13" s="108">
        <f>B13/T_13b!$F16*100000</f>
        <v>31.476535673407096</v>
      </c>
      <c r="G13" s="107">
        <f>C13/T_13b!$F16*100000</f>
        <v>84.414345669591768</v>
      </c>
      <c r="H13" s="89">
        <f>D13/T_13b!$F16*100000</f>
        <v>115.89088134299885</v>
      </c>
    </row>
    <row r="14" spans="1:8" ht="13.5" customHeight="1" x14ac:dyDescent="0.2">
      <c r="A14" s="355" t="s">
        <v>33</v>
      </c>
      <c r="B14" s="449">
        <f>T_13b!C17</f>
        <v>13</v>
      </c>
      <c r="C14" s="449">
        <f>T_13b!E17</f>
        <v>152</v>
      </c>
      <c r="D14" s="450">
        <f t="shared" si="0"/>
        <v>165</v>
      </c>
      <c r="E14" s="805"/>
      <c r="F14" s="425">
        <f>B14/T_13b!$F17*100000</f>
        <v>6.8594343604896588</v>
      </c>
      <c r="G14" s="434">
        <f>C14/T_13b!$F17*100000</f>
        <v>80.20261713803292</v>
      </c>
      <c r="H14" s="389">
        <f>D14/T_13b!$F17*100000</f>
        <v>87.062051498522578</v>
      </c>
    </row>
    <row r="15" spans="1:8" ht="13.5" customHeight="1" x14ac:dyDescent="0.2">
      <c r="A15" s="5" t="s">
        <v>137</v>
      </c>
      <c r="B15" s="250">
        <f>T_13b!C18</f>
        <v>565</v>
      </c>
      <c r="C15" s="250">
        <f>T_13b!E18</f>
        <v>1221</v>
      </c>
      <c r="D15" s="60">
        <f t="shared" si="0"/>
        <v>1786</v>
      </c>
      <c r="E15" s="805"/>
      <c r="F15" s="108">
        <f>B15/T_13b!$F18*100000</f>
        <v>55.045692796321198</v>
      </c>
      <c r="G15" s="107">
        <f>C15/T_13b!$F18*100000</f>
        <v>118.95715204302331</v>
      </c>
      <c r="H15" s="89">
        <f>D15/T_13b!$F18*100000</f>
        <v>174.00284483934453</v>
      </c>
    </row>
    <row r="16" spans="1:8" ht="13.5" customHeight="1" x14ac:dyDescent="0.2">
      <c r="A16" s="355" t="s">
        <v>34</v>
      </c>
      <c r="B16" s="449">
        <f>T_13b!C19</f>
        <v>145</v>
      </c>
      <c r="C16" s="449">
        <f>T_13b!E19</f>
        <v>283</v>
      </c>
      <c r="D16" s="450">
        <f t="shared" si="0"/>
        <v>428</v>
      </c>
      <c r="E16" s="805"/>
      <c r="F16" s="425">
        <f>B16/T_13b!$F19*100000</f>
        <v>45.275713482795226</v>
      </c>
      <c r="G16" s="434">
        <f>C16/T_13b!$F19*100000</f>
        <v>88.365702866421032</v>
      </c>
      <c r="H16" s="389">
        <f>D16/T_13b!$F19*100000</f>
        <v>133.64141634921626</v>
      </c>
    </row>
    <row r="17" spans="1:8" ht="13.5" customHeight="1" x14ac:dyDescent="0.2">
      <c r="A17" s="5" t="s">
        <v>35</v>
      </c>
      <c r="B17" s="250">
        <f>T_13b!C20</f>
        <v>237</v>
      </c>
      <c r="C17" s="250">
        <f>T_13b!E20</f>
        <v>707</v>
      </c>
      <c r="D17" s="60">
        <f t="shared" si="0"/>
        <v>944</v>
      </c>
      <c r="E17" s="805"/>
      <c r="F17" s="108">
        <f>B17/T_13b!$F20*100000</f>
        <v>31.905441425917449</v>
      </c>
      <c r="G17" s="107">
        <f>C17/T_13b!$F20*100000</f>
        <v>95.177835814867663</v>
      </c>
      <c r="H17" s="89">
        <f>D17/T_13b!$F20*100000</f>
        <v>127.08327724078512</v>
      </c>
    </row>
    <row r="18" spans="1:8" ht="13.5" customHeight="1" x14ac:dyDescent="0.2">
      <c r="A18" s="355" t="s">
        <v>36</v>
      </c>
      <c r="B18" s="449">
        <f>T_13b!C21</f>
        <v>123</v>
      </c>
      <c r="C18" s="449">
        <f>T_13b!E21</f>
        <v>2227</v>
      </c>
      <c r="D18" s="450">
        <f t="shared" si="0"/>
        <v>2350</v>
      </c>
      <c r="E18" s="805"/>
      <c r="F18" s="425">
        <f>B18/T_13b!$F21*100000</f>
        <v>9.9030627032945802</v>
      </c>
      <c r="G18" s="434">
        <f>C18/T_13b!$F21*100000</f>
        <v>179.30179382306528</v>
      </c>
      <c r="H18" s="389">
        <f>D18/T_13b!$F21*100000</f>
        <v>189.20485652635986</v>
      </c>
    </row>
    <row r="19" spans="1:8" ht="13.5" customHeight="1" x14ac:dyDescent="0.2">
      <c r="A19" s="5" t="s">
        <v>37</v>
      </c>
      <c r="B19" s="250">
        <f>T_13b!C22</f>
        <v>340</v>
      </c>
      <c r="C19" s="250">
        <f>T_13b!E22</f>
        <v>131</v>
      </c>
      <c r="D19" s="60">
        <f t="shared" si="0"/>
        <v>471</v>
      </c>
      <c r="E19" s="805"/>
      <c r="F19" s="108">
        <f>B19/T_13b!$F22*100000</f>
        <v>72.285058253252828</v>
      </c>
      <c r="G19" s="107">
        <f>C19/T_13b!$F22*100000</f>
        <v>27.851007738753296</v>
      </c>
      <c r="H19" s="89">
        <f>D19/T_13b!$F22*100000</f>
        <v>100.13606599200612</v>
      </c>
    </row>
    <row r="20" spans="1:8" ht="13.5" customHeight="1" x14ac:dyDescent="0.2">
      <c r="A20" s="355" t="s">
        <v>38</v>
      </c>
      <c r="B20" s="449">
        <f>T_13b!C23</f>
        <v>8</v>
      </c>
      <c r="C20" s="449">
        <f>T_13b!E23</f>
        <v>340</v>
      </c>
      <c r="D20" s="450">
        <f t="shared" si="0"/>
        <v>348</v>
      </c>
      <c r="E20" s="805"/>
      <c r="F20" s="425">
        <f>B20/T_13b!$F23*100000</f>
        <v>5.078720162519045</v>
      </c>
      <c r="G20" s="434">
        <f>C20/T_13b!$F23*100000</f>
        <v>215.84560690705942</v>
      </c>
      <c r="H20" s="389">
        <f>D20/T_13b!$F23*100000</f>
        <v>220.92432706957848</v>
      </c>
    </row>
    <row r="21" spans="1:8" ht="13.5" customHeight="1" x14ac:dyDescent="0.2">
      <c r="A21" s="5" t="s">
        <v>39</v>
      </c>
      <c r="B21" s="250">
        <f>T_13b!C24</f>
        <v>61</v>
      </c>
      <c r="C21" s="250">
        <f>T_13b!E24</f>
        <v>329</v>
      </c>
      <c r="D21" s="60">
        <f t="shared" si="0"/>
        <v>390</v>
      </c>
      <c r="E21" s="805"/>
      <c r="F21" s="108">
        <f>B21/T_13b!$F24*100000</f>
        <v>33.855033855033852</v>
      </c>
      <c r="G21" s="107">
        <f>C21/T_13b!$F24*100000</f>
        <v>182.59518259518259</v>
      </c>
      <c r="H21" s="89">
        <f>D21/T_13b!$F24*100000</f>
        <v>216.45021645021646</v>
      </c>
    </row>
    <row r="22" spans="1:8" ht="13.5" customHeight="1" x14ac:dyDescent="0.2">
      <c r="A22" s="355" t="s">
        <v>40</v>
      </c>
      <c r="B22" s="449">
        <f>T_13b!C25</f>
        <v>39</v>
      </c>
      <c r="C22" s="449">
        <f>T_13b!E25</f>
        <v>44</v>
      </c>
      <c r="D22" s="450">
        <f t="shared" si="0"/>
        <v>83</v>
      </c>
      <c r="E22" s="805"/>
      <c r="F22" s="425">
        <f>B22/T_13b!$F25*100000</f>
        <v>20.359156400083524</v>
      </c>
      <c r="G22" s="434">
        <f>C22/T_13b!$F25*100000</f>
        <v>22.969304656504491</v>
      </c>
      <c r="H22" s="389">
        <f>D22/T_13b!$F25*100000</f>
        <v>43.328461056588012</v>
      </c>
    </row>
    <row r="23" spans="1:8" ht="13.5" customHeight="1" x14ac:dyDescent="0.2">
      <c r="A23" s="5" t="s">
        <v>393</v>
      </c>
      <c r="B23" s="250">
        <f>T_13b!C26</f>
        <v>64</v>
      </c>
      <c r="C23" s="250">
        <f>T_13b!E26</f>
        <v>1</v>
      </c>
      <c r="D23" s="60">
        <f t="shared" si="0"/>
        <v>65</v>
      </c>
      <c r="E23" s="805"/>
      <c r="F23" s="108">
        <f>B23/T_13b!$F26*100000</f>
        <v>118.73840445269016</v>
      </c>
      <c r="G23" s="107">
        <f>C23/T_13b!$F26*100000</f>
        <v>1.8552875695732838</v>
      </c>
      <c r="H23" s="89">
        <f>D23/T_13b!$F26*100000</f>
        <v>120.59369202226345</v>
      </c>
    </row>
    <row r="24" spans="1:8" ht="13.5" customHeight="1" x14ac:dyDescent="0.2">
      <c r="A24" s="355" t="s">
        <v>41</v>
      </c>
      <c r="B24" s="449">
        <f>T_13b!C27</f>
        <v>24</v>
      </c>
      <c r="C24" s="449">
        <f>T_13b!E27</f>
        <v>545</v>
      </c>
      <c r="D24" s="450">
        <f t="shared" si="0"/>
        <v>569</v>
      </c>
      <c r="E24" s="805"/>
      <c r="F24" s="425">
        <f>B24/T_13b!$F27*100000</f>
        <v>8.8371750497091099</v>
      </c>
      <c r="G24" s="434">
        <f>C24/T_13b!$F27*100000</f>
        <v>200.67751675381103</v>
      </c>
      <c r="H24" s="389">
        <f>D24/T_13b!$F27*100000</f>
        <v>209.51469180352012</v>
      </c>
    </row>
    <row r="25" spans="1:8" ht="13.5" customHeight="1" x14ac:dyDescent="0.2">
      <c r="A25" s="5" t="s">
        <v>42</v>
      </c>
      <c r="B25" s="250">
        <f>T_13b!C28</f>
        <v>30</v>
      </c>
      <c r="C25" s="250">
        <f>T_13b!E28</f>
        <v>1176</v>
      </c>
      <c r="D25" s="60">
        <f t="shared" si="0"/>
        <v>1206</v>
      </c>
      <c r="E25" s="805"/>
      <c r="F25" s="108">
        <f>B25/T_13b!$F28*100000</f>
        <v>4.4122837980938936</v>
      </c>
      <c r="G25" s="107">
        <f>C25/T_13b!$F28*100000</f>
        <v>172.96152488528062</v>
      </c>
      <c r="H25" s="89">
        <f>D25/T_13b!$F28*100000</f>
        <v>177.37380868337453</v>
      </c>
    </row>
    <row r="26" spans="1:8" ht="13.5" customHeight="1" x14ac:dyDescent="0.2">
      <c r="A26" s="355" t="s">
        <v>43</v>
      </c>
      <c r="B26" s="449">
        <f>T_13b!C29</f>
        <v>7</v>
      </c>
      <c r="C26" s="449">
        <f>T_13b!E29</f>
        <v>2</v>
      </c>
      <c r="D26" s="450">
        <f t="shared" si="0"/>
        <v>9</v>
      </c>
      <c r="E26" s="805"/>
      <c r="F26" s="425">
        <f>B26/T_13b!$F29*100000</f>
        <v>15.90909090909091</v>
      </c>
      <c r="G26" s="434">
        <f>C26/T_13b!$F29*100000</f>
        <v>4.545454545454545</v>
      </c>
      <c r="H26" s="389">
        <f>D26/T_13b!$F29*100000</f>
        <v>20.454545454545453</v>
      </c>
    </row>
    <row r="27" spans="1:8" ht="13.5" customHeight="1" x14ac:dyDescent="0.2">
      <c r="A27" s="5" t="s">
        <v>44</v>
      </c>
      <c r="B27" s="250">
        <f>T_13b!C30</f>
        <v>89</v>
      </c>
      <c r="C27" s="250">
        <f>T_13b!E30</f>
        <v>88</v>
      </c>
      <c r="D27" s="60">
        <f t="shared" si="0"/>
        <v>177</v>
      </c>
      <c r="E27" s="805"/>
      <c r="F27" s="108">
        <f>B27/T_13b!$F30*100000</f>
        <v>29.450694904037064</v>
      </c>
      <c r="G27" s="107">
        <f>C27/T_13b!$F30*100000</f>
        <v>29.119788219722036</v>
      </c>
      <c r="H27" s="89">
        <f>D27/T_13b!$F30*100000</f>
        <v>58.570483123759097</v>
      </c>
    </row>
    <row r="28" spans="1:8" ht="13.5" customHeight="1" x14ac:dyDescent="0.2">
      <c r="A28" s="355" t="s">
        <v>45</v>
      </c>
      <c r="B28" s="449">
        <f>T_13b!C31</f>
        <v>35</v>
      </c>
      <c r="C28" s="449">
        <f>T_13b!E31</f>
        <v>468</v>
      </c>
      <c r="D28" s="450">
        <f t="shared" si="0"/>
        <v>503</v>
      </c>
      <c r="E28" s="805"/>
      <c r="F28" s="425">
        <f>B28/T_13b!$F31*100000</f>
        <v>9.8965107730588695</v>
      </c>
      <c r="G28" s="434">
        <f>C28/T_13b!$F31*100000</f>
        <v>132.33048690833004</v>
      </c>
      <c r="H28" s="389">
        <f>D28/T_13b!$F31*100000</f>
        <v>142.22699768138889</v>
      </c>
    </row>
    <row r="29" spans="1:8" ht="13.5" customHeight="1" x14ac:dyDescent="0.2">
      <c r="A29" s="30" t="s">
        <v>46</v>
      </c>
      <c r="B29" s="250">
        <f>T_13b!C32</f>
        <v>31</v>
      </c>
      <c r="C29" s="250">
        <f>T_13b!E32</f>
        <v>102</v>
      </c>
      <c r="D29" s="60">
        <f t="shared" si="0"/>
        <v>133</v>
      </c>
      <c r="E29" s="805"/>
      <c r="F29" s="108">
        <f>B29/T_13b!$F32*100000</f>
        <v>13.475917231785777</v>
      </c>
      <c r="G29" s="107">
        <f>C29/T_13b!$F32*100000</f>
        <v>44.340114762649975</v>
      </c>
      <c r="H29" s="89">
        <f>D29/T_13b!$F32*100000</f>
        <v>57.816031994435754</v>
      </c>
    </row>
    <row r="30" spans="1:8" ht="13.5" customHeight="1" x14ac:dyDescent="0.2">
      <c r="A30" s="355" t="s">
        <v>47</v>
      </c>
      <c r="B30" s="449">
        <f>T_13b!C33</f>
        <v>9</v>
      </c>
      <c r="C30" s="449">
        <f>T_13b!E33</f>
        <v>2</v>
      </c>
      <c r="D30" s="450">
        <f t="shared" si="0"/>
        <v>11</v>
      </c>
      <c r="E30" s="805"/>
      <c r="F30" s="425">
        <f>B30/T_13b!$F33*100000</f>
        <v>19.497400346620449</v>
      </c>
      <c r="G30" s="434">
        <f>C30/T_13b!$F33*100000</f>
        <v>4.3327556325823222</v>
      </c>
      <c r="H30" s="389">
        <f>D30/T_13b!$F33*100000</f>
        <v>23.830155979202775</v>
      </c>
    </row>
    <row r="31" spans="1:8" ht="13.5" customHeight="1" x14ac:dyDescent="0.2">
      <c r="A31" s="5" t="s">
        <v>48</v>
      </c>
      <c r="B31" s="250">
        <f>T_13b!C34</f>
        <v>27</v>
      </c>
      <c r="C31" s="250">
        <f>T_13b!E34</f>
        <v>223</v>
      </c>
      <c r="D31" s="60">
        <f t="shared" si="0"/>
        <v>250</v>
      </c>
      <c r="E31" s="805"/>
      <c r="F31" s="108">
        <f>B31/T_13b!$F34*100000</f>
        <v>11.980830670926517</v>
      </c>
      <c r="G31" s="107">
        <f>C31/T_13b!$F34*100000</f>
        <v>98.952786652467168</v>
      </c>
      <c r="H31" s="89">
        <f>D31/T_13b!$F34*100000</f>
        <v>110.93361732339368</v>
      </c>
    </row>
    <row r="32" spans="1:8" ht="13.5" customHeight="1" x14ac:dyDescent="0.2">
      <c r="A32" s="355" t="s">
        <v>49</v>
      </c>
      <c r="B32" s="449">
        <f>T_13b!C35</f>
        <v>39</v>
      </c>
      <c r="C32" s="449">
        <f>T_13b!E35</f>
        <v>757</v>
      </c>
      <c r="D32" s="450">
        <f t="shared" si="0"/>
        <v>796</v>
      </c>
      <c r="E32" s="805"/>
      <c r="F32" s="425">
        <f>B32/T_13b!$F35*100000</f>
        <v>6.1287990696797312</v>
      </c>
      <c r="G32" s="434">
        <f>C32/T_13b!$F35*100000</f>
        <v>118.96156142942452</v>
      </c>
      <c r="H32" s="389">
        <f>D32/T_13b!$F35*100000</f>
        <v>125.09036049910425</v>
      </c>
    </row>
    <row r="33" spans="1:15" ht="13.5" customHeight="1" x14ac:dyDescent="0.2">
      <c r="A33" s="5" t="s">
        <v>50</v>
      </c>
      <c r="B33" s="250">
        <f>T_13b!C36</f>
        <v>43</v>
      </c>
      <c r="C33" s="250">
        <f>T_13b!E36</f>
        <v>124</v>
      </c>
      <c r="D33" s="60">
        <f t="shared" si="0"/>
        <v>167</v>
      </c>
      <c r="E33" s="805"/>
      <c r="F33" s="108">
        <f>B33/T_13b!$F36*100000</f>
        <v>22.872340425531913</v>
      </c>
      <c r="G33" s="107">
        <f>C33/T_13b!$F36*100000</f>
        <v>65.957446808510639</v>
      </c>
      <c r="H33" s="89">
        <f>D33/T_13b!$F36*100000</f>
        <v>88.829787234042556</v>
      </c>
    </row>
    <row r="34" spans="1:15" ht="13.5" customHeight="1" x14ac:dyDescent="0.2">
      <c r="A34" s="355" t="s">
        <v>51</v>
      </c>
      <c r="B34" s="449">
        <f>T_13b!C37</f>
        <v>5</v>
      </c>
      <c r="C34" s="449">
        <f>T_13b!E37</f>
        <v>236</v>
      </c>
      <c r="D34" s="450">
        <f t="shared" si="0"/>
        <v>241</v>
      </c>
      <c r="E34" s="805"/>
      <c r="F34" s="425">
        <f>B34/T_13b!$F37*100000</f>
        <v>2.7898672023211697</v>
      </c>
      <c r="G34" s="434">
        <f>C34/T_13b!$F37*100000</f>
        <v>131.68173194955921</v>
      </c>
      <c r="H34" s="389">
        <f>D34/T_13b!$F37*100000</f>
        <v>134.47159915188038</v>
      </c>
    </row>
    <row r="35" spans="1:15" ht="13.5" customHeight="1" x14ac:dyDescent="0.2">
      <c r="A35" s="5" t="s">
        <v>52</v>
      </c>
      <c r="B35" s="250">
        <f>T_13b!C38</f>
        <v>82</v>
      </c>
      <c r="C35" s="250">
        <f>T_13b!E38</f>
        <v>636</v>
      </c>
      <c r="D35" s="60">
        <f t="shared" si="0"/>
        <v>718</v>
      </c>
      <c r="E35" s="805"/>
      <c r="F35" s="108">
        <f>B35/T_13b!$F38*100000</f>
        <v>22.613203904914236</v>
      </c>
      <c r="G35" s="107">
        <f>C35/T_13b!$F38*100000</f>
        <v>175.39021565274945</v>
      </c>
      <c r="H35" s="89">
        <f>D35/T_13b!$F38*100000</f>
        <v>198.00341955766368</v>
      </c>
    </row>
    <row r="36" spans="1:15" ht="13.5" customHeight="1" x14ac:dyDescent="0.2">
      <c r="A36" s="411"/>
      <c r="B36" s="442"/>
      <c r="C36" s="448"/>
      <c r="D36" s="450"/>
      <c r="E36" s="805"/>
      <c r="F36" s="425"/>
      <c r="G36" s="434"/>
      <c r="H36" s="389"/>
    </row>
    <row r="37" spans="1:15" ht="30" customHeight="1" x14ac:dyDescent="0.2">
      <c r="A37" s="171" t="s">
        <v>159</v>
      </c>
      <c r="B37" s="1228">
        <f>SUM(B4:B35)</f>
        <v>2595</v>
      </c>
      <c r="C37" s="1229">
        <f>SUM(C4:C35)</f>
        <v>12103</v>
      </c>
      <c r="D37" s="249">
        <f>SUM(D4:D35)</f>
        <v>14698</v>
      </c>
      <c r="E37" s="805"/>
      <c r="F37" s="1318">
        <f>B37/T_13b!$F39*100000</f>
        <v>23.917932458339479</v>
      </c>
      <c r="G37" s="1230">
        <f>C37/T_13b!$F39*100000</f>
        <v>111.55249963132282</v>
      </c>
      <c r="H37" s="233">
        <f>D37/T_13b!$F39*100000</f>
        <v>135.4704320896623</v>
      </c>
    </row>
    <row r="39" spans="1:15" x14ac:dyDescent="0.2">
      <c r="A39" s="13" t="s">
        <v>162</v>
      </c>
    </row>
    <row r="40" spans="1:15" x14ac:dyDescent="0.2">
      <c r="A40" s="71" t="s">
        <v>963</v>
      </c>
      <c r="B40" s="71"/>
      <c r="C40" s="71"/>
      <c r="D40" s="71"/>
      <c r="E40" s="71"/>
      <c r="F40" s="71"/>
      <c r="G40" s="71"/>
      <c r="H40" s="71"/>
      <c r="I40" s="303"/>
      <c r="J40" s="71"/>
      <c r="K40" s="71"/>
    </row>
    <row r="41" spans="1:15" x14ac:dyDescent="0.2">
      <c r="A41" s="1" t="s">
        <v>1018</v>
      </c>
    </row>
    <row r="42" spans="1:15" s="256" customFormat="1" ht="27.75" customHeight="1" x14ac:dyDescent="0.2">
      <c r="A42" s="1720" t="s">
        <v>675</v>
      </c>
      <c r="B42" s="1720"/>
      <c r="C42" s="1720"/>
      <c r="D42" s="1720"/>
      <c r="E42" s="1720"/>
      <c r="F42" s="1720"/>
      <c r="G42" s="1720"/>
      <c r="H42" s="1720"/>
      <c r="I42" s="303"/>
      <c r="K42" s="303"/>
      <c r="L42" s="303"/>
      <c r="M42" s="303"/>
      <c r="N42" s="303"/>
      <c r="O42" s="303"/>
    </row>
    <row r="44" spans="1:15" x14ac:dyDescent="0.2">
      <c r="A44" s="51" t="s">
        <v>136</v>
      </c>
    </row>
  </sheetData>
  <sheetProtection algorithmName="SHA-512" hashValue="XhuU0kalzouJ6uTSchxmFlVraTu/O0UFUEtEjT7GHoZDwoxjqyf0FiwFe3RkYF7XjOFQsugj8i3IHgDbWGtojg==" saltValue="M7y1/5KFJ2aXEnzj0TD+pw==" spinCount="100000" sheet="1" objects="1" scenarios="1"/>
  <mergeCells count="3">
    <mergeCell ref="A42:H42"/>
    <mergeCell ref="A1:E1"/>
    <mergeCell ref="F2:H2"/>
  </mergeCells>
  <hyperlinks>
    <hyperlink ref="A44" location="Contents!A1" display="Return to contents " xr:uid="{00000000-0004-0000-3E00-000000000000}"/>
    <hyperlink ref="A42" r:id="rId1" xr:uid="{00000000-0004-0000-3E00-000001000000}"/>
  </hyperlinks>
  <pageMargins left="0.70866141732283472" right="0.70866141732283472" top="0.74803149606299213" bottom="0.74803149606299213" header="0.31496062992125984" footer="0.31496062992125984"/>
  <pageSetup paperSize="9" scale="75"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7"/>
  <dimension ref="A2:G39"/>
  <sheetViews>
    <sheetView topLeftCell="A10" workbookViewId="0">
      <selection activeCell="D7" sqref="D7"/>
    </sheetView>
  </sheetViews>
  <sheetFormatPr defaultRowHeight="12.75" x14ac:dyDescent="0.2"/>
  <cols>
    <col min="1" max="1" width="20.28515625" bestFit="1" customWidth="1"/>
    <col min="2" max="2" width="17" bestFit="1" customWidth="1"/>
    <col min="3" max="3" width="12.5703125" bestFit="1" customWidth="1"/>
    <col min="4" max="4" width="11.42578125" bestFit="1" customWidth="1"/>
    <col min="5" max="5" width="12.5703125" bestFit="1" customWidth="1"/>
    <col min="6" max="6" width="16.7109375" bestFit="1" customWidth="1"/>
    <col min="7" max="7" width="18" bestFit="1" customWidth="1"/>
    <col min="8" max="12" width="6" bestFit="1" customWidth="1"/>
    <col min="13" max="33" width="7" bestFit="1" customWidth="1"/>
    <col min="34" max="34" width="15.85546875" bestFit="1" customWidth="1"/>
    <col min="35" max="35" width="12.42578125" bestFit="1" customWidth="1"/>
    <col min="36" max="36" width="2" bestFit="1" customWidth="1"/>
    <col min="37" max="37" width="3" bestFit="1" customWidth="1"/>
    <col min="38" max="38" width="4" bestFit="1" customWidth="1"/>
    <col min="39" max="41" width="3" bestFit="1" customWidth="1"/>
    <col min="42" max="54" width="4" bestFit="1" customWidth="1"/>
    <col min="55" max="55" width="5" bestFit="1" customWidth="1"/>
    <col min="56" max="60" width="4" bestFit="1" customWidth="1"/>
    <col min="61" max="63" width="5" bestFit="1" customWidth="1"/>
    <col min="64" max="64" width="15.7109375" bestFit="1" customWidth="1"/>
    <col min="65" max="65" width="11.7109375" bestFit="1" customWidth="1"/>
  </cols>
  <sheetData>
    <row r="2" spans="1:7" x14ac:dyDescent="0.2">
      <c r="A2" s="1300" t="s">
        <v>4</v>
      </c>
      <c r="B2" t="s">
        <v>603</v>
      </c>
    </row>
    <row r="4" spans="1:7" x14ac:dyDescent="0.2">
      <c r="B4" s="1300" t="s">
        <v>670</v>
      </c>
    </row>
    <row r="5" spans="1:7" x14ac:dyDescent="0.2">
      <c r="B5" t="s">
        <v>62</v>
      </c>
      <c r="D5" t="s">
        <v>118</v>
      </c>
      <c r="F5" t="s">
        <v>779</v>
      </c>
      <c r="G5" t="s">
        <v>780</v>
      </c>
    </row>
    <row r="6" spans="1:7" x14ac:dyDescent="0.2">
      <c r="A6" s="1300" t="s">
        <v>658</v>
      </c>
      <c r="B6" t="s">
        <v>669</v>
      </c>
      <c r="C6" t="s">
        <v>681</v>
      </c>
      <c r="D6" t="s">
        <v>669</v>
      </c>
      <c r="E6" t="s">
        <v>681</v>
      </c>
    </row>
    <row r="7" spans="1:7" x14ac:dyDescent="0.2">
      <c r="A7" s="1301" t="s">
        <v>23</v>
      </c>
      <c r="B7">
        <v>228800</v>
      </c>
      <c r="C7">
        <v>81</v>
      </c>
      <c r="D7">
        <v>228800</v>
      </c>
      <c r="E7">
        <v>261</v>
      </c>
      <c r="F7">
        <v>457600</v>
      </c>
      <c r="G7">
        <v>342</v>
      </c>
    </row>
    <row r="8" spans="1:7" x14ac:dyDescent="0.2">
      <c r="A8" s="1301" t="s">
        <v>24</v>
      </c>
      <c r="B8">
        <v>261800</v>
      </c>
      <c r="C8">
        <v>81</v>
      </c>
      <c r="D8">
        <v>261800</v>
      </c>
      <c r="E8">
        <v>133</v>
      </c>
      <c r="F8">
        <v>523600</v>
      </c>
      <c r="G8">
        <v>214</v>
      </c>
    </row>
    <row r="9" spans="1:7" x14ac:dyDescent="0.2">
      <c r="A9" s="1301" t="s">
        <v>25</v>
      </c>
      <c r="B9">
        <v>116280</v>
      </c>
      <c r="C9">
        <v>66</v>
      </c>
      <c r="D9">
        <v>116280</v>
      </c>
      <c r="E9">
        <v>115</v>
      </c>
      <c r="F9">
        <v>232560</v>
      </c>
      <c r="G9">
        <v>181</v>
      </c>
    </row>
    <row r="10" spans="1:7" x14ac:dyDescent="0.2">
      <c r="A10" s="1301" t="s">
        <v>26</v>
      </c>
      <c r="B10">
        <v>86810</v>
      </c>
      <c r="C10">
        <v>40</v>
      </c>
      <c r="D10">
        <v>86810</v>
      </c>
      <c r="E10">
        <v>41</v>
      </c>
      <c r="F10">
        <v>173620</v>
      </c>
      <c r="G10">
        <v>81</v>
      </c>
    </row>
    <row r="11" spans="1:7" x14ac:dyDescent="0.2">
      <c r="A11" s="1301" t="s">
        <v>27</v>
      </c>
      <c r="B11">
        <v>51450</v>
      </c>
      <c r="C11">
        <v>33</v>
      </c>
      <c r="D11">
        <v>51450</v>
      </c>
      <c r="E11">
        <v>76</v>
      </c>
      <c r="F11">
        <v>102900</v>
      </c>
      <c r="G11">
        <v>109</v>
      </c>
    </row>
    <row r="12" spans="1:7" x14ac:dyDescent="0.2">
      <c r="A12" s="1301" t="s">
        <v>28</v>
      </c>
      <c r="B12">
        <v>149200</v>
      </c>
      <c r="C12">
        <v>79</v>
      </c>
      <c r="D12">
        <v>149200</v>
      </c>
      <c r="E12">
        <v>99</v>
      </c>
      <c r="F12">
        <v>298400</v>
      </c>
      <c r="G12">
        <v>178</v>
      </c>
    </row>
    <row r="13" spans="1:7" x14ac:dyDescent="0.2">
      <c r="A13" s="1301" t="s">
        <v>29</v>
      </c>
      <c r="B13">
        <v>148710</v>
      </c>
      <c r="C13">
        <v>107</v>
      </c>
      <c r="D13">
        <v>148710</v>
      </c>
      <c r="E13">
        <v>666</v>
      </c>
      <c r="F13">
        <v>297420</v>
      </c>
      <c r="G13">
        <v>773</v>
      </c>
    </row>
    <row r="14" spans="1:7" x14ac:dyDescent="0.2">
      <c r="A14" s="1301" t="s">
        <v>30</v>
      </c>
      <c r="B14">
        <v>121940</v>
      </c>
      <c r="C14">
        <v>13</v>
      </c>
      <c r="D14">
        <v>121940</v>
      </c>
      <c r="E14">
        <v>579</v>
      </c>
      <c r="F14">
        <v>243880</v>
      </c>
      <c r="G14">
        <v>592</v>
      </c>
    </row>
    <row r="15" spans="1:7" x14ac:dyDescent="0.2">
      <c r="A15" s="1301" t="s">
        <v>31</v>
      </c>
      <c r="B15">
        <v>108130</v>
      </c>
      <c r="C15">
        <v>13</v>
      </c>
      <c r="D15">
        <v>108130</v>
      </c>
      <c r="E15">
        <v>162</v>
      </c>
      <c r="F15">
        <v>216260</v>
      </c>
      <c r="G15">
        <v>175</v>
      </c>
    </row>
    <row r="16" spans="1:7" x14ac:dyDescent="0.2">
      <c r="A16" s="1301" t="s">
        <v>32</v>
      </c>
      <c r="B16">
        <v>104840</v>
      </c>
      <c r="C16">
        <v>66</v>
      </c>
      <c r="D16">
        <v>104840</v>
      </c>
      <c r="E16">
        <v>177</v>
      </c>
      <c r="F16">
        <v>209680</v>
      </c>
      <c r="G16">
        <v>243</v>
      </c>
    </row>
    <row r="17" spans="1:7" x14ac:dyDescent="0.2">
      <c r="A17" s="1301" t="s">
        <v>33</v>
      </c>
      <c r="B17">
        <v>94760</v>
      </c>
      <c r="C17">
        <v>13</v>
      </c>
      <c r="D17">
        <v>94760</v>
      </c>
      <c r="E17">
        <v>152</v>
      </c>
      <c r="F17">
        <v>189520</v>
      </c>
      <c r="G17">
        <v>165</v>
      </c>
    </row>
    <row r="18" spans="1:7" x14ac:dyDescent="0.2">
      <c r="A18" s="1301" t="s">
        <v>665</v>
      </c>
      <c r="B18">
        <v>513210</v>
      </c>
      <c r="C18">
        <v>565</v>
      </c>
      <c r="D18">
        <v>513210</v>
      </c>
      <c r="E18">
        <v>1221</v>
      </c>
      <c r="F18">
        <v>1026420</v>
      </c>
      <c r="G18">
        <v>1786</v>
      </c>
    </row>
    <row r="19" spans="1:7" x14ac:dyDescent="0.2">
      <c r="A19" s="1301" t="s">
        <v>34</v>
      </c>
      <c r="B19">
        <v>160130</v>
      </c>
      <c r="C19">
        <v>145</v>
      </c>
      <c r="D19">
        <v>160130</v>
      </c>
      <c r="E19">
        <v>283</v>
      </c>
      <c r="F19">
        <v>320260</v>
      </c>
      <c r="G19">
        <v>428</v>
      </c>
    </row>
    <row r="20" spans="1:7" x14ac:dyDescent="0.2">
      <c r="A20" s="1301" t="s">
        <v>35</v>
      </c>
      <c r="B20">
        <v>371410</v>
      </c>
      <c r="C20">
        <v>237</v>
      </c>
      <c r="D20">
        <v>371410</v>
      </c>
      <c r="E20">
        <v>707</v>
      </c>
      <c r="F20">
        <v>742820</v>
      </c>
      <c r="G20">
        <v>944</v>
      </c>
    </row>
    <row r="21" spans="1:7" x14ac:dyDescent="0.2">
      <c r="A21" s="1301" t="s">
        <v>36</v>
      </c>
      <c r="B21">
        <v>621020</v>
      </c>
      <c r="C21">
        <v>123</v>
      </c>
      <c r="D21">
        <v>621020</v>
      </c>
      <c r="E21">
        <v>2227</v>
      </c>
      <c r="F21">
        <v>1242040</v>
      </c>
      <c r="G21">
        <v>2350</v>
      </c>
    </row>
    <row r="22" spans="1:7" x14ac:dyDescent="0.2">
      <c r="A22" s="1301" t="s">
        <v>37</v>
      </c>
      <c r="B22">
        <v>235180</v>
      </c>
      <c r="C22">
        <v>340</v>
      </c>
      <c r="D22">
        <v>235180</v>
      </c>
      <c r="E22">
        <v>131</v>
      </c>
      <c r="F22">
        <v>470360</v>
      </c>
      <c r="G22">
        <v>471</v>
      </c>
    </row>
    <row r="23" spans="1:7" x14ac:dyDescent="0.2">
      <c r="A23" s="1301" t="s">
        <v>38</v>
      </c>
      <c r="B23">
        <v>78760</v>
      </c>
      <c r="C23">
        <v>8</v>
      </c>
      <c r="D23">
        <v>78760</v>
      </c>
      <c r="E23">
        <v>340</v>
      </c>
      <c r="F23">
        <v>157520</v>
      </c>
      <c r="G23">
        <v>348</v>
      </c>
    </row>
    <row r="24" spans="1:7" x14ac:dyDescent="0.2">
      <c r="A24" s="1301" t="s">
        <v>39</v>
      </c>
      <c r="B24">
        <v>90090</v>
      </c>
      <c r="C24">
        <v>61</v>
      </c>
      <c r="D24">
        <v>90090</v>
      </c>
      <c r="E24">
        <v>329</v>
      </c>
      <c r="F24">
        <v>180180</v>
      </c>
      <c r="G24">
        <v>390</v>
      </c>
    </row>
    <row r="25" spans="1:7" x14ac:dyDescent="0.2">
      <c r="A25" s="1301" t="s">
        <v>40</v>
      </c>
      <c r="B25">
        <v>95780</v>
      </c>
      <c r="C25">
        <v>39</v>
      </c>
      <c r="D25">
        <v>95780</v>
      </c>
      <c r="E25">
        <v>44</v>
      </c>
      <c r="F25">
        <v>191560</v>
      </c>
      <c r="G25">
        <v>83</v>
      </c>
    </row>
    <row r="26" spans="1:7" x14ac:dyDescent="0.2">
      <c r="A26" s="1301" t="s">
        <v>393</v>
      </c>
      <c r="B26">
        <v>26950</v>
      </c>
      <c r="C26">
        <v>64</v>
      </c>
      <c r="D26">
        <v>26950</v>
      </c>
      <c r="E26">
        <v>1</v>
      </c>
      <c r="F26">
        <v>53900</v>
      </c>
      <c r="G26">
        <v>65</v>
      </c>
    </row>
    <row r="27" spans="1:7" x14ac:dyDescent="0.2">
      <c r="A27" s="1301" t="s">
        <v>41</v>
      </c>
      <c r="B27">
        <v>135790</v>
      </c>
      <c r="C27">
        <v>24</v>
      </c>
      <c r="D27">
        <v>135790</v>
      </c>
      <c r="E27">
        <v>545</v>
      </c>
      <c r="F27">
        <v>271580</v>
      </c>
      <c r="G27">
        <v>569</v>
      </c>
    </row>
    <row r="28" spans="1:7" x14ac:dyDescent="0.2">
      <c r="A28" s="1301" t="s">
        <v>42</v>
      </c>
      <c r="B28">
        <v>339960</v>
      </c>
      <c r="C28">
        <v>30</v>
      </c>
      <c r="D28">
        <v>339960</v>
      </c>
      <c r="E28">
        <v>1176</v>
      </c>
      <c r="F28">
        <v>679920</v>
      </c>
      <c r="G28">
        <v>1206</v>
      </c>
    </row>
    <row r="29" spans="1:7" x14ac:dyDescent="0.2">
      <c r="A29" s="1301" t="s">
        <v>43</v>
      </c>
      <c r="B29">
        <v>22000</v>
      </c>
      <c r="C29">
        <v>7</v>
      </c>
      <c r="D29">
        <v>22000</v>
      </c>
      <c r="E29">
        <v>2</v>
      </c>
      <c r="F29">
        <v>44000</v>
      </c>
      <c r="G29">
        <v>9</v>
      </c>
    </row>
    <row r="30" spans="1:7" x14ac:dyDescent="0.2">
      <c r="A30" s="1301" t="s">
        <v>44</v>
      </c>
      <c r="B30">
        <v>151100</v>
      </c>
      <c r="C30">
        <v>89</v>
      </c>
      <c r="D30">
        <v>151100</v>
      </c>
      <c r="E30">
        <v>88</v>
      </c>
      <c r="F30">
        <v>302200</v>
      </c>
      <c r="G30">
        <v>177</v>
      </c>
    </row>
    <row r="31" spans="1:7" x14ac:dyDescent="0.2">
      <c r="A31" s="1301" t="s">
        <v>45</v>
      </c>
      <c r="B31">
        <v>176830</v>
      </c>
      <c r="C31">
        <v>35</v>
      </c>
      <c r="D31">
        <v>176830</v>
      </c>
      <c r="E31">
        <v>468</v>
      </c>
      <c r="F31">
        <v>353660</v>
      </c>
      <c r="G31">
        <v>503</v>
      </c>
    </row>
    <row r="32" spans="1:7" x14ac:dyDescent="0.2">
      <c r="A32" s="1301" t="s">
        <v>46</v>
      </c>
      <c r="B32">
        <v>115020</v>
      </c>
      <c r="C32">
        <v>31</v>
      </c>
      <c r="D32">
        <v>115020</v>
      </c>
      <c r="E32">
        <v>102</v>
      </c>
      <c r="F32">
        <v>230040</v>
      </c>
      <c r="G32">
        <v>133</v>
      </c>
    </row>
    <row r="33" spans="1:7" x14ac:dyDescent="0.2">
      <c r="A33" s="1301" t="s">
        <v>47</v>
      </c>
      <c r="B33">
        <v>23080</v>
      </c>
      <c r="C33">
        <v>9</v>
      </c>
      <c r="D33">
        <v>23080</v>
      </c>
      <c r="E33">
        <v>2</v>
      </c>
      <c r="F33">
        <v>46160</v>
      </c>
      <c r="G33">
        <v>11</v>
      </c>
    </row>
    <row r="34" spans="1:7" x14ac:dyDescent="0.2">
      <c r="A34" s="1301" t="s">
        <v>48</v>
      </c>
      <c r="B34">
        <v>112680</v>
      </c>
      <c r="C34">
        <v>27</v>
      </c>
      <c r="D34">
        <v>112680</v>
      </c>
      <c r="E34">
        <v>223</v>
      </c>
      <c r="F34">
        <v>225360</v>
      </c>
      <c r="G34">
        <v>250</v>
      </c>
    </row>
    <row r="35" spans="1:7" x14ac:dyDescent="0.2">
      <c r="A35" s="1301" t="s">
        <v>49</v>
      </c>
      <c r="B35">
        <v>318170</v>
      </c>
      <c r="C35">
        <v>39</v>
      </c>
      <c r="D35">
        <v>318170</v>
      </c>
      <c r="E35">
        <v>757</v>
      </c>
      <c r="F35">
        <v>636340</v>
      </c>
      <c r="G35">
        <v>796</v>
      </c>
    </row>
    <row r="36" spans="1:7" x14ac:dyDescent="0.2">
      <c r="A36" s="1301" t="s">
        <v>50</v>
      </c>
      <c r="B36">
        <v>94000</v>
      </c>
      <c r="C36">
        <v>43</v>
      </c>
      <c r="D36">
        <v>94000</v>
      </c>
      <c r="E36">
        <v>124</v>
      </c>
      <c r="F36">
        <v>188000</v>
      </c>
      <c r="G36">
        <v>167</v>
      </c>
    </row>
    <row r="37" spans="1:7" x14ac:dyDescent="0.2">
      <c r="A37" s="1301" t="s">
        <v>51</v>
      </c>
      <c r="B37">
        <v>89610</v>
      </c>
      <c r="C37">
        <v>5</v>
      </c>
      <c r="D37">
        <v>89610</v>
      </c>
      <c r="E37">
        <v>236</v>
      </c>
      <c r="F37">
        <v>179220</v>
      </c>
      <c r="G37">
        <v>241</v>
      </c>
    </row>
    <row r="38" spans="1:7" x14ac:dyDescent="0.2">
      <c r="A38" s="1301" t="s">
        <v>52</v>
      </c>
      <c r="B38">
        <v>181310</v>
      </c>
      <c r="C38">
        <v>82</v>
      </c>
      <c r="D38">
        <v>181310</v>
      </c>
      <c r="E38">
        <v>636</v>
      </c>
      <c r="F38">
        <v>362620</v>
      </c>
      <c r="G38">
        <v>718</v>
      </c>
    </row>
    <row r="39" spans="1:7" x14ac:dyDescent="0.2">
      <c r="A39" s="1301" t="s">
        <v>666</v>
      </c>
      <c r="B39">
        <v>5424800</v>
      </c>
      <c r="C39">
        <v>2595</v>
      </c>
      <c r="D39">
        <v>5424800</v>
      </c>
      <c r="E39">
        <v>12103</v>
      </c>
      <c r="F39">
        <v>10849600</v>
      </c>
      <c r="G39">
        <v>14698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8">
    <tabColor rgb="FF960000"/>
  </sheetPr>
  <dimension ref="A1:F16"/>
  <sheetViews>
    <sheetView showGridLines="0" zoomScaleNormal="100" workbookViewId="0"/>
  </sheetViews>
  <sheetFormatPr defaultRowHeight="12.75" x14ac:dyDescent="0.2"/>
  <cols>
    <col min="1" max="1" width="11.7109375" bestFit="1" customWidth="1"/>
  </cols>
  <sheetData>
    <row r="1" spans="1:6" ht="38.25" customHeight="1" x14ac:dyDescent="0.35">
      <c r="A1" s="1259" t="str">
        <f>"Primary Fires By Motive, 2011-12 to 2017-18"</f>
        <v>Primary Fires By Motive, 2011-12 to 2017-18</v>
      </c>
    </row>
    <row r="3" spans="1:6" x14ac:dyDescent="0.2">
      <c r="A3" s="386"/>
    </row>
    <row r="4" spans="1:6" x14ac:dyDescent="0.2">
      <c r="B4" t="s">
        <v>4</v>
      </c>
      <c r="C4" t="s">
        <v>62</v>
      </c>
      <c r="D4" t="s">
        <v>118</v>
      </c>
    </row>
    <row r="6" spans="1:6" x14ac:dyDescent="0.2">
      <c r="B6" t="str">
        <f>'11'!A7</f>
        <v>2009-10</v>
      </c>
      <c r="C6" s="768">
        <f>'11'!R7</f>
        <v>9403</v>
      </c>
      <c r="D6" s="768">
        <f>'11'!R23</f>
        <v>4614</v>
      </c>
    </row>
    <row r="7" spans="1:6" x14ac:dyDescent="0.2">
      <c r="B7" s="768" t="str">
        <f>'11'!A8</f>
        <v>2010-11</v>
      </c>
      <c r="C7" s="768">
        <f>'11'!R8</f>
        <v>9110</v>
      </c>
      <c r="D7" s="768">
        <f>'11'!R24</f>
        <v>4088</v>
      </c>
    </row>
    <row r="8" spans="1:6" x14ac:dyDescent="0.2">
      <c r="B8" t="str">
        <f>'11'!A9</f>
        <v>2011-12</v>
      </c>
      <c r="C8" s="768">
        <f>'11'!R9</f>
        <v>8635</v>
      </c>
      <c r="D8" s="768">
        <f>'11'!R25</f>
        <v>3780</v>
      </c>
    </row>
    <row r="9" spans="1:6" x14ac:dyDescent="0.2">
      <c r="B9" t="str">
        <f>'11'!A10</f>
        <v>2012-13</v>
      </c>
      <c r="C9" s="768">
        <f>'11'!R10</f>
        <v>8260</v>
      </c>
      <c r="D9" s="768">
        <f>'11'!R26</f>
        <v>2833</v>
      </c>
    </row>
    <row r="10" spans="1:6" x14ac:dyDescent="0.2">
      <c r="B10" t="str">
        <f>'11'!A11</f>
        <v>2013-14</v>
      </c>
      <c r="C10" s="768">
        <f>'11'!R11</f>
        <v>7958</v>
      </c>
      <c r="D10" s="768">
        <f>'11'!R27</f>
        <v>2581</v>
      </c>
    </row>
    <row r="11" spans="1:6" x14ac:dyDescent="0.2">
      <c r="B11" t="str">
        <f>'11'!A12</f>
        <v>2014-15</v>
      </c>
      <c r="C11" s="768">
        <f>'11'!R12</f>
        <v>8229</v>
      </c>
      <c r="D11" s="768">
        <f>'11'!R28</f>
        <v>2414</v>
      </c>
    </row>
    <row r="12" spans="1:6" x14ac:dyDescent="0.2">
      <c r="B12" t="str">
        <f>'11'!A13</f>
        <v>2015-16</v>
      </c>
      <c r="C12" s="768">
        <f>'11'!R13</f>
        <v>8425</v>
      </c>
      <c r="D12" s="768">
        <f>'11'!R29</f>
        <v>2588</v>
      </c>
    </row>
    <row r="13" spans="1:6" x14ac:dyDescent="0.2">
      <c r="B13" t="str">
        <f>'11'!A14</f>
        <v>2016-17</v>
      </c>
      <c r="C13" s="768">
        <f>'11'!R14</f>
        <v>8209</v>
      </c>
      <c r="D13" s="768">
        <f>'11'!R30</f>
        <v>2695</v>
      </c>
    </row>
    <row r="14" spans="1:6" x14ac:dyDescent="0.2">
      <c r="B14" s="768" t="str">
        <f>'11'!A15</f>
        <v>2017-18</v>
      </c>
      <c r="C14" s="768">
        <f>'11'!R15</f>
        <v>7929</v>
      </c>
      <c r="D14" s="768">
        <f>'11'!R31</f>
        <v>2725</v>
      </c>
    </row>
    <row r="16" spans="1:6" x14ac:dyDescent="0.2">
      <c r="F16" s="461"/>
    </row>
  </sheetData>
  <sheetProtection algorithmName="SHA-512" hashValue="Qj4denKwLDexAzsuThDjJotKw/R4Vrxx4JNr3ptgzPhiWbSUdIiPj5cjLO8oqzDfJ/ns6SYDAZjgCKcABRa5QQ==" saltValue="SZf2IdA9By1IoxL0T4l59A==" spinCount="100000" sheet="1" objects="1" scenarios="1"/>
  <pageMargins left="0.25" right="0.25"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9">
    <tabColor rgb="FF960000"/>
  </sheetPr>
  <dimension ref="A1:G16"/>
  <sheetViews>
    <sheetView showGridLines="0" zoomScaleNormal="100" workbookViewId="0"/>
  </sheetViews>
  <sheetFormatPr defaultRowHeight="12.75" x14ac:dyDescent="0.2"/>
  <sheetData>
    <row r="1" spans="1:7" ht="38.25" customHeight="1" x14ac:dyDescent="0.35">
      <c r="A1" s="1259" t="str">
        <f>"Accidental Primary Fires By Type, 2011-12 to 2017-18"</f>
        <v>Accidental Primary Fires By Type, 2011-12 to 2017-18</v>
      </c>
    </row>
    <row r="3" spans="1:7" x14ac:dyDescent="0.2">
      <c r="A3" s="386"/>
    </row>
    <row r="7" spans="1:7" x14ac:dyDescent="0.2">
      <c r="B7" t="s">
        <v>4</v>
      </c>
      <c r="C7" t="s">
        <v>5</v>
      </c>
      <c r="D7" t="s">
        <v>6</v>
      </c>
      <c r="E7" t="s">
        <v>7</v>
      </c>
      <c r="F7" t="s">
        <v>8</v>
      </c>
      <c r="G7" t="s">
        <v>76</v>
      </c>
    </row>
    <row r="8" spans="1:7" x14ac:dyDescent="0.2">
      <c r="B8" t="s">
        <v>19</v>
      </c>
      <c r="C8" s="768">
        <f>'11'!B7</f>
        <v>5379</v>
      </c>
      <c r="D8" s="768">
        <f>'11'!F7</f>
        <v>2035</v>
      </c>
      <c r="E8" s="768">
        <f>'11'!J7</f>
        <v>1514</v>
      </c>
      <c r="F8" s="768">
        <f>'11'!N7</f>
        <v>475</v>
      </c>
      <c r="G8">
        <f>'8 8a'!C7</f>
        <v>612</v>
      </c>
    </row>
    <row r="9" spans="1:7" x14ac:dyDescent="0.2">
      <c r="B9" t="s">
        <v>20</v>
      </c>
      <c r="C9" s="768">
        <f>'11'!B8</f>
        <v>5214</v>
      </c>
      <c r="D9" s="768">
        <f>'11'!F8</f>
        <v>2021</v>
      </c>
      <c r="E9" s="768">
        <f>'11'!J8</f>
        <v>1437</v>
      </c>
      <c r="F9" s="768">
        <f>'11'!N8</f>
        <v>438</v>
      </c>
      <c r="G9">
        <f>'8 8a'!C8</f>
        <v>599</v>
      </c>
    </row>
    <row r="10" spans="1:7" x14ac:dyDescent="0.2">
      <c r="B10" t="str">
        <f>'11'!A9</f>
        <v>2011-12</v>
      </c>
      <c r="C10" s="768">
        <f>'11'!B9</f>
        <v>5121</v>
      </c>
      <c r="D10" s="768">
        <f>'11'!F9</f>
        <v>1855</v>
      </c>
      <c r="E10" s="768">
        <f>'11'!J9</f>
        <v>1247</v>
      </c>
      <c r="F10" s="768">
        <f>'11'!N9</f>
        <v>412</v>
      </c>
      <c r="G10">
        <f>'8 8a'!C9</f>
        <v>512</v>
      </c>
    </row>
    <row r="11" spans="1:7" x14ac:dyDescent="0.2">
      <c r="B11" t="str">
        <f>'11'!A10</f>
        <v>2012-13</v>
      </c>
      <c r="C11" s="768">
        <f>'11'!B10</f>
        <v>5004</v>
      </c>
      <c r="D11" s="768">
        <f>'11'!F10</f>
        <v>1720</v>
      </c>
      <c r="E11" s="768">
        <f>'11'!J10</f>
        <v>1220</v>
      </c>
      <c r="F11" s="768">
        <f>'11'!N10</f>
        <v>316</v>
      </c>
      <c r="G11">
        <f>'8 8a'!C10</f>
        <v>475</v>
      </c>
    </row>
    <row r="12" spans="1:7" x14ac:dyDescent="0.2">
      <c r="B12" t="str">
        <f>'11'!A11</f>
        <v>2013-14</v>
      </c>
      <c r="C12" s="768">
        <f>'11'!B11</f>
        <v>4684</v>
      </c>
      <c r="D12" s="768">
        <f>'11'!F11</f>
        <v>1717</v>
      </c>
      <c r="E12" s="768">
        <f>'11'!J11</f>
        <v>1169</v>
      </c>
      <c r="F12" s="768">
        <f>'11'!N11</f>
        <v>388</v>
      </c>
      <c r="G12">
        <f>'8 8a'!C11</f>
        <v>450</v>
      </c>
    </row>
    <row r="13" spans="1:7" x14ac:dyDescent="0.2">
      <c r="B13" t="str">
        <f>'11'!A12</f>
        <v>2014-15</v>
      </c>
      <c r="C13" s="768">
        <f>'11'!B12</f>
        <v>4961</v>
      </c>
      <c r="D13" s="768">
        <f>'11'!F12</f>
        <v>1760</v>
      </c>
      <c r="E13" s="768">
        <f>'11'!J12</f>
        <v>1148</v>
      </c>
      <c r="F13" s="768">
        <f>'11'!N12</f>
        <v>360</v>
      </c>
      <c r="G13">
        <f>'8 8a'!C12</f>
        <v>431</v>
      </c>
    </row>
    <row r="14" spans="1:7" x14ac:dyDescent="0.2">
      <c r="B14" t="str">
        <f>'11'!A13</f>
        <v>2015-16</v>
      </c>
      <c r="C14" s="768">
        <f>'11'!B13</f>
        <v>5072</v>
      </c>
      <c r="D14" s="768">
        <f>'11'!F13</f>
        <v>1853</v>
      </c>
      <c r="E14" s="768">
        <f>'11'!J13</f>
        <v>1164</v>
      </c>
      <c r="F14" s="768">
        <f>'11'!N13</f>
        <v>336</v>
      </c>
      <c r="G14">
        <f>'8 8a'!C13</f>
        <v>490</v>
      </c>
    </row>
    <row r="15" spans="1:7" x14ac:dyDescent="0.2">
      <c r="B15" t="str">
        <f>'11'!A14</f>
        <v>2016-17</v>
      </c>
      <c r="C15" s="768">
        <f>'11'!B14</f>
        <v>4930</v>
      </c>
      <c r="D15" s="768">
        <f>'11'!F14</f>
        <v>1722</v>
      </c>
      <c r="E15" s="768">
        <f>'11'!J14</f>
        <v>1210</v>
      </c>
      <c r="F15" s="768">
        <f>'11'!N14</f>
        <v>347</v>
      </c>
      <c r="G15">
        <f>'8 8a'!C14</f>
        <v>415</v>
      </c>
    </row>
    <row r="16" spans="1:7" x14ac:dyDescent="0.2">
      <c r="B16" t="str">
        <f>'11'!A15</f>
        <v>2017-18</v>
      </c>
      <c r="C16" s="768">
        <f>'11'!B15</f>
        <v>4752</v>
      </c>
      <c r="D16" s="768">
        <f>'11'!F15</f>
        <v>1633</v>
      </c>
      <c r="E16" s="768">
        <f>'11'!J15</f>
        <v>1149</v>
      </c>
      <c r="F16" s="768">
        <f>'11'!N15</f>
        <v>395</v>
      </c>
      <c r="G16">
        <f>'8 8a'!C15</f>
        <v>383</v>
      </c>
    </row>
  </sheetData>
  <sheetProtection algorithmName="SHA-512" hashValue="T2Ej2pjrxLp62iH/yMZTntOJdqQgr6jtXMWh9+6U3cejS6jnHeAtwCzKFmLyKNXr3grt1snXSxGm6nzp0bei4w==" saltValue="78kp+PmWXNvZUwCCaUjsag==" spinCount="100000" sheet="1" objects="1" scenarios="1"/>
  <pageMargins left="0.25" right="0.25"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90">
    <tabColor rgb="FF960000"/>
  </sheetPr>
  <dimension ref="A1:F16"/>
  <sheetViews>
    <sheetView showGridLines="0" zoomScaleNormal="100" workbookViewId="0"/>
  </sheetViews>
  <sheetFormatPr defaultRowHeight="12.75" x14ac:dyDescent="0.2"/>
  <sheetData>
    <row r="1" spans="1:6" ht="38.25" customHeight="1" x14ac:dyDescent="0.35">
      <c r="A1" s="1259" t="str">
        <f>"Deliberate Primary Fires By Type, 2011-12 to 2017-18"</f>
        <v>Deliberate Primary Fires By Type, 2011-12 to 2017-18</v>
      </c>
    </row>
    <row r="3" spans="1:6" x14ac:dyDescent="0.2">
      <c r="A3" s="386"/>
    </row>
    <row r="7" spans="1:6" x14ac:dyDescent="0.2">
      <c r="B7" t="s">
        <v>4</v>
      </c>
      <c r="C7" t="s">
        <v>5</v>
      </c>
      <c r="D7" t="s">
        <v>6</v>
      </c>
      <c r="E7" t="s">
        <v>7</v>
      </c>
      <c r="F7" t="s">
        <v>8</v>
      </c>
    </row>
    <row r="8" spans="1:6" x14ac:dyDescent="0.2">
      <c r="B8" t="str">
        <f>'11'!A7</f>
        <v>2009-10</v>
      </c>
      <c r="C8" s="768">
        <f>'11'!B23</f>
        <v>1194</v>
      </c>
      <c r="D8" s="768">
        <f>'11'!F23</f>
        <v>972</v>
      </c>
      <c r="E8" s="768">
        <f>'11'!J23</f>
        <v>1478</v>
      </c>
      <c r="F8" s="768">
        <f>'11'!N23</f>
        <v>970</v>
      </c>
    </row>
    <row r="9" spans="1:6" x14ac:dyDescent="0.2">
      <c r="B9" t="str">
        <f>'11'!A8</f>
        <v>2010-11</v>
      </c>
      <c r="C9" s="768">
        <f>'11'!B24</f>
        <v>1086</v>
      </c>
      <c r="D9" s="768">
        <f>'11'!F24</f>
        <v>817</v>
      </c>
      <c r="E9" s="768">
        <f>'11'!J24</f>
        <v>1251</v>
      </c>
      <c r="F9" s="768">
        <f>'11'!N24</f>
        <v>934</v>
      </c>
    </row>
    <row r="10" spans="1:6" x14ac:dyDescent="0.2">
      <c r="B10" t="str">
        <f>'11'!A9</f>
        <v>2011-12</v>
      </c>
      <c r="C10" s="768">
        <f>'11'!B25</f>
        <v>1039</v>
      </c>
      <c r="D10" s="768">
        <f>'11'!F25</f>
        <v>863</v>
      </c>
      <c r="E10" s="768">
        <f>'11'!J25</f>
        <v>1115</v>
      </c>
      <c r="F10" s="768">
        <f>'11'!N25</f>
        <v>763</v>
      </c>
    </row>
    <row r="11" spans="1:6" x14ac:dyDescent="0.2">
      <c r="B11" t="str">
        <f>'11'!A10</f>
        <v>2012-13</v>
      </c>
      <c r="C11" s="768">
        <f>'11'!B26</f>
        <v>832</v>
      </c>
      <c r="D11" s="768">
        <f>'11'!F26</f>
        <v>689</v>
      </c>
      <c r="E11" s="768">
        <f>'11'!J26</f>
        <v>814</v>
      </c>
      <c r="F11" s="768">
        <f>'11'!N26</f>
        <v>498</v>
      </c>
    </row>
    <row r="12" spans="1:6" x14ac:dyDescent="0.2">
      <c r="B12" t="str">
        <f>'11'!A11</f>
        <v>2013-14</v>
      </c>
      <c r="C12" s="768">
        <f>'11'!B27</f>
        <v>650</v>
      </c>
      <c r="D12" s="768">
        <f>'11'!F27</f>
        <v>636</v>
      </c>
      <c r="E12" s="768">
        <f>'11'!J27</f>
        <v>769</v>
      </c>
      <c r="F12" s="768">
        <f>'11'!N27</f>
        <v>526</v>
      </c>
    </row>
    <row r="13" spans="1:6" x14ac:dyDescent="0.2">
      <c r="B13" t="str">
        <f>'11'!A12</f>
        <v>2014-15</v>
      </c>
      <c r="C13" s="768">
        <f>'11'!B28</f>
        <v>621</v>
      </c>
      <c r="D13" s="768">
        <f>'11'!F28</f>
        <v>566</v>
      </c>
      <c r="E13" s="768">
        <f>'11'!J28</f>
        <v>749</v>
      </c>
      <c r="F13" s="768">
        <f>'11'!N28</f>
        <v>478</v>
      </c>
    </row>
    <row r="14" spans="1:6" x14ac:dyDescent="0.2">
      <c r="B14" t="str">
        <f>'11'!A13</f>
        <v>2015-16</v>
      </c>
      <c r="C14" s="768">
        <f>'11'!B29</f>
        <v>605</v>
      </c>
      <c r="D14" s="768">
        <f>'11'!F29</f>
        <v>644</v>
      </c>
      <c r="E14" s="768">
        <f>'11'!J29</f>
        <v>801</v>
      </c>
      <c r="F14" s="768">
        <f>'11'!N29</f>
        <v>538</v>
      </c>
    </row>
    <row r="15" spans="1:6" x14ac:dyDescent="0.2">
      <c r="B15" t="str">
        <f>'11'!A14</f>
        <v>2016-17</v>
      </c>
      <c r="C15" s="768">
        <f>'11'!B30</f>
        <v>618</v>
      </c>
      <c r="D15" s="768">
        <f>'11'!F30</f>
        <v>557</v>
      </c>
      <c r="E15" s="768">
        <f>'11'!J30</f>
        <v>909</v>
      </c>
      <c r="F15" s="768">
        <f>'11'!N30</f>
        <v>611</v>
      </c>
    </row>
    <row r="16" spans="1:6" x14ac:dyDescent="0.2">
      <c r="B16" t="str">
        <f>'11'!A15</f>
        <v>2017-18</v>
      </c>
      <c r="C16" s="768">
        <f>'11'!B31</f>
        <v>558</v>
      </c>
      <c r="D16" s="768">
        <f>'11'!F31</f>
        <v>648</v>
      </c>
      <c r="E16" s="768">
        <f>'11'!J31</f>
        <v>859</v>
      </c>
      <c r="F16" s="768">
        <f>'11'!N31</f>
        <v>660</v>
      </c>
    </row>
  </sheetData>
  <sheetProtection algorithmName="SHA-512" hashValue="aQ/IqywvUP6FtVpDu22HVOQ467CambcdysmZU87WGPldyroq1jtKvNYnWhw7Jv3SJjbzZAQWu+yc0Y5bCkQd9A==" saltValue="AOq0u4vjm0EcQWAW9u7Pjg==" spinCount="100000" sheet="1" objects="1" scenarios="1"/>
  <pageMargins left="0.25" right="0.25"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91">
    <tabColor rgb="FF960000"/>
  </sheetPr>
  <dimension ref="A1:D10"/>
  <sheetViews>
    <sheetView showGridLines="0" zoomScaleNormal="100" workbookViewId="0"/>
  </sheetViews>
  <sheetFormatPr defaultRowHeight="12.75" x14ac:dyDescent="0.2"/>
  <sheetData>
    <row r="1" spans="1:4" ht="38.25" customHeight="1" x14ac:dyDescent="0.35">
      <c r="A1" s="1259" t="str">
        <f>"Secondary Fires By Motive, 2011-12 to 2017-18"</f>
        <v>Secondary Fires By Motive, 2011-12 to 2017-18</v>
      </c>
    </row>
    <row r="3" spans="1:4" x14ac:dyDescent="0.2">
      <c r="A3" s="386"/>
      <c r="B3" t="s">
        <v>4</v>
      </c>
      <c r="C3" t="s">
        <v>62</v>
      </c>
      <c r="D3" t="s">
        <v>118</v>
      </c>
    </row>
    <row r="4" spans="1:4" x14ac:dyDescent="0.2">
      <c r="B4" t="str">
        <f>'13'!A6</f>
        <v>2011-12</v>
      </c>
      <c r="C4" s="768">
        <f>'13'!L6</f>
        <v>2484</v>
      </c>
      <c r="D4" s="768">
        <f>'13'!L18</f>
        <v>16197</v>
      </c>
    </row>
    <row r="5" spans="1:4" x14ac:dyDescent="0.2">
      <c r="B5" t="str">
        <f>'13'!A7</f>
        <v>2012-13</v>
      </c>
      <c r="C5" s="768">
        <f>'13'!L7</f>
        <v>2026</v>
      </c>
      <c r="D5" s="768">
        <f>'13'!L19</f>
        <v>12252</v>
      </c>
    </row>
    <row r="6" spans="1:4" x14ac:dyDescent="0.2">
      <c r="B6" t="str">
        <f>'13'!A8</f>
        <v>2013-14</v>
      </c>
      <c r="C6" s="768">
        <f>'13'!L8</f>
        <v>2914</v>
      </c>
      <c r="D6" s="768">
        <f>'13'!L20</f>
        <v>13446</v>
      </c>
    </row>
    <row r="7" spans="1:4" x14ac:dyDescent="0.2">
      <c r="B7" t="str">
        <f>'13'!A9</f>
        <v>2014-15</v>
      </c>
      <c r="C7" s="768">
        <f>'13'!L9</f>
        <v>2239</v>
      </c>
      <c r="D7" s="768">
        <f>'13'!L21</f>
        <v>11167</v>
      </c>
    </row>
    <row r="8" spans="1:4" x14ac:dyDescent="0.2">
      <c r="B8" t="str">
        <f>'13'!A10</f>
        <v>2015-16</v>
      </c>
      <c r="C8" s="768">
        <f>'13'!L10</f>
        <v>2454</v>
      </c>
      <c r="D8" s="768">
        <f>'13'!L22</f>
        <v>12278</v>
      </c>
    </row>
    <row r="9" spans="1:4" x14ac:dyDescent="0.2">
      <c r="B9" t="str">
        <f>'13'!A11</f>
        <v>2016-17</v>
      </c>
      <c r="C9" s="768">
        <f>'13'!L11</f>
        <v>2466</v>
      </c>
      <c r="D9" s="768">
        <f>'13'!L23</f>
        <v>13191</v>
      </c>
    </row>
    <row r="10" spans="1:4" x14ac:dyDescent="0.2">
      <c r="B10" t="str">
        <f>'13'!A12</f>
        <v>2017-18</v>
      </c>
      <c r="C10" s="768">
        <f>'13'!L12</f>
        <v>2595</v>
      </c>
      <c r="D10" s="768">
        <f>'13'!L24</f>
        <v>12103</v>
      </c>
    </row>
  </sheetData>
  <sheetProtection algorithmName="SHA-512" hashValue="XsRdYdQFfcFV3pnCQgFvxitUGZ8U6VBHCXkPDmEz2y7wQTvqbfo00y4YTzWXYpg3YAgFsiCiBLyBl8Qa8WomHw==" saltValue="l7SX2/cl/W02Y58ninc8og==" spinCount="100000" sheet="1" objects="1" scenarios="1"/>
  <pageMargins left="0.25" right="0.25"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8">
    <tabColor theme="4"/>
    <pageSetUpPr fitToPage="1"/>
  </sheetPr>
  <dimension ref="A1:R43"/>
  <sheetViews>
    <sheetView showGridLines="0" zoomScaleNormal="100" workbookViewId="0">
      <selection sqref="A1:I1"/>
    </sheetView>
  </sheetViews>
  <sheetFormatPr defaultRowHeight="12.75" x14ac:dyDescent="0.2"/>
  <cols>
    <col min="1" max="1" width="11.28515625" customWidth="1"/>
    <col min="2" max="2" width="17.85546875" customWidth="1"/>
    <col min="3" max="3" width="14.7109375" customWidth="1"/>
    <col min="4" max="4" width="15" customWidth="1"/>
    <col min="5" max="5" width="11" customWidth="1"/>
    <col min="6" max="6" width="5.140625" customWidth="1"/>
    <col min="7" max="7" width="16.28515625" customWidth="1"/>
    <col min="8" max="8" width="13.42578125" customWidth="1"/>
    <col min="9" max="9" width="15" customWidth="1"/>
    <col min="10" max="10" width="11.5703125" customWidth="1"/>
    <col min="12" max="12" width="12" customWidth="1"/>
  </cols>
  <sheetData>
    <row r="1" spans="1:14" ht="38.25" customHeight="1" x14ac:dyDescent="0.2">
      <c r="A1" s="1628" t="s">
        <v>629</v>
      </c>
      <c r="B1" s="1628"/>
      <c r="C1" s="1628"/>
      <c r="D1" s="1628"/>
      <c r="E1" s="1628"/>
      <c r="F1" s="1628"/>
      <c r="G1" s="1628"/>
      <c r="H1" s="1628"/>
      <c r="I1" s="1628"/>
      <c r="J1" s="467"/>
      <c r="K1" s="467"/>
      <c r="L1" s="467"/>
      <c r="M1" s="467"/>
      <c r="N1" s="467"/>
    </row>
    <row r="2" spans="1:14" ht="15" x14ac:dyDescent="0.25">
      <c r="A2" s="1"/>
      <c r="B2" s="1"/>
      <c r="C2" s="1"/>
      <c r="D2" s="1"/>
      <c r="E2" s="1"/>
      <c r="F2" s="1"/>
      <c r="G2" s="1"/>
      <c r="H2" s="1"/>
      <c r="I2" s="234" t="s">
        <v>0</v>
      </c>
      <c r="J2" s="1"/>
      <c r="K2" s="1"/>
      <c r="L2" s="1"/>
      <c r="M2" s="1"/>
    </row>
    <row r="3" spans="1:14" ht="16.5" customHeight="1" x14ac:dyDescent="0.25">
      <c r="A3" s="1722" t="s">
        <v>4</v>
      </c>
      <c r="B3" s="1650" t="s">
        <v>880</v>
      </c>
      <c r="C3" s="1651"/>
      <c r="D3" s="1651"/>
      <c r="E3" s="1652"/>
      <c r="F3" s="564"/>
      <c r="G3" s="778" t="s">
        <v>185</v>
      </c>
      <c r="H3" s="101"/>
      <c r="I3" s="1637" t="s">
        <v>54</v>
      </c>
      <c r="J3" s="1"/>
      <c r="K3" s="1"/>
      <c r="L3" s="253"/>
      <c r="M3" s="1"/>
    </row>
    <row r="4" spans="1:14" ht="27" customHeight="1" x14ac:dyDescent="0.2">
      <c r="A4" s="1723"/>
      <c r="B4" s="117" t="s">
        <v>180</v>
      </c>
      <c r="C4" s="1115" t="s">
        <v>181</v>
      </c>
      <c r="D4" s="229" t="s">
        <v>182</v>
      </c>
      <c r="E4" s="765" t="s">
        <v>11</v>
      </c>
      <c r="F4" s="564"/>
      <c r="G4" s="102" t="s">
        <v>11</v>
      </c>
      <c r="H4" s="564"/>
      <c r="I4" s="1644"/>
      <c r="J4" s="228"/>
      <c r="K4" s="1"/>
      <c r="M4" s="1"/>
    </row>
    <row r="5" spans="1:14" ht="18.75" customHeight="1" x14ac:dyDescent="0.2">
      <c r="A5" s="1017" t="s">
        <v>16</v>
      </c>
      <c r="B5" s="215">
        <v>22</v>
      </c>
      <c r="C5" s="215">
        <v>49</v>
      </c>
      <c r="D5" s="979">
        <v>0</v>
      </c>
      <c r="E5" s="484">
        <f>SUM(B5:D5)</f>
        <v>71</v>
      </c>
      <c r="F5" s="178"/>
      <c r="G5" s="487">
        <v>0</v>
      </c>
      <c r="H5" s="477"/>
      <c r="I5" s="484">
        <f>SUM(E5+G5)</f>
        <v>71</v>
      </c>
      <c r="J5" s="477"/>
      <c r="K5" s="1"/>
      <c r="M5" s="1"/>
    </row>
    <row r="6" spans="1:14" ht="13.5" customHeight="1" x14ac:dyDescent="0.2">
      <c r="A6" s="5" t="s">
        <v>18</v>
      </c>
      <c r="B6" s="177">
        <v>29</v>
      </c>
      <c r="C6" s="177">
        <v>35</v>
      </c>
      <c r="D6" s="507">
        <v>0</v>
      </c>
      <c r="E6" s="485">
        <f t="shared" ref="E6:E15" si="0">SUM(B6:D6)</f>
        <v>64</v>
      </c>
      <c r="F6" s="178"/>
      <c r="G6" s="488">
        <v>0</v>
      </c>
      <c r="H6" s="477"/>
      <c r="I6" s="485">
        <f t="shared" ref="I6:I14" si="1">SUM(E6+G6)</f>
        <v>64</v>
      </c>
      <c r="J6" s="477"/>
      <c r="K6" s="177"/>
      <c r="M6" s="1"/>
    </row>
    <row r="7" spans="1:14" ht="13.5" customHeight="1" x14ac:dyDescent="0.2">
      <c r="A7" s="5" t="s">
        <v>19</v>
      </c>
      <c r="B7" s="177">
        <v>24</v>
      </c>
      <c r="C7" s="177">
        <v>37</v>
      </c>
      <c r="D7" s="507">
        <v>0</v>
      </c>
      <c r="E7" s="485">
        <f t="shared" si="0"/>
        <v>61</v>
      </c>
      <c r="F7" s="178"/>
      <c r="G7" s="488">
        <v>1</v>
      </c>
      <c r="H7" s="477"/>
      <c r="I7" s="485">
        <f t="shared" si="1"/>
        <v>62</v>
      </c>
      <c r="J7" s="477"/>
      <c r="K7" s="177"/>
      <c r="M7" s="1"/>
    </row>
    <row r="8" spans="1:14" ht="13.5" customHeight="1" x14ac:dyDescent="0.2">
      <c r="A8" s="30" t="s">
        <v>20</v>
      </c>
      <c r="B8" s="177">
        <v>17</v>
      </c>
      <c r="C8" s="177">
        <v>35</v>
      </c>
      <c r="D8" s="507">
        <v>0</v>
      </c>
      <c r="E8" s="485">
        <f t="shared" si="0"/>
        <v>52</v>
      </c>
      <c r="F8" s="178"/>
      <c r="G8" s="489">
        <v>0</v>
      </c>
      <c r="H8" s="33"/>
      <c r="I8" s="485">
        <f t="shared" si="1"/>
        <v>52</v>
      </c>
      <c r="J8" s="33"/>
      <c r="K8" s="177"/>
      <c r="M8" s="1"/>
    </row>
    <row r="9" spans="1:14" ht="13.5" customHeight="1" x14ac:dyDescent="0.2">
      <c r="A9" s="30" t="s">
        <v>13</v>
      </c>
      <c r="B9" s="177">
        <v>21</v>
      </c>
      <c r="C9" s="177">
        <v>38</v>
      </c>
      <c r="D9" s="507">
        <v>0</v>
      </c>
      <c r="E9" s="485">
        <f t="shared" si="0"/>
        <v>59</v>
      </c>
      <c r="F9" s="178"/>
      <c r="G9" s="488">
        <v>0</v>
      </c>
      <c r="H9" s="477"/>
      <c r="I9" s="485">
        <f t="shared" si="1"/>
        <v>59</v>
      </c>
      <c r="J9" s="477"/>
      <c r="K9" s="177"/>
      <c r="M9" s="1"/>
    </row>
    <row r="10" spans="1:14" ht="13.5" customHeight="1" x14ac:dyDescent="0.2">
      <c r="A10" s="30" t="s">
        <v>15</v>
      </c>
      <c r="B10" s="177">
        <v>23</v>
      </c>
      <c r="C10" s="177">
        <v>23</v>
      </c>
      <c r="D10" s="507">
        <v>0</v>
      </c>
      <c r="E10" s="485">
        <f t="shared" si="0"/>
        <v>46</v>
      </c>
      <c r="F10" s="178"/>
      <c r="G10" s="488">
        <v>0</v>
      </c>
      <c r="H10" s="477"/>
      <c r="I10" s="485">
        <f t="shared" si="1"/>
        <v>46</v>
      </c>
      <c r="J10" s="477"/>
      <c r="K10" s="177"/>
      <c r="M10" s="1"/>
    </row>
    <row r="11" spans="1:14" ht="13.5" customHeight="1" x14ac:dyDescent="0.2">
      <c r="A11" s="30" t="s">
        <v>17</v>
      </c>
      <c r="B11" s="177">
        <v>18</v>
      </c>
      <c r="C11" s="177">
        <v>13</v>
      </c>
      <c r="D11" s="507">
        <v>0</v>
      </c>
      <c r="E11" s="485">
        <f t="shared" si="0"/>
        <v>31</v>
      </c>
      <c r="F11" s="178"/>
      <c r="G11" s="489">
        <v>0</v>
      </c>
      <c r="H11" s="33"/>
      <c r="I11" s="485">
        <f t="shared" si="1"/>
        <v>31</v>
      </c>
      <c r="J11" s="33"/>
      <c r="K11" s="177"/>
      <c r="M11" s="1"/>
    </row>
    <row r="12" spans="1:14" ht="13.5" customHeight="1" x14ac:dyDescent="0.2">
      <c r="A12" s="30" t="s">
        <v>147</v>
      </c>
      <c r="B12" s="177">
        <v>16</v>
      </c>
      <c r="C12" s="177">
        <v>24</v>
      </c>
      <c r="D12" s="507">
        <v>0</v>
      </c>
      <c r="E12" s="485">
        <f t="shared" si="0"/>
        <v>40</v>
      </c>
      <c r="F12" s="178" t="s">
        <v>145</v>
      </c>
      <c r="G12" s="489">
        <v>0</v>
      </c>
      <c r="H12" s="33"/>
      <c r="I12" s="485">
        <f t="shared" si="1"/>
        <v>40</v>
      </c>
      <c r="J12" s="33"/>
      <c r="K12" s="177"/>
      <c r="M12" s="1"/>
    </row>
    <row r="13" spans="1:14" ht="13.5" customHeight="1" x14ac:dyDescent="0.2">
      <c r="A13" s="30" t="s">
        <v>160</v>
      </c>
      <c r="B13" s="177">
        <f>'T14'!D5</f>
        <v>19</v>
      </c>
      <c r="C13" s="177">
        <f>'T14'!E5</f>
        <v>25</v>
      </c>
      <c r="D13" s="507">
        <f>'T14'!F5</f>
        <v>1</v>
      </c>
      <c r="E13" s="485">
        <f t="shared" si="0"/>
        <v>45</v>
      </c>
      <c r="F13" s="178"/>
      <c r="G13" s="489">
        <v>0</v>
      </c>
      <c r="H13" s="33"/>
      <c r="I13" s="485">
        <f t="shared" si="1"/>
        <v>45</v>
      </c>
      <c r="J13" s="33"/>
      <c r="K13" s="177"/>
      <c r="M13" s="1"/>
    </row>
    <row r="14" spans="1:14" ht="13.5" customHeight="1" x14ac:dyDescent="0.2">
      <c r="A14" s="30" t="s">
        <v>379</v>
      </c>
      <c r="B14" s="177">
        <f>'T14'!D6</f>
        <v>16</v>
      </c>
      <c r="C14" s="177">
        <f>'T14'!E6</f>
        <v>28</v>
      </c>
      <c r="D14" s="507">
        <f>'T14'!F6</f>
        <v>0</v>
      </c>
      <c r="E14" s="485">
        <f t="shared" si="0"/>
        <v>44</v>
      </c>
      <c r="F14" s="178"/>
      <c r="G14" s="489">
        <v>0</v>
      </c>
      <c r="H14" s="33"/>
      <c r="I14" s="485">
        <f t="shared" si="1"/>
        <v>44</v>
      </c>
      <c r="J14" s="33"/>
      <c r="K14" s="177"/>
      <c r="M14" s="1"/>
    </row>
    <row r="15" spans="1:14" ht="13.5" customHeight="1" x14ac:dyDescent="0.2">
      <c r="A15" s="1261" t="s">
        <v>603</v>
      </c>
      <c r="B15" s="482">
        <f>'T14'!D7</f>
        <v>18</v>
      </c>
      <c r="C15" s="482">
        <f>'T14'!E7</f>
        <v>26</v>
      </c>
      <c r="D15" s="980">
        <f>'T14'!F7</f>
        <v>0</v>
      </c>
      <c r="E15" s="486">
        <f t="shared" si="0"/>
        <v>44</v>
      </c>
      <c r="F15" s="178" t="s">
        <v>143</v>
      </c>
      <c r="G15" s="490">
        <v>0</v>
      </c>
      <c r="H15" s="33"/>
      <c r="I15" s="486">
        <f>SUM(E15+G15)</f>
        <v>44</v>
      </c>
      <c r="J15" s="33"/>
      <c r="K15" s="177"/>
      <c r="M15" s="1"/>
    </row>
    <row r="16" spans="1:14" x14ac:dyDescent="0.2">
      <c r="A16" s="2"/>
      <c r="B16" s="1"/>
      <c r="C16" s="1"/>
      <c r="D16" s="1"/>
      <c r="E16" s="1"/>
      <c r="F16" s="1"/>
      <c r="G16" s="1"/>
      <c r="H16" s="1"/>
      <c r="I16" s="1"/>
      <c r="J16" s="1"/>
      <c r="K16" s="1"/>
      <c r="L16" s="1"/>
      <c r="M16" s="1"/>
    </row>
    <row r="17" spans="1:18" x14ac:dyDescent="0.2">
      <c r="A17" s="2" t="s">
        <v>162</v>
      </c>
      <c r="B17" s="1"/>
      <c r="C17" s="1"/>
      <c r="D17" s="1"/>
      <c r="E17" s="1"/>
      <c r="F17" s="1"/>
      <c r="G17" s="1"/>
      <c r="H17" s="1"/>
      <c r="I17" s="1"/>
      <c r="J17" s="1"/>
      <c r="K17" s="1"/>
      <c r="L17" s="1"/>
      <c r="M17" s="1"/>
    </row>
    <row r="18" spans="1:18" x14ac:dyDescent="0.2">
      <c r="A18" s="1649" t="s">
        <v>967</v>
      </c>
      <c r="B18" s="1649"/>
      <c r="C18" s="1"/>
      <c r="D18" s="1"/>
      <c r="E18" s="1"/>
      <c r="F18" s="1"/>
      <c r="G18" s="1"/>
      <c r="H18" s="1"/>
      <c r="I18" s="1"/>
      <c r="J18" s="1"/>
      <c r="K18" s="1"/>
      <c r="L18" s="1"/>
      <c r="M18" s="1"/>
    </row>
    <row r="19" spans="1:18" x14ac:dyDescent="0.2">
      <c r="A19" s="71" t="s">
        <v>971</v>
      </c>
      <c r="B19" s="1"/>
      <c r="C19" s="1"/>
      <c r="D19" s="1"/>
      <c r="E19" s="1"/>
      <c r="F19" s="1"/>
      <c r="G19" s="1"/>
      <c r="H19" s="1"/>
      <c r="I19" s="1"/>
      <c r="J19" s="1"/>
      <c r="K19" s="1"/>
      <c r="L19" s="1"/>
      <c r="M19" s="1"/>
    </row>
    <row r="20" spans="1:18" ht="25.5" customHeight="1" x14ac:dyDescent="0.2">
      <c r="A20" s="1654" t="s">
        <v>966</v>
      </c>
      <c r="B20" s="1654"/>
      <c r="C20" s="1654"/>
      <c r="D20" s="1654"/>
      <c r="E20" s="1654"/>
      <c r="F20" s="1654"/>
      <c r="G20" s="1654"/>
      <c r="H20" s="1654"/>
      <c r="I20" s="1654"/>
      <c r="J20" s="1654"/>
      <c r="K20" s="1654"/>
      <c r="L20" s="1654"/>
      <c r="M20" s="1537"/>
      <c r="N20" s="1537"/>
      <c r="O20" s="1537"/>
      <c r="P20" s="1537"/>
      <c r="Q20" s="1537"/>
      <c r="R20" s="1537"/>
    </row>
    <row r="21" spans="1:18" x14ac:dyDescent="0.2">
      <c r="A21" s="71"/>
      <c r="B21" s="1"/>
      <c r="C21" s="1"/>
      <c r="D21" s="1"/>
      <c r="E21" s="1"/>
      <c r="F21" s="1"/>
      <c r="G21" s="1"/>
      <c r="H21" s="1"/>
      <c r="I21" s="1"/>
      <c r="J21" s="1"/>
      <c r="K21" s="1"/>
      <c r="L21" s="1"/>
      <c r="M21" s="1"/>
    </row>
    <row r="22" spans="1:18" ht="38.25" customHeight="1" x14ac:dyDescent="0.2">
      <c r="A22" s="516" t="s">
        <v>781</v>
      </c>
      <c r="B22" s="516"/>
      <c r="C22" s="516"/>
      <c r="D22" s="516"/>
      <c r="E22" s="516"/>
      <c r="F22" s="516"/>
      <c r="G22" s="516"/>
      <c r="H22" s="516"/>
      <c r="I22" s="516"/>
      <c r="J22" s="516"/>
      <c r="K22" s="516"/>
      <c r="L22" s="516"/>
      <c r="M22" s="516"/>
      <c r="N22" s="516"/>
    </row>
    <row r="23" spans="1:18" ht="15" x14ac:dyDescent="0.25">
      <c r="A23" s="2"/>
      <c r="B23" s="1"/>
      <c r="C23" s="1"/>
      <c r="D23" s="1"/>
      <c r="E23" s="1"/>
      <c r="F23" s="1"/>
      <c r="G23" s="1"/>
      <c r="H23" s="1"/>
      <c r="I23" s="1"/>
      <c r="J23" s="1"/>
      <c r="K23" s="1"/>
      <c r="L23" s="234" t="s">
        <v>0</v>
      </c>
      <c r="M23" s="1"/>
    </row>
    <row r="24" spans="1:18" ht="16.5" customHeight="1" x14ac:dyDescent="0.2">
      <c r="A24" s="1722" t="s">
        <v>4</v>
      </c>
      <c r="B24" s="1650" t="s">
        <v>880</v>
      </c>
      <c r="C24" s="1651"/>
      <c r="D24" s="1651"/>
      <c r="E24" s="1652"/>
      <c r="F24" s="564"/>
      <c r="G24" s="1661" t="s">
        <v>185</v>
      </c>
      <c r="H24" s="1677"/>
      <c r="I24" s="1677"/>
      <c r="J24" s="1662"/>
      <c r="K24" s="101"/>
      <c r="L24" s="1637" t="s">
        <v>630</v>
      </c>
      <c r="M24" s="1"/>
    </row>
    <row r="25" spans="1:18" ht="25.5" x14ac:dyDescent="0.2">
      <c r="A25" s="1724"/>
      <c r="B25" s="117" t="s">
        <v>180</v>
      </c>
      <c r="C25" s="1115" t="s">
        <v>181</v>
      </c>
      <c r="D25" s="229" t="s">
        <v>182</v>
      </c>
      <c r="E25" s="765" t="s">
        <v>11</v>
      </c>
      <c r="F25" s="564"/>
      <c r="G25" s="117" t="s">
        <v>180</v>
      </c>
      <c r="H25" s="1115" t="s">
        <v>181</v>
      </c>
      <c r="I25" s="229" t="s">
        <v>183</v>
      </c>
      <c r="J25" s="765" t="s">
        <v>11</v>
      </c>
      <c r="K25" s="101"/>
      <c r="L25" s="1644"/>
      <c r="M25" s="1"/>
    </row>
    <row r="26" spans="1:18" ht="18.75" customHeight="1" x14ac:dyDescent="0.2">
      <c r="A26" s="597" t="s">
        <v>16</v>
      </c>
      <c r="B26" s="93">
        <v>758</v>
      </c>
      <c r="C26" s="380">
        <v>945</v>
      </c>
      <c r="D26" s="476">
        <v>1</v>
      </c>
      <c r="E26" s="40">
        <f>SUM(B26:D26)</f>
        <v>1704</v>
      </c>
      <c r="F26" s="72"/>
      <c r="G26" s="495">
        <v>0</v>
      </c>
      <c r="H26" s="496">
        <v>0</v>
      </c>
      <c r="I26" s="497">
        <v>0</v>
      </c>
      <c r="J26" s="16">
        <v>15</v>
      </c>
      <c r="K26" s="7"/>
      <c r="L26" s="40">
        <f>J26+E26</f>
        <v>1719</v>
      </c>
      <c r="M26" s="1"/>
      <c r="N26" s="768"/>
    </row>
    <row r="27" spans="1:18" ht="13.5" customHeight="1" thickBot="1" x14ac:dyDescent="0.25">
      <c r="A27" s="46" t="s">
        <v>18</v>
      </c>
      <c r="B27" s="1087">
        <v>697</v>
      </c>
      <c r="C27" s="1090">
        <v>923</v>
      </c>
      <c r="D27" s="1091">
        <v>1</v>
      </c>
      <c r="E27" s="1092">
        <f t="shared" ref="E27:E36" si="2">SUM(B27:D27)</f>
        <v>1621</v>
      </c>
      <c r="F27" s="72"/>
      <c r="G27" s="1163">
        <v>0</v>
      </c>
      <c r="H27" s="496">
        <v>0</v>
      </c>
      <c r="I27" s="497">
        <v>0</v>
      </c>
      <c r="J27" s="1167">
        <v>27</v>
      </c>
      <c r="K27" s="7"/>
      <c r="L27" s="1092">
        <f>J26+E27</f>
        <v>1636</v>
      </c>
      <c r="M27" s="7"/>
      <c r="N27" s="768"/>
    </row>
    <row r="28" spans="1:18" ht="13.5" customHeight="1" x14ac:dyDescent="0.2">
      <c r="A28" s="46" t="s">
        <v>19</v>
      </c>
      <c r="B28" s="6">
        <v>520</v>
      </c>
      <c r="C28" s="7">
        <v>667</v>
      </c>
      <c r="D28" s="41">
        <v>10</v>
      </c>
      <c r="E28" s="964">
        <f t="shared" si="2"/>
        <v>1197</v>
      </c>
      <c r="F28" s="72"/>
      <c r="G28" s="495">
        <v>0</v>
      </c>
      <c r="H28" s="1164">
        <v>0</v>
      </c>
      <c r="I28" s="1165">
        <v>0</v>
      </c>
      <c r="J28" s="1166">
        <v>17</v>
      </c>
      <c r="K28" s="7"/>
      <c r="L28" s="964">
        <f>J27+E28</f>
        <v>1224</v>
      </c>
      <c r="M28" s="7"/>
      <c r="N28" s="768"/>
    </row>
    <row r="29" spans="1:18" ht="13.5" customHeight="1" x14ac:dyDescent="0.2">
      <c r="A29" s="10" t="s">
        <v>20</v>
      </c>
      <c r="B29" s="6">
        <v>568</v>
      </c>
      <c r="C29" s="7">
        <v>727</v>
      </c>
      <c r="D29" s="41">
        <v>5</v>
      </c>
      <c r="E29" s="9">
        <f t="shared" si="2"/>
        <v>1300</v>
      </c>
      <c r="F29" s="72"/>
      <c r="G29" s="495">
        <v>0</v>
      </c>
      <c r="H29" s="496">
        <v>0</v>
      </c>
      <c r="I29" s="497">
        <v>0</v>
      </c>
      <c r="J29" s="1063">
        <v>28</v>
      </c>
      <c r="K29" s="7"/>
      <c r="L29" s="9">
        <f>J28+E29</f>
        <v>1317</v>
      </c>
      <c r="M29" s="7"/>
      <c r="N29" s="768"/>
    </row>
    <row r="30" spans="1:18" ht="13.5" customHeight="1" x14ac:dyDescent="0.2">
      <c r="A30" s="10" t="s">
        <v>13</v>
      </c>
      <c r="B30" s="6">
        <v>650</v>
      </c>
      <c r="C30" s="7">
        <v>715</v>
      </c>
      <c r="D30" s="41">
        <v>23</v>
      </c>
      <c r="E30" s="9">
        <f t="shared" si="2"/>
        <v>1388</v>
      </c>
      <c r="F30" s="72"/>
      <c r="G30" s="495">
        <v>0</v>
      </c>
      <c r="H30" s="496">
        <v>0</v>
      </c>
      <c r="I30" s="497">
        <v>0</v>
      </c>
      <c r="J30" s="1063">
        <v>28</v>
      </c>
      <c r="K30" s="7"/>
      <c r="L30" s="9">
        <f>J29+E30</f>
        <v>1416</v>
      </c>
      <c r="M30" s="7"/>
      <c r="N30" s="768"/>
    </row>
    <row r="31" spans="1:18" ht="13.5" customHeight="1" x14ac:dyDescent="0.2">
      <c r="A31" s="10" t="s">
        <v>15</v>
      </c>
      <c r="B31" s="6">
        <v>597</v>
      </c>
      <c r="C31" s="7">
        <v>697</v>
      </c>
      <c r="D31" s="41">
        <v>7</v>
      </c>
      <c r="E31" s="9">
        <f t="shared" si="2"/>
        <v>1301</v>
      </c>
      <c r="F31" s="72"/>
      <c r="G31" s="495">
        <v>0</v>
      </c>
      <c r="H31" s="496">
        <v>0</v>
      </c>
      <c r="I31" s="497">
        <v>0</v>
      </c>
      <c r="J31" s="1063">
        <v>18</v>
      </c>
      <c r="K31" s="7"/>
      <c r="L31" s="9">
        <f>J30+E31</f>
        <v>1329</v>
      </c>
      <c r="M31" s="7"/>
      <c r="N31" s="768"/>
    </row>
    <row r="32" spans="1:18" ht="13.5" customHeight="1" x14ac:dyDescent="0.2">
      <c r="A32" s="10" t="s">
        <v>17</v>
      </c>
      <c r="B32" s="6">
        <v>573</v>
      </c>
      <c r="C32" s="7">
        <v>708</v>
      </c>
      <c r="D32" s="41">
        <v>15</v>
      </c>
      <c r="E32" s="9">
        <f t="shared" si="2"/>
        <v>1296</v>
      </c>
      <c r="F32" s="72"/>
      <c r="G32" s="479">
        <v>1</v>
      </c>
      <c r="H32" s="1060">
        <v>14</v>
      </c>
      <c r="I32" s="217">
        <v>0</v>
      </c>
      <c r="J32" s="16">
        <f>SUM(G32:I32)</f>
        <v>15</v>
      </c>
      <c r="K32" s="7"/>
      <c r="L32" s="9">
        <f t="shared" ref="L32:L36" si="3">J32+E32</f>
        <v>1311</v>
      </c>
      <c r="M32" s="7"/>
      <c r="N32" s="768"/>
    </row>
    <row r="33" spans="1:18" ht="13.5" customHeight="1" x14ac:dyDescent="0.2">
      <c r="A33" s="10" t="s">
        <v>147</v>
      </c>
      <c r="B33" s="6">
        <v>464</v>
      </c>
      <c r="C33" s="7">
        <v>618</v>
      </c>
      <c r="D33" s="41">
        <v>7</v>
      </c>
      <c r="E33" s="9">
        <f t="shared" si="2"/>
        <v>1089</v>
      </c>
      <c r="F33" s="72"/>
      <c r="G33" s="479">
        <v>0</v>
      </c>
      <c r="H33" s="1060">
        <v>12</v>
      </c>
      <c r="I33" s="217">
        <v>0</v>
      </c>
      <c r="J33" s="16">
        <f t="shared" ref="J33:J36" si="4">SUM(G33:I33)</f>
        <v>12</v>
      </c>
      <c r="K33" s="7"/>
      <c r="L33" s="9">
        <f t="shared" si="3"/>
        <v>1101</v>
      </c>
      <c r="M33" s="7"/>
      <c r="N33" s="768"/>
    </row>
    <row r="34" spans="1:18" ht="13.5" customHeight="1" x14ac:dyDescent="0.2">
      <c r="A34" s="244" t="s">
        <v>160</v>
      </c>
      <c r="B34" s="6">
        <f>'T14'!D19</f>
        <v>551</v>
      </c>
      <c r="C34" s="7">
        <f>'T14'!E19</f>
        <v>710</v>
      </c>
      <c r="D34" s="41">
        <f>SUM('T14'!$F19:$G19)</f>
        <v>5</v>
      </c>
      <c r="E34" s="9">
        <f t="shared" si="2"/>
        <v>1266</v>
      </c>
      <c r="F34" s="72"/>
      <c r="G34" s="479">
        <f>'T14'!D16</f>
        <v>2</v>
      </c>
      <c r="H34" s="1060">
        <f>'T14'!E16</f>
        <v>8</v>
      </c>
      <c r="I34" s="217">
        <f>SUM('T14'!F16:G16)</f>
        <v>0</v>
      </c>
      <c r="J34" s="16">
        <f t="shared" si="4"/>
        <v>10</v>
      </c>
      <c r="K34" s="7"/>
      <c r="L34" s="9">
        <f t="shared" si="3"/>
        <v>1276</v>
      </c>
      <c r="M34" s="1"/>
      <c r="N34" s="768"/>
    </row>
    <row r="35" spans="1:18" ht="13.5" customHeight="1" x14ac:dyDescent="0.2">
      <c r="A35" s="244" t="s">
        <v>379</v>
      </c>
      <c r="B35" s="6">
        <f>'T14'!D20</f>
        <v>548</v>
      </c>
      <c r="C35" s="7">
        <f>'T14'!E20</f>
        <v>695</v>
      </c>
      <c r="D35" s="41">
        <f>SUM('T14'!$F20:$G20)</f>
        <v>5</v>
      </c>
      <c r="E35" s="9">
        <f t="shared" si="2"/>
        <v>1248</v>
      </c>
      <c r="F35" s="72"/>
      <c r="G35" s="479">
        <f>'T14'!D17</f>
        <v>0</v>
      </c>
      <c r="H35" s="1060">
        <f>'T14'!E17</f>
        <v>17</v>
      </c>
      <c r="I35" s="217">
        <f>SUM('T14'!F17:G17)</f>
        <v>1</v>
      </c>
      <c r="J35" s="16">
        <f t="shared" si="4"/>
        <v>18</v>
      </c>
      <c r="K35" s="7"/>
      <c r="L35" s="9">
        <f t="shared" si="3"/>
        <v>1266</v>
      </c>
      <c r="M35" s="1"/>
      <c r="N35" s="768"/>
    </row>
    <row r="36" spans="1:18" ht="13.5" customHeight="1" x14ac:dyDescent="0.2">
      <c r="A36" s="470" t="s">
        <v>603</v>
      </c>
      <c r="B36" s="363">
        <f>'T14'!D21</f>
        <v>479</v>
      </c>
      <c r="C36" s="336">
        <f>'T14'!E21</f>
        <v>596</v>
      </c>
      <c r="D36" s="473">
        <f>SUM('T14'!$F21:$G21)</f>
        <v>11</v>
      </c>
      <c r="E36" s="12">
        <f t="shared" si="2"/>
        <v>1086</v>
      </c>
      <c r="F36" s="72"/>
      <c r="G36" s="481">
        <f>'T14'!D18</f>
        <v>1</v>
      </c>
      <c r="H36" s="1061">
        <f>'T14'!E18</f>
        <v>22</v>
      </c>
      <c r="I36" s="491">
        <f>SUM('T14'!F18:G18)</f>
        <v>4</v>
      </c>
      <c r="J36" s="471">
        <f t="shared" si="4"/>
        <v>27</v>
      </c>
      <c r="K36" s="7"/>
      <c r="L36" s="12">
        <f t="shared" si="3"/>
        <v>1113</v>
      </c>
      <c r="M36" s="1"/>
      <c r="N36" s="768"/>
    </row>
    <row r="37" spans="1:18" x14ac:dyDescent="0.2">
      <c r="A37" s="1"/>
      <c r="B37" s="1"/>
      <c r="C37" s="1"/>
      <c r="D37" s="1"/>
      <c r="E37" s="1"/>
      <c r="F37" s="1"/>
      <c r="G37" s="1"/>
      <c r="H37" s="1"/>
      <c r="I37" s="1"/>
      <c r="J37" s="1"/>
      <c r="K37" s="1"/>
      <c r="L37" s="1"/>
      <c r="M37" s="1"/>
    </row>
    <row r="38" spans="1:18" x14ac:dyDescent="0.2">
      <c r="A38" s="2" t="s">
        <v>162</v>
      </c>
      <c r="B38" s="1"/>
      <c r="C38" s="1"/>
      <c r="D38" s="1"/>
      <c r="E38" s="1"/>
      <c r="F38" s="1"/>
      <c r="G38" s="1"/>
      <c r="H38" s="1"/>
      <c r="I38" s="1"/>
      <c r="J38" s="1"/>
      <c r="K38" s="1"/>
      <c r="L38" s="1"/>
      <c r="M38" s="1"/>
    </row>
    <row r="39" spans="1:18" x14ac:dyDescent="0.2">
      <c r="A39" s="1649" t="s">
        <v>967</v>
      </c>
      <c r="B39" s="1649"/>
      <c r="C39" s="1"/>
      <c r="D39" s="1"/>
      <c r="E39" s="1"/>
      <c r="F39" s="1"/>
      <c r="G39" s="1"/>
      <c r="H39" s="1"/>
      <c r="I39" s="1"/>
      <c r="J39" s="1"/>
      <c r="K39" s="1"/>
      <c r="L39" s="1"/>
      <c r="M39" s="1"/>
    </row>
    <row r="40" spans="1:18" x14ac:dyDescent="0.2">
      <c r="A40" s="71" t="s">
        <v>968</v>
      </c>
      <c r="B40" s="1"/>
      <c r="C40" s="1"/>
      <c r="D40" s="1"/>
      <c r="E40" s="1"/>
      <c r="F40" s="1"/>
      <c r="G40" s="1"/>
      <c r="H40" s="1"/>
      <c r="I40" s="1"/>
      <c r="J40" s="1"/>
      <c r="K40" s="1"/>
      <c r="L40" s="1"/>
      <c r="M40" s="1"/>
    </row>
    <row r="41" spans="1:18" ht="25.5" customHeight="1" x14ac:dyDescent="0.2">
      <c r="A41" s="1672" t="s">
        <v>964</v>
      </c>
      <c r="B41" s="1672"/>
      <c r="C41" s="1672"/>
      <c r="D41" s="1672"/>
      <c r="E41" s="1672"/>
      <c r="F41" s="1672"/>
      <c r="G41" s="1672"/>
      <c r="H41" s="1672"/>
      <c r="I41" s="1672"/>
      <c r="J41" s="1672"/>
      <c r="K41" s="1672"/>
      <c r="L41" s="1672"/>
      <c r="M41" s="71"/>
      <c r="N41" s="71"/>
      <c r="O41" s="71"/>
      <c r="P41" s="71"/>
      <c r="Q41" s="71"/>
      <c r="R41" s="71"/>
    </row>
    <row r="42" spans="1:18" x14ac:dyDescent="0.2">
      <c r="C42" s="498"/>
      <c r="D42" s="498"/>
      <c r="E42" s="498"/>
      <c r="F42" s="498"/>
      <c r="G42" s="498"/>
      <c r="H42" s="498"/>
      <c r="I42" s="498"/>
      <c r="J42" s="498"/>
      <c r="K42" s="498"/>
      <c r="L42" s="498"/>
      <c r="M42" s="1"/>
    </row>
    <row r="43" spans="1:18" x14ac:dyDescent="0.2">
      <c r="A43" s="1668" t="s">
        <v>169</v>
      </c>
      <c r="B43" s="1668"/>
    </row>
  </sheetData>
  <sheetProtection algorithmName="SHA-512" hashValue="4tAnQaVMZHGWfkiZ6zFM/EkH/bB75YvEKBq5ov9ecIzjlbo0pd7Q6QDIn1gzoEOUXOyJEDmLc65U5whp7D/veQ==" saltValue="82EOsXQyzicndq7M2GwNMg==" spinCount="100000" sheet="1" objects="1" scenarios="1"/>
  <mergeCells count="13">
    <mergeCell ref="A1:I1"/>
    <mergeCell ref="L24:L25"/>
    <mergeCell ref="A39:B39"/>
    <mergeCell ref="B3:E3"/>
    <mergeCell ref="B24:E24"/>
    <mergeCell ref="G24:J24"/>
    <mergeCell ref="A20:L20"/>
    <mergeCell ref="A43:B43"/>
    <mergeCell ref="A41:L41"/>
    <mergeCell ref="A18:B18"/>
    <mergeCell ref="I3:I4"/>
    <mergeCell ref="A3:A4"/>
    <mergeCell ref="A24:A25"/>
  </mergeCells>
  <hyperlinks>
    <hyperlink ref="A43:B43" location="Contents!A1" display="Return to contents" xr:uid="{00000000-0004-0000-4400-000000000000}"/>
  </hyperlinks>
  <pageMargins left="0.7" right="0.7" top="0.75" bottom="0.75" header="0.3" footer="0.3"/>
  <pageSetup paperSize="9"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8">
    <tabColor rgb="FF960000"/>
  </sheetPr>
  <dimension ref="A1:O3"/>
  <sheetViews>
    <sheetView showGridLines="0" zoomScaleNormal="100" workbookViewId="0"/>
  </sheetViews>
  <sheetFormatPr defaultRowHeight="12.75" x14ac:dyDescent="0.2"/>
  <sheetData>
    <row r="1" spans="1:15" ht="33.75" customHeight="1" x14ac:dyDescent="0.35">
      <c r="A1" s="1259" t="str">
        <f>"All Incidents By Type, 2011-12 to 2017-18"</f>
        <v>All Incidents By Type, 2011-12 to 2017-18</v>
      </c>
      <c r="O1" s="1259"/>
    </row>
    <row r="3" spans="1:15" x14ac:dyDescent="0.2">
      <c r="A3" s="386"/>
      <c r="O3" s="386"/>
    </row>
  </sheetData>
  <sheetProtection algorithmName="SHA-512" hashValue="masKsUg4LGxVWViTJSjpE9+kWDZjVKna38UtOzQqrthHEqAv9Ju4DBh5xa9jQqwSUJy72KzEUqnAd5h4geC3SA==" saltValue="Rm3pdI9eSAAe7h+n6/1dBA==" spinCount="100000" sheet="1" objects="1" scenarios="1"/>
  <pageMargins left="0.25" right="0.25"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9">
    <tabColor theme="4"/>
    <pageSetUpPr fitToPage="1"/>
  </sheetPr>
  <dimension ref="A1:R53"/>
  <sheetViews>
    <sheetView showGridLines="0" zoomScaleNormal="100" workbookViewId="0">
      <selection sqref="A1:D1"/>
    </sheetView>
  </sheetViews>
  <sheetFormatPr defaultRowHeight="12.75" x14ac:dyDescent="0.2"/>
  <cols>
    <col min="1" max="1" width="36.28515625" customWidth="1"/>
    <col min="2" max="5" width="13.140625" customWidth="1"/>
    <col min="6" max="6" width="5.7109375" customWidth="1"/>
    <col min="7" max="7" width="16.1406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38.25" customHeight="1" x14ac:dyDescent="0.2">
      <c r="A1" s="1628" t="s">
        <v>782</v>
      </c>
      <c r="B1" s="1628"/>
      <c r="C1" s="1628"/>
      <c r="D1" s="1628"/>
      <c r="F1" s="1319"/>
      <c r="G1" s="1319"/>
      <c r="H1" s="1319"/>
      <c r="I1" s="1319"/>
      <c r="J1" s="1319"/>
      <c r="K1" s="1319"/>
      <c r="L1" s="467"/>
      <c r="M1" s="467"/>
    </row>
    <row r="2" spans="1:13" ht="15" x14ac:dyDescent="0.25">
      <c r="A2" s="1"/>
      <c r="B2" s="1"/>
      <c r="C2" s="1"/>
      <c r="D2" s="1"/>
      <c r="E2" s="1"/>
      <c r="F2" s="1"/>
      <c r="G2" s="1"/>
      <c r="H2" s="1"/>
      <c r="I2" s="234" t="s">
        <v>0</v>
      </c>
      <c r="J2" s="1"/>
      <c r="K2" s="1"/>
      <c r="L2" s="234"/>
    </row>
    <row r="3" spans="1:13" ht="15" customHeight="1" x14ac:dyDescent="0.2">
      <c r="A3" s="1629" t="s">
        <v>404</v>
      </c>
      <c r="B3" s="1650" t="s">
        <v>880</v>
      </c>
      <c r="C3" s="1651"/>
      <c r="D3" s="1651"/>
      <c r="E3" s="1652"/>
      <c r="F3" s="101"/>
      <c r="G3" s="102" t="s">
        <v>185</v>
      </c>
      <c r="H3" s="101"/>
      <c r="I3" s="1637" t="s">
        <v>54</v>
      </c>
    </row>
    <row r="4" spans="1:13" ht="26.25" customHeight="1" x14ac:dyDescent="0.2">
      <c r="A4" s="1630"/>
      <c r="B4" s="1116" t="s">
        <v>180</v>
      </c>
      <c r="C4" s="1309" t="s">
        <v>181</v>
      </c>
      <c r="D4" s="229" t="s">
        <v>182</v>
      </c>
      <c r="E4" s="779" t="s">
        <v>11</v>
      </c>
      <c r="F4" s="101"/>
      <c r="G4" s="102" t="s">
        <v>11</v>
      </c>
      <c r="H4" s="101"/>
      <c r="I4" s="1729"/>
    </row>
    <row r="5" spans="1:13" ht="18.75" customHeight="1" x14ac:dyDescent="0.2">
      <c r="A5" s="1113" t="s">
        <v>184</v>
      </c>
      <c r="B5" s="519">
        <f>IFERROR(GETPIVOTDATA("Sum of Female",T_14!$A$4,"Who","Non FRS personnel","Pub_fataldescription","Burns"), 0)</f>
        <v>6</v>
      </c>
      <c r="C5" s="524">
        <f>IFERROR(GETPIVOTDATA("Sum of Male",T_14!$A$4,"Who","Non FRS personnel","Pub_fataldescription","Burns"),0)</f>
        <v>9</v>
      </c>
      <c r="D5" s="483">
        <f>GETPIVOTDATA("Sum of Not Known",T_14!$A$4,"Who","Non FRS personnel","Pub_fataldescription","Burns")</f>
        <v>0</v>
      </c>
      <c r="E5" s="38">
        <f>SUM(B5:D5)</f>
        <v>15</v>
      </c>
      <c r="F5" s="7"/>
      <c r="G5" s="1321">
        <v>0</v>
      </c>
      <c r="H5" s="7"/>
      <c r="I5" s="657">
        <f>G5+E5</f>
        <v>15</v>
      </c>
      <c r="J5" s="768"/>
      <c r="K5" s="768"/>
      <c r="L5" s="768"/>
    </row>
    <row r="6" spans="1:13" ht="13.5" customHeight="1" x14ac:dyDescent="0.2">
      <c r="A6" s="639" t="s">
        <v>1019</v>
      </c>
      <c r="B6" s="519">
        <f>IFERROR(GETPIVOTDATA("Sum of Female",T_14!$A$4,"Who","Non FRS personnel","Pub_fataldescription","Combination of burns and overcome by gas/smoke"),0)</f>
        <v>0</v>
      </c>
      <c r="C6" s="520">
        <f>IFERROR(GETPIVOTDATA("Sum of Male",T_14!$A$4,"Who","Non FRS personnel","Pub_fataldescription","Combination of burns and overcome by gas/smoke"),0)</f>
        <v>2</v>
      </c>
      <c r="D6" s="483">
        <f>GETPIVOTDATA("Sum of Not Known",T_14!$A$4,"Who","Non FRS personnel","Pub_fataldescription","Combination of burns and overcome by gas/smoke")</f>
        <v>0</v>
      </c>
      <c r="E6" s="38">
        <f t="shared" ref="E6:E10" si="0">SUM(B6:D6)</f>
        <v>2</v>
      </c>
      <c r="F6" s="7"/>
      <c r="G6" s="653">
        <v>0</v>
      </c>
      <c r="H6" s="7"/>
      <c r="I6" s="29">
        <f t="shared" ref="I6:I10" si="1">G6+E6</f>
        <v>2</v>
      </c>
      <c r="J6" s="768"/>
      <c r="K6" s="768"/>
      <c r="L6" s="768"/>
    </row>
    <row r="7" spans="1:13" ht="13.5" customHeight="1" x14ac:dyDescent="0.2">
      <c r="A7" s="9" t="s">
        <v>1020</v>
      </c>
      <c r="B7" s="519">
        <f>IFERROR(GETPIVOTDATA("Sum of Female",T_14!$A$4,"Who","Non FRS personnel","Pub_fataldescription","Overcome by gas, smoke or toxic fumes"),0)</f>
        <v>9</v>
      </c>
      <c r="C7" s="520">
        <f>IFERROR(GETPIVOTDATA("Sum of Male",T_14!$A$4,"Who","Non FRS personnel","Pub_fataldescription","Overcome by gas, smoke or toxic fumes"),0)</f>
        <v>7</v>
      </c>
      <c r="D7" s="483">
        <f>GETPIVOTDATA("Sum of Not Known",T_14!$A$4,"Who","Non FRS personnel","Pub_fataldescription","Overcome by gas, smoke or toxic fumes")</f>
        <v>0</v>
      </c>
      <c r="E7" s="38">
        <f t="shared" si="0"/>
        <v>16</v>
      </c>
      <c r="F7" s="7"/>
      <c r="G7" s="653">
        <v>0</v>
      </c>
      <c r="H7" s="7"/>
      <c r="I7" s="29">
        <f t="shared" si="1"/>
        <v>16</v>
      </c>
      <c r="J7" s="768"/>
      <c r="K7" s="768"/>
      <c r="L7" s="768"/>
    </row>
    <row r="8" spans="1:13" ht="13.5" customHeight="1" x14ac:dyDescent="0.2">
      <c r="A8" s="1176" t="s">
        <v>1021</v>
      </c>
      <c r="B8" s="519">
        <f>IFERROR(GETPIVOTDATA("Sum of Female",T_14!$A$4,"Who","Non FRS personnel","Pub_fataldescription","Physical injuries"),0)</f>
        <v>0</v>
      </c>
      <c r="C8" s="520">
        <f>IFERROR(GETPIVOTDATA("Sum of Male",T_14!$A$4,"Who","Non FRS personnel","Pub_fataldescription","Physical injuries"),0)</f>
        <v>1</v>
      </c>
      <c r="D8" s="483">
        <f>IFERROR(GETPIVOTDATA("Sum of Not Known",T_14!$A$4,"Who","Non FRS personnel","Pub_fataldescription","Physical injuries"),0)</f>
        <v>0</v>
      </c>
      <c r="E8" s="38">
        <f t="shared" si="0"/>
        <v>1</v>
      </c>
      <c r="F8" s="7"/>
      <c r="G8" s="653">
        <v>0</v>
      </c>
      <c r="H8" s="7"/>
      <c r="I8" s="29">
        <f t="shared" si="1"/>
        <v>1</v>
      </c>
      <c r="J8" s="768"/>
      <c r="K8" s="768"/>
      <c r="L8" s="768"/>
    </row>
    <row r="9" spans="1:13" ht="13.5" customHeight="1" x14ac:dyDescent="0.2">
      <c r="A9" s="1485" t="s">
        <v>1022</v>
      </c>
      <c r="B9" s="519">
        <f>IFERROR(GETPIVOTDATA("Sum of Female",T_14!$A$4,"Who","Non FRS personnel","Pub_fataldescription","Other specified"),0)</f>
        <v>0</v>
      </c>
      <c r="C9" s="520">
        <f>IFERROR(GETPIVOTDATA("Sum of Male",T_14!$A$4,"Who","Non FRS personnel","Pub_fataldescription","Other specified"),)</f>
        <v>0</v>
      </c>
      <c r="D9" s="483">
        <f>IFERROR(GETPIVOTDATA("Sum of Not Known",T_14!$A$4,"Who","Non FRS personnel","Pub_fataldescription","Other specified"),0)</f>
        <v>0</v>
      </c>
      <c r="E9" s="38">
        <f t="shared" si="0"/>
        <v>0</v>
      </c>
      <c r="F9" s="7"/>
      <c r="G9" s="653">
        <v>0</v>
      </c>
      <c r="H9" s="7"/>
      <c r="I9" s="29">
        <f t="shared" si="1"/>
        <v>0</v>
      </c>
      <c r="J9" s="768"/>
      <c r="K9" s="768"/>
      <c r="L9" s="768"/>
    </row>
    <row r="10" spans="1:13" ht="13.5" customHeight="1" x14ac:dyDescent="0.2">
      <c r="A10" s="1486" t="s">
        <v>1023</v>
      </c>
      <c r="B10" s="519">
        <f>GETPIVOTDATA("Sum of Female",T_14!$A$4,"Who","Non FRS personnel","Pub_fataldescription","Unspecified")</f>
        <v>3</v>
      </c>
      <c r="C10" s="520">
        <f>IFERROR(GETPIVOTDATA("Sum of Male",T_14!$A$4,"Who","Non FRS personnel","Pub_fataldescription","Unspecified"),0)</f>
        <v>7</v>
      </c>
      <c r="D10" s="483">
        <f>GETPIVOTDATA("Sum of Not Known",T_14!$A$4,"Who","Non FRS personnel","Pub_fataldescription","Unspecified")</f>
        <v>0</v>
      </c>
      <c r="E10" s="38">
        <f t="shared" si="0"/>
        <v>10</v>
      </c>
      <c r="F10" s="7"/>
      <c r="G10" s="653">
        <v>0</v>
      </c>
      <c r="H10" s="7"/>
      <c r="I10" s="29">
        <f t="shared" si="1"/>
        <v>10</v>
      </c>
      <c r="J10" s="768"/>
      <c r="K10" s="768"/>
      <c r="L10" s="768"/>
    </row>
    <row r="11" spans="1:13" x14ac:dyDescent="0.2">
      <c r="A11" s="1114"/>
      <c r="B11" s="6"/>
      <c r="C11" s="7"/>
      <c r="D11" s="37"/>
      <c r="E11" s="8"/>
      <c r="F11" s="7"/>
      <c r="G11" s="1322">
        <v>0</v>
      </c>
      <c r="H11" s="7"/>
      <c r="I11" s="12"/>
      <c r="J11" s="768"/>
      <c r="K11" s="768"/>
      <c r="L11" s="768"/>
    </row>
    <row r="12" spans="1:13" ht="30" customHeight="1" x14ac:dyDescent="0.2">
      <c r="A12" s="1169" t="s">
        <v>11</v>
      </c>
      <c r="B12" s="97">
        <f>SUM(B5:B10)</f>
        <v>18</v>
      </c>
      <c r="C12" s="98">
        <f>SUM(C5:C10)</f>
        <v>26</v>
      </c>
      <c r="D12" s="98">
        <f>SUM(D5:D10)</f>
        <v>0</v>
      </c>
      <c r="E12" s="100">
        <f>SUM(E5:E10)</f>
        <v>44</v>
      </c>
      <c r="F12" s="149"/>
      <c r="G12" s="100">
        <f>SUM(G5:G11)</f>
        <v>0</v>
      </c>
      <c r="H12" s="149"/>
      <c r="I12" s="100">
        <f>SUM(I5:I11)</f>
        <v>44</v>
      </c>
      <c r="J12" s="768"/>
      <c r="K12" s="768"/>
      <c r="L12" s="768"/>
    </row>
    <row r="13" spans="1:13" x14ac:dyDescent="0.2">
      <c r="A13" s="7"/>
      <c r="B13" s="7"/>
      <c r="C13" s="7"/>
      <c r="D13" s="7"/>
      <c r="E13" s="7"/>
      <c r="F13" s="7"/>
      <c r="G13" s="7"/>
      <c r="H13" s="7"/>
      <c r="I13" s="7"/>
      <c r="J13" s="7"/>
      <c r="K13" s="7"/>
      <c r="L13" s="7"/>
    </row>
    <row r="14" spans="1:13" x14ac:dyDescent="0.2">
      <c r="A14" s="472" t="s">
        <v>162</v>
      </c>
      <c r="B14" s="7"/>
      <c r="C14" s="7"/>
      <c r="D14" s="7"/>
      <c r="E14" s="7"/>
      <c r="F14" s="7"/>
      <c r="G14" s="7"/>
      <c r="H14" s="7"/>
      <c r="I14" s="7"/>
      <c r="J14" s="7"/>
      <c r="K14" s="7"/>
      <c r="L14" s="7"/>
    </row>
    <row r="15" spans="1:13" x14ac:dyDescent="0.2">
      <c r="A15" s="122" t="s">
        <v>963</v>
      </c>
      <c r="B15" s="309"/>
      <c r="C15" s="309"/>
      <c r="D15" s="309"/>
      <c r="E15" s="309"/>
      <c r="F15" s="309"/>
      <c r="G15" s="309"/>
      <c r="H15" s="309"/>
      <c r="I15" s="309"/>
      <c r="J15" s="309"/>
      <c r="K15" s="309"/>
      <c r="L15" s="7"/>
    </row>
    <row r="16" spans="1:13" x14ac:dyDescent="0.2">
      <c r="A16" s="1564" t="s">
        <v>802</v>
      </c>
      <c r="B16" s="1170"/>
      <c r="C16" s="1170"/>
      <c r="D16" s="1170"/>
      <c r="E16" s="1170"/>
      <c r="F16" s="1170"/>
      <c r="G16" s="1170"/>
      <c r="H16" s="1170"/>
      <c r="I16" s="1170"/>
      <c r="J16" s="1170"/>
      <c r="K16" s="660"/>
      <c r="L16" s="660"/>
    </row>
    <row r="17" spans="1:12" x14ac:dyDescent="0.2">
      <c r="A17" s="1565" t="s">
        <v>1025</v>
      </c>
      <c r="B17" s="1170"/>
      <c r="C17" s="1170"/>
      <c r="D17" s="1170"/>
      <c r="E17" s="1170"/>
      <c r="F17" s="1170"/>
      <c r="G17" s="1170"/>
      <c r="H17" s="1170"/>
      <c r="I17" s="1170"/>
      <c r="J17" s="1170"/>
      <c r="K17" s="660"/>
      <c r="L17" s="660"/>
    </row>
    <row r="18" spans="1:12" x14ac:dyDescent="0.2">
      <c r="A18" s="1563"/>
      <c r="B18" s="1170"/>
      <c r="C18" s="1170"/>
      <c r="D18" s="1170"/>
      <c r="E18" s="1170"/>
      <c r="F18" s="1170"/>
      <c r="G18" s="1170"/>
      <c r="H18" s="1170"/>
      <c r="I18" s="1170"/>
      <c r="J18" s="1170"/>
      <c r="K18" s="660"/>
      <c r="L18" s="660"/>
    </row>
    <row r="19" spans="1:12" ht="38.25" customHeight="1" x14ac:dyDescent="0.2">
      <c r="A19" s="1733" t="s">
        <v>783</v>
      </c>
      <c r="B19" s="1733"/>
      <c r="C19" s="1733"/>
      <c r="D19" s="1733"/>
      <c r="E19" s="1733"/>
      <c r="F19" s="1320"/>
      <c r="G19" s="1320"/>
      <c r="H19" s="1320"/>
      <c r="I19" s="1320"/>
      <c r="J19" s="1320"/>
      <c r="K19" s="1320"/>
      <c r="L19" s="1320"/>
    </row>
    <row r="20" spans="1:12" ht="15" x14ac:dyDescent="0.25">
      <c r="A20" s="7"/>
      <c r="B20" s="7"/>
      <c r="C20" s="7"/>
      <c r="D20" s="7"/>
      <c r="E20" s="7"/>
      <c r="F20" s="7"/>
      <c r="G20" s="7"/>
      <c r="H20" s="7"/>
      <c r="I20" s="7"/>
      <c r="J20" s="7"/>
      <c r="K20" s="7"/>
      <c r="L20" s="515" t="s">
        <v>0</v>
      </c>
    </row>
    <row r="21" spans="1:12" ht="14.25" customHeight="1" x14ac:dyDescent="0.2">
      <c r="A21" s="1734" t="s">
        <v>192</v>
      </c>
      <c r="B21" s="1725" t="s">
        <v>880</v>
      </c>
      <c r="C21" s="1726"/>
      <c r="D21" s="1726"/>
      <c r="E21" s="1727"/>
      <c r="F21" s="113"/>
      <c r="G21" s="1725" t="s">
        <v>185</v>
      </c>
      <c r="H21" s="1726"/>
      <c r="I21" s="1726"/>
      <c r="J21" s="1727"/>
      <c r="K21" s="149"/>
      <c r="L21" s="1682" t="s">
        <v>55</v>
      </c>
    </row>
    <row r="22" spans="1:12" ht="26.25" customHeight="1" x14ac:dyDescent="0.2">
      <c r="A22" s="1735"/>
      <c r="B22" s="1231" t="s">
        <v>180</v>
      </c>
      <c r="C22" s="1232" t="s">
        <v>181</v>
      </c>
      <c r="D22" s="1173" t="s">
        <v>182</v>
      </c>
      <c r="E22" s="1174" t="s">
        <v>11</v>
      </c>
      <c r="F22" s="149"/>
      <c r="G22" s="1233" t="s">
        <v>180</v>
      </c>
      <c r="H22" s="1234" t="s">
        <v>181</v>
      </c>
      <c r="I22" s="1235" t="s">
        <v>191</v>
      </c>
      <c r="J22" s="1175" t="s">
        <v>11</v>
      </c>
      <c r="K22" s="149"/>
      <c r="L22" s="1684"/>
    </row>
    <row r="23" spans="1:12" ht="18.75" customHeight="1" x14ac:dyDescent="0.2">
      <c r="A23" s="1113" t="s">
        <v>184</v>
      </c>
      <c r="B23" s="523">
        <f>GETPIVOTDATA("Sum of Female",T_14!$A$22,"who","Non FRS personnel","Pub_injury_withchecks","1Burns")</f>
        <v>32</v>
      </c>
      <c r="C23" s="520">
        <f>GETPIVOTDATA("Sum of Male",T_14!$A$22,"who","Non FRS personnel","Pub_injury_withchecks","1Burns")</f>
        <v>81</v>
      </c>
      <c r="D23" s="520">
        <f>SUM(T_14!I25:J25)</f>
        <v>1</v>
      </c>
      <c r="E23" s="40">
        <f>SUM(B23:D23)</f>
        <v>114</v>
      </c>
      <c r="F23" s="7"/>
      <c r="G23" s="523">
        <f>GETPIVOTDATA("Sum of Female",T_14!$A$22,"who","FRS personnel","Pub_injury_withchecks","1Burns")</f>
        <v>0</v>
      </c>
      <c r="H23" s="520">
        <f>GETPIVOTDATA("Sum of Male",T_14!$A$22,"who","FRS personnel","Pub_injury_withchecks","1Burns")</f>
        <v>3</v>
      </c>
      <c r="I23" s="520">
        <f>SUM(T_14!D25:E25)</f>
        <v>1</v>
      </c>
      <c r="J23" s="1168">
        <f>SUM(G23:I23)</f>
        <v>4</v>
      </c>
      <c r="K23" s="7"/>
      <c r="L23" s="9">
        <f>J23+E23</f>
        <v>118</v>
      </c>
    </row>
    <row r="24" spans="1:12" ht="13.5" customHeight="1" x14ac:dyDescent="0.2">
      <c r="A24" s="639" t="s">
        <v>1019</v>
      </c>
      <c r="B24" s="519">
        <f>GETPIVOTDATA("Sum of Female",T_14!$A$22,"who","Non FRS personnel","Pub_injury_withchecks","2Combination of burns and overcome by gas/smoke")</f>
        <v>10</v>
      </c>
      <c r="C24" s="520">
        <f>GETPIVOTDATA("Sum of Male",T_14!$A$22,"who","Non FRS personnel","Pub_injury_withchecks","2Combination of burns and overcome by gas/smoke")</f>
        <v>6</v>
      </c>
      <c r="D24" s="520">
        <f>SUM(T_14!I26:J26)</f>
        <v>0</v>
      </c>
      <c r="E24" s="9">
        <f t="shared" ref="E24:E29" si="2">SUM(B24:D24)</f>
        <v>16</v>
      </c>
      <c r="F24" s="7"/>
      <c r="G24" s="519">
        <f>GETPIVOTDATA("Sum of Female",T_14!$A$22,"who","FRS personnel","Pub_injury_withchecks","2Combination of burns and overcome by gas/smoke")</f>
        <v>0</v>
      </c>
      <c r="H24" s="520">
        <f>GETPIVOTDATA("Sum of Male",T_14!$A$22,"who","FRS personnel","Pub_injury_withchecks","2Combination of burns and overcome by gas/smoke")</f>
        <v>0</v>
      </c>
      <c r="I24" s="520">
        <f>SUM(T_14!D26:E26)</f>
        <v>0</v>
      </c>
      <c r="J24" s="1168">
        <f t="shared" ref="J24:J29" si="3">SUM(G24:I24)</f>
        <v>0</v>
      </c>
      <c r="K24" s="7"/>
      <c r="L24" s="9">
        <f t="shared" ref="L24:L29" si="4">J24+E24</f>
        <v>16</v>
      </c>
    </row>
    <row r="25" spans="1:12" ht="13.5" customHeight="1" x14ac:dyDescent="0.2">
      <c r="A25" s="9" t="s">
        <v>1020</v>
      </c>
      <c r="B25" s="519">
        <f>GETPIVOTDATA("Sum of Female",T_14!$A$22,"who","Non FRS personnel","Pub_injury_withchecks","3Overcome by gas, smoke or toxic fumes")</f>
        <v>306</v>
      </c>
      <c r="C25" s="520">
        <f>GETPIVOTDATA("Sum of Male",T_14!$A$22,"who","Non FRS personnel","Pub_injury_withchecks","3Overcome by gas, smoke or toxic fumes")</f>
        <v>345</v>
      </c>
      <c r="D25" s="520">
        <f>SUM(T_14!I27:J27)</f>
        <v>8</v>
      </c>
      <c r="E25" s="9">
        <f t="shared" si="2"/>
        <v>659</v>
      </c>
      <c r="F25" s="7"/>
      <c r="G25" s="519">
        <f>GETPIVOTDATA("Sum of Female",T_14!$A$22,"who","FRS personnel","Pub_injury_withchecks","3Overcome by gas, smoke or toxic fumes")</f>
        <v>0</v>
      </c>
      <c r="H25" s="520">
        <f>GETPIVOTDATA("Sum of Male",T_14!$A$22,"who","FRS personnel","Pub_injury_withchecks","3Overcome by gas, smoke or toxic fumes")</f>
        <v>0</v>
      </c>
      <c r="I25" s="520">
        <f>SUM(T_14!D27:E27)</f>
        <v>0</v>
      </c>
      <c r="J25" s="1168">
        <f t="shared" si="3"/>
        <v>0</v>
      </c>
      <c r="K25" s="7"/>
      <c r="L25" s="9">
        <f t="shared" si="4"/>
        <v>659</v>
      </c>
    </row>
    <row r="26" spans="1:12" ht="13.5" customHeight="1" x14ac:dyDescent="0.2">
      <c r="A26" s="1176" t="s">
        <v>1021</v>
      </c>
      <c r="B26" s="519">
        <f>GETPIVOTDATA("Sum of Female",T_14!$A$22,"who","Non FRS personnel","Pub_injury_withchecks","4Physical injuries")</f>
        <v>15</v>
      </c>
      <c r="C26" s="520">
        <f>GETPIVOTDATA("Sum of Male",T_14!$A$22,"who","Non FRS personnel","Pub_injury_withchecks","4Physical injuries")</f>
        <v>20</v>
      </c>
      <c r="D26" s="520">
        <f>SUM(T_14!I28:J28)</f>
        <v>0</v>
      </c>
      <c r="E26" s="9">
        <f t="shared" si="2"/>
        <v>35</v>
      </c>
      <c r="F26" s="7"/>
      <c r="G26" s="519">
        <f>GETPIVOTDATA("Sum of Female",T_14!$A$22,"who","FRS personnel","Pub_injury_withchecks","4Physical injuries")</f>
        <v>1</v>
      </c>
      <c r="H26" s="520">
        <f>GETPIVOTDATA("Sum of Male",T_14!$A$22,"who","FRS personnel","Pub_injury_withchecks","4Physical injuries")</f>
        <v>12</v>
      </c>
      <c r="I26" s="520">
        <f>SUM(T_14!D28:E28)</f>
        <v>0</v>
      </c>
      <c r="J26" s="1168">
        <f t="shared" si="3"/>
        <v>13</v>
      </c>
      <c r="K26" s="7"/>
      <c r="L26" s="9">
        <f t="shared" si="4"/>
        <v>48</v>
      </c>
    </row>
    <row r="27" spans="1:12" ht="13.5" customHeight="1" x14ac:dyDescent="0.2">
      <c r="A27" s="764" t="s">
        <v>1024</v>
      </c>
      <c r="B27" s="519">
        <f>GETPIVOTDATA("Sum of Female",T_14!$A$22,"who","Non FRS personnel","Pub_injury_withchecks","5Shock")</f>
        <v>8</v>
      </c>
      <c r="C27" s="520">
        <f>GETPIVOTDATA("Sum of Male",T_14!$A$22,"who","Non FRS personnel","Pub_injury_withchecks","5Shock")</f>
        <v>9</v>
      </c>
      <c r="D27" s="520">
        <f>SUM(T_14!I29:J29)</f>
        <v>0</v>
      </c>
      <c r="E27" s="9">
        <f t="shared" si="2"/>
        <v>17</v>
      </c>
      <c r="F27" s="7"/>
      <c r="G27" s="519">
        <f>GETPIVOTDATA("Sum of Female",T_14!$A$22,"who","FRS personnel","Pub_injury_withchecks","5Shock")</f>
        <v>0</v>
      </c>
      <c r="H27" s="520">
        <f>GETPIVOTDATA("Sum of Male",T_14!$A$22,"who","FRS personnel","Pub_injury_withchecks","5Shock")</f>
        <v>0</v>
      </c>
      <c r="I27" s="520">
        <f>SUM(T_14!D29:E29)</f>
        <v>0</v>
      </c>
      <c r="J27" s="1168">
        <f t="shared" si="3"/>
        <v>0</v>
      </c>
      <c r="K27" s="7"/>
      <c r="L27" s="9">
        <f t="shared" si="4"/>
        <v>17</v>
      </c>
    </row>
    <row r="28" spans="1:12" ht="13.5" customHeight="1" x14ac:dyDescent="0.2">
      <c r="A28" s="764" t="s">
        <v>1022</v>
      </c>
      <c r="B28" s="519">
        <f>GETPIVOTDATA("Sum of Female",T_14!$A$22,"who","Non FRS personnel","Pub_injury_withchecks","6Other specified")</f>
        <v>67</v>
      </c>
      <c r="C28" s="520">
        <f>GETPIVOTDATA("Sum of Male",T_14!$A$22,"who","Non FRS personnel","Pub_injury_withchecks","6Other specified")</f>
        <v>74</v>
      </c>
      <c r="D28" s="520">
        <f>SUM(T_14!I30:J30)</f>
        <v>0</v>
      </c>
      <c r="E28" s="9">
        <f t="shared" si="2"/>
        <v>141</v>
      </c>
      <c r="F28" s="7"/>
      <c r="G28" s="519">
        <f>GETPIVOTDATA("Sum of Female",T_14!$A$22,"who","FRS personnel","Pub_injury_withchecks","6Other specified")</f>
        <v>0</v>
      </c>
      <c r="H28" s="520">
        <f>GETPIVOTDATA("Sum of Male",T_14!$A$22,"who","FRS personnel","Pub_injury_withchecks","6Other specified")</f>
        <v>6</v>
      </c>
      <c r="I28" s="520">
        <f>SUM(T_14!D30:E30)</f>
        <v>1</v>
      </c>
      <c r="J28" s="1168">
        <f t="shared" si="3"/>
        <v>7</v>
      </c>
      <c r="K28" s="7"/>
      <c r="L28" s="9">
        <f t="shared" si="4"/>
        <v>148</v>
      </c>
    </row>
    <row r="29" spans="1:12" ht="13.5" customHeight="1" x14ac:dyDescent="0.2">
      <c r="A29" s="1486" t="s">
        <v>1023</v>
      </c>
      <c r="B29" s="519">
        <f>GETPIVOTDATA("Sum of Female",T_14!$A$22,"who","Non FRS personnel","Pub_injury_withchecks","8Other/Not known")</f>
        <v>41</v>
      </c>
      <c r="C29" s="520">
        <f>GETPIVOTDATA("Sum of Male",T_14!$A$22,"who","Non FRS personnel","Pub_injury_withchecks","8Other/Not known")</f>
        <v>61</v>
      </c>
      <c r="D29" s="520">
        <f>SUM(T_14!I31:J31)</f>
        <v>2</v>
      </c>
      <c r="E29" s="9">
        <f t="shared" si="2"/>
        <v>104</v>
      </c>
      <c r="F29" s="7"/>
      <c r="G29" s="519">
        <f>GETPIVOTDATA("Sum of Female",T_14!$A$22,"who","FRS personnel","Pub_injury_withchecks","8Other/Not known")</f>
        <v>0</v>
      </c>
      <c r="H29" s="520">
        <f>GETPIVOTDATA("Sum of Male",T_14!$A$22,"who","FRS personnel","Pub_injury_withchecks","8Other/Not known")</f>
        <v>1</v>
      </c>
      <c r="I29" s="520">
        <f>SUM(T_14!D31:E31)</f>
        <v>2</v>
      </c>
      <c r="J29" s="1168">
        <f t="shared" si="3"/>
        <v>3</v>
      </c>
      <c r="K29" s="7"/>
      <c r="L29" s="9">
        <f t="shared" si="4"/>
        <v>107</v>
      </c>
    </row>
    <row r="30" spans="1:12" x14ac:dyDescent="0.2">
      <c r="A30" s="1176"/>
      <c r="B30" s="6"/>
      <c r="C30" s="7"/>
      <c r="D30" s="137"/>
      <c r="E30" s="8"/>
      <c r="F30" s="7"/>
      <c r="G30" s="363"/>
      <c r="H30" s="7"/>
      <c r="I30" s="137"/>
      <c r="J30" s="500"/>
      <c r="K30" s="7"/>
      <c r="L30" s="9"/>
    </row>
    <row r="31" spans="1:12" ht="30" customHeight="1" x14ac:dyDescent="0.2">
      <c r="A31" s="1169" t="s">
        <v>11</v>
      </c>
      <c r="B31" s="97">
        <f>SUM(B23:B29)</f>
        <v>479</v>
      </c>
      <c r="C31" s="98">
        <f t="shared" ref="C31:D31" si="5">SUM(C23:C29)</f>
        <v>596</v>
      </c>
      <c r="D31" s="99">
        <f t="shared" si="5"/>
        <v>11</v>
      </c>
      <c r="E31" s="100">
        <f>SUM(E23:E29)</f>
        <v>1086</v>
      </c>
      <c r="F31" s="149"/>
      <c r="G31" s="1177">
        <f>SUM(G23:G29)</f>
        <v>1</v>
      </c>
      <c r="H31" s="1178">
        <f t="shared" ref="H31:J31" si="6">SUM(H23:H29)</f>
        <v>22</v>
      </c>
      <c r="I31" s="1179">
        <f t="shared" si="6"/>
        <v>4</v>
      </c>
      <c r="J31" s="673">
        <f t="shared" si="6"/>
        <v>27</v>
      </c>
      <c r="K31" s="149"/>
      <c r="L31" s="100">
        <f>SUM(L23:L29)</f>
        <v>1113</v>
      </c>
    </row>
    <row r="32" spans="1:12" x14ac:dyDescent="0.2">
      <c r="A32" s="1"/>
      <c r="B32" s="1"/>
      <c r="C32" s="1"/>
      <c r="D32" s="1"/>
      <c r="E32" s="1"/>
      <c r="F32" s="1"/>
      <c r="G32" s="1"/>
      <c r="H32" s="1"/>
      <c r="I32" s="1"/>
      <c r="J32" s="1"/>
      <c r="K32" s="1"/>
      <c r="L32" s="1"/>
    </row>
    <row r="33" spans="1:18" x14ac:dyDescent="0.2">
      <c r="A33" s="13" t="s">
        <v>162</v>
      </c>
      <c r="B33" s="1"/>
      <c r="C33" s="1"/>
      <c r="D33" s="1"/>
      <c r="E33" s="1"/>
      <c r="F33" s="1"/>
      <c r="G33" s="1"/>
      <c r="H33" s="1"/>
      <c r="I33" s="1"/>
      <c r="J33" s="1"/>
      <c r="K33" s="1"/>
      <c r="L33" s="1"/>
    </row>
    <row r="34" spans="1:18" x14ac:dyDescent="0.2">
      <c r="A34" s="122" t="s">
        <v>963</v>
      </c>
      <c r="B34" s="122"/>
      <c r="C34" s="122"/>
      <c r="D34" s="122"/>
      <c r="E34" s="122"/>
      <c r="F34" s="122"/>
      <c r="G34" s="122"/>
      <c r="H34" s="122"/>
      <c r="I34" s="122"/>
      <c r="J34" s="122"/>
      <c r="K34" s="122"/>
      <c r="L34" s="1"/>
    </row>
    <row r="35" spans="1:18" x14ac:dyDescent="0.2">
      <c r="A35" s="1" t="s">
        <v>802</v>
      </c>
      <c r="B35" s="1"/>
      <c r="C35" s="1"/>
      <c r="D35" s="1"/>
      <c r="E35" s="1"/>
      <c r="F35" s="1"/>
      <c r="G35" s="1"/>
      <c r="H35" s="1"/>
      <c r="I35" s="1"/>
      <c r="J35" s="1"/>
      <c r="K35" s="1"/>
      <c r="L35" s="1"/>
    </row>
    <row r="36" spans="1:18" ht="25.5" customHeight="1" x14ac:dyDescent="0.2">
      <c r="A36" s="1672" t="s">
        <v>964</v>
      </c>
      <c r="B36" s="1672"/>
      <c r="C36" s="1672"/>
      <c r="D36" s="1672"/>
      <c r="E36" s="1672"/>
      <c r="F36" s="1672"/>
      <c r="G36" s="1672"/>
      <c r="H36" s="1672"/>
      <c r="I36" s="1672"/>
      <c r="J36" s="1672"/>
      <c r="K36" s="1672"/>
      <c r="L36" s="1672"/>
      <c r="M36" s="122"/>
      <c r="N36" s="122"/>
      <c r="O36" s="122"/>
      <c r="P36" s="122"/>
      <c r="Q36" s="122"/>
      <c r="R36" s="122"/>
    </row>
    <row r="37" spans="1:18" ht="25.5" customHeight="1" x14ac:dyDescent="0.2">
      <c r="A37" s="1654" t="s">
        <v>1034</v>
      </c>
      <c r="B37" s="1654"/>
      <c r="C37" s="1654"/>
      <c r="D37" s="1654"/>
      <c r="E37" s="1654"/>
      <c r="F37" s="1654"/>
      <c r="G37" s="1654"/>
      <c r="H37" s="1654"/>
      <c r="I37" s="1654"/>
      <c r="J37" s="1654"/>
      <c r="K37" s="1654"/>
      <c r="L37" s="1654"/>
    </row>
    <row r="38" spans="1:18" ht="12.75" customHeight="1" x14ac:dyDescent="0.2">
      <c r="A38" s="1563"/>
      <c r="B38" s="1514"/>
      <c r="C38" s="1514"/>
      <c r="D38" s="1514"/>
      <c r="E38" s="1514"/>
      <c r="F38" s="1514"/>
      <c r="G38" s="1514"/>
      <c r="H38" s="1514"/>
      <c r="I38" s="1514"/>
      <c r="J38" s="1514"/>
      <c r="K38" s="1514"/>
      <c r="L38" s="1514"/>
    </row>
    <row r="39" spans="1:18" ht="38.25" customHeight="1" x14ac:dyDescent="0.2">
      <c r="A39" s="1653" t="s">
        <v>784</v>
      </c>
      <c r="B39" s="1653"/>
      <c r="C39" s="1653"/>
      <c r="D39" s="1653"/>
      <c r="E39" s="1653"/>
      <c r="F39" s="467"/>
      <c r="G39" s="467"/>
      <c r="H39" s="467"/>
      <c r="I39" s="7"/>
      <c r="J39" s="1"/>
      <c r="K39" s="1"/>
      <c r="L39" s="1"/>
    </row>
    <row r="40" spans="1:18" ht="15" x14ac:dyDescent="0.25">
      <c r="A40" s="1"/>
      <c r="B40" s="7"/>
      <c r="C40" s="7"/>
      <c r="D40" s="7"/>
      <c r="E40" s="7"/>
      <c r="F40" s="7"/>
      <c r="G40" s="7"/>
      <c r="H40" s="7"/>
      <c r="I40" s="515"/>
      <c r="J40" s="234"/>
      <c r="K40" s="1"/>
      <c r="L40" s="234" t="s">
        <v>0</v>
      </c>
    </row>
    <row r="41" spans="1:18" x14ac:dyDescent="0.2">
      <c r="A41" s="2"/>
      <c r="B41" s="1650" t="s">
        <v>880</v>
      </c>
      <c r="C41" s="1651"/>
      <c r="D41" s="1651"/>
      <c r="E41" s="1652"/>
      <c r="F41" s="101"/>
      <c r="G41" s="1730" t="s">
        <v>185</v>
      </c>
      <c r="H41" s="1731"/>
      <c r="I41" s="1731"/>
      <c r="J41" s="1732"/>
      <c r="K41" s="101"/>
      <c r="L41" s="1637" t="s">
        <v>55</v>
      </c>
    </row>
    <row r="42" spans="1:18" ht="26.25" customHeight="1" x14ac:dyDescent="0.2">
      <c r="A42" s="52" t="s">
        <v>193</v>
      </c>
      <c r="B42" s="779" t="s">
        <v>180</v>
      </c>
      <c r="C42" s="779" t="s">
        <v>181</v>
      </c>
      <c r="D42" s="102" t="s">
        <v>182</v>
      </c>
      <c r="E42" s="779" t="s">
        <v>11</v>
      </c>
      <c r="F42" s="101"/>
      <c r="G42" s="782" t="s">
        <v>180</v>
      </c>
      <c r="H42" s="783" t="s">
        <v>181</v>
      </c>
      <c r="I42" s="767" t="s">
        <v>183</v>
      </c>
      <c r="J42" s="783" t="s">
        <v>11</v>
      </c>
      <c r="K42" s="101"/>
      <c r="L42" s="1729"/>
    </row>
    <row r="43" spans="1:18" ht="18.75" customHeight="1" x14ac:dyDescent="0.2">
      <c r="A43" s="501" t="s">
        <v>1026</v>
      </c>
      <c r="B43" s="519">
        <f>T_14!B41</f>
        <v>100</v>
      </c>
      <c r="C43" s="520">
        <f>T_14!C41</f>
        <v>123</v>
      </c>
      <c r="D43" s="521">
        <f>SUM(T_14!D41:E41)</f>
        <v>2</v>
      </c>
      <c r="E43" s="530">
        <f>SUM(B43:D43)</f>
        <v>225</v>
      </c>
      <c r="F43" s="33"/>
      <c r="G43" s="523">
        <f>T_14!F41</f>
        <v>1</v>
      </c>
      <c r="H43" s="524">
        <f>T_14!G41</f>
        <v>5</v>
      </c>
      <c r="I43" s="1323">
        <f>SUM(T_14!H41:I41)</f>
        <v>3</v>
      </c>
      <c r="J43" s="525">
        <f>SUM(G43:I43)</f>
        <v>9</v>
      </c>
      <c r="K43" s="33"/>
      <c r="L43" s="29">
        <f>J43+E43</f>
        <v>234</v>
      </c>
    </row>
    <row r="44" spans="1:18" ht="13.5" customHeight="1" x14ac:dyDescent="0.2">
      <c r="A44" s="501" t="s">
        <v>1027</v>
      </c>
      <c r="B44" s="519">
        <f>T_14!B42</f>
        <v>207</v>
      </c>
      <c r="C44" s="508">
        <f>T_14!C42</f>
        <v>241</v>
      </c>
      <c r="D44" s="521">
        <f>SUM(T_14!D42:E42)</f>
        <v>7</v>
      </c>
      <c r="E44" s="530">
        <f t="shared" ref="E44:E46" si="7">SUM(B44:D44)</f>
        <v>455</v>
      </c>
      <c r="F44" s="33"/>
      <c r="G44" s="519">
        <f>T_14!F42</f>
        <v>0</v>
      </c>
      <c r="H44" s="520">
        <f>T_14!G42</f>
        <v>6</v>
      </c>
      <c r="I44" s="520">
        <f>SUM(T_14!H42:I42)</f>
        <v>1</v>
      </c>
      <c r="J44" s="489">
        <f t="shared" ref="J44:J46" si="8">SUM(G44:I44)</f>
        <v>7</v>
      </c>
      <c r="K44" s="33"/>
      <c r="L44" s="29">
        <f t="shared" ref="L44:L46" si="9">J44+E44</f>
        <v>462</v>
      </c>
    </row>
    <row r="45" spans="1:18" ht="13.5" customHeight="1" x14ac:dyDescent="0.2">
      <c r="A45" s="499" t="s">
        <v>1028</v>
      </c>
      <c r="B45" s="519">
        <f>T_14!B43</f>
        <v>157</v>
      </c>
      <c r="C45" s="508">
        <f>T_14!C43</f>
        <v>185</v>
      </c>
      <c r="D45" s="521">
        <f>SUM(T_14!D43:E43)</f>
        <v>2</v>
      </c>
      <c r="E45" s="530">
        <f t="shared" si="7"/>
        <v>344</v>
      </c>
      <c r="F45" s="33"/>
      <c r="G45" s="519">
        <f>T_14!F43</f>
        <v>0</v>
      </c>
      <c r="H45" s="520">
        <f>T_14!G43</f>
        <v>10</v>
      </c>
      <c r="I45" s="520">
        <f>SUM(T_14!H43:I43)</f>
        <v>0</v>
      </c>
      <c r="J45" s="489">
        <f t="shared" si="8"/>
        <v>10</v>
      </c>
      <c r="K45" s="33"/>
      <c r="L45" s="29">
        <f t="shared" si="9"/>
        <v>354</v>
      </c>
    </row>
    <row r="46" spans="1:18" ht="13.5" customHeight="1" x14ac:dyDescent="0.2">
      <c r="A46" s="499" t="s">
        <v>1029</v>
      </c>
      <c r="B46" s="519">
        <f>T_14!B44</f>
        <v>15</v>
      </c>
      <c r="C46" s="508">
        <f>T_14!C44</f>
        <v>47</v>
      </c>
      <c r="D46" s="521">
        <f>SUM(T_14!D44:E44)</f>
        <v>0</v>
      </c>
      <c r="E46" s="530">
        <f t="shared" si="7"/>
        <v>62</v>
      </c>
      <c r="F46" s="33"/>
      <c r="G46" s="519">
        <f>T_14!F44</f>
        <v>0</v>
      </c>
      <c r="H46" s="520">
        <f>T_14!G44</f>
        <v>1</v>
      </c>
      <c r="I46" s="520">
        <f>SUM(T_14!H44:I44)</f>
        <v>0</v>
      </c>
      <c r="J46" s="489">
        <f t="shared" si="8"/>
        <v>1</v>
      </c>
      <c r="K46" s="33"/>
      <c r="L46" s="29">
        <f t="shared" si="9"/>
        <v>63</v>
      </c>
    </row>
    <row r="47" spans="1:18" x14ac:dyDescent="0.2">
      <c r="A47" s="499"/>
      <c r="B47" s="36"/>
      <c r="C47" s="41"/>
      <c r="D47" s="37"/>
      <c r="E47" s="37"/>
      <c r="F47" s="33"/>
      <c r="G47" s="519"/>
      <c r="H47" s="520"/>
      <c r="I47" s="520"/>
      <c r="J47" s="490"/>
      <c r="K47" s="33"/>
      <c r="L47" s="29"/>
    </row>
    <row r="48" spans="1:18" ht="30" customHeight="1" x14ac:dyDescent="0.2">
      <c r="A48" s="204" t="s">
        <v>11</v>
      </c>
      <c r="B48" s="128">
        <f>SUM(B43:B46)</f>
        <v>479</v>
      </c>
      <c r="C48" s="168">
        <f t="shared" ref="C48:E48" si="10">SUM(C43:C46)</f>
        <v>596</v>
      </c>
      <c r="D48" s="235">
        <f t="shared" si="10"/>
        <v>11</v>
      </c>
      <c r="E48" s="219">
        <f t="shared" si="10"/>
        <v>1086</v>
      </c>
      <c r="F48" s="123"/>
      <c r="G48" s="526">
        <f>SUM(G43:G46)</f>
        <v>1</v>
      </c>
      <c r="H48" s="527">
        <f t="shared" ref="H48:J48" si="11">SUM(H43:H46)</f>
        <v>22</v>
      </c>
      <c r="I48" s="528">
        <f t="shared" si="11"/>
        <v>4</v>
      </c>
      <c r="J48" s="981">
        <f t="shared" si="11"/>
        <v>27</v>
      </c>
      <c r="K48" s="123"/>
      <c r="L48" s="219">
        <f>SUM(L43:L46)</f>
        <v>1113</v>
      </c>
    </row>
    <row r="49" spans="1:13" x14ac:dyDescent="0.2">
      <c r="A49" s="2"/>
      <c r="B49" s="34"/>
      <c r="C49" s="34"/>
      <c r="D49" s="34"/>
      <c r="E49" s="34"/>
      <c r="F49" s="2"/>
      <c r="G49" s="2"/>
      <c r="H49" s="2"/>
      <c r="I49" s="2"/>
      <c r="J49" s="2"/>
      <c r="K49" s="2"/>
      <c r="L49" s="2"/>
      <c r="M49" s="2"/>
    </row>
    <row r="50" spans="1:13" x14ac:dyDescent="0.2">
      <c r="A50" s="13" t="s">
        <v>162</v>
      </c>
      <c r="B50" s="1"/>
      <c r="C50" s="1"/>
      <c r="D50" s="1"/>
      <c r="E50" s="1"/>
      <c r="F50" s="1"/>
      <c r="G50" s="1"/>
      <c r="H50" s="1"/>
      <c r="I50" s="1"/>
      <c r="J50" s="1"/>
      <c r="K50" s="1"/>
      <c r="L50" s="1"/>
    </row>
    <row r="51" spans="1:13" ht="13.5" customHeight="1" x14ac:dyDescent="0.2">
      <c r="A51" s="1649" t="s">
        <v>963</v>
      </c>
      <c r="B51" s="1649"/>
      <c r="C51" s="1649"/>
      <c r="D51" s="1649"/>
      <c r="E51" s="1649"/>
      <c r="F51" s="1649"/>
      <c r="G51" s="1649"/>
      <c r="H51" s="1649"/>
      <c r="I51" s="1649"/>
      <c r="J51" s="1649"/>
      <c r="K51" s="1649"/>
      <c r="L51" s="67"/>
    </row>
    <row r="52" spans="1:13" ht="13.5" customHeight="1" x14ac:dyDescent="0.2">
      <c r="A52" s="1"/>
      <c r="B52" s="1"/>
      <c r="C52" s="1"/>
      <c r="D52" s="1"/>
      <c r="E52" s="1"/>
      <c r="F52" s="1"/>
      <c r="G52" s="1"/>
      <c r="H52" s="1"/>
      <c r="I52" s="1"/>
      <c r="J52" s="1"/>
      <c r="K52" s="1"/>
      <c r="L52" s="1"/>
    </row>
    <row r="53" spans="1:13" ht="13.5" customHeight="1" x14ac:dyDescent="0.2">
      <c r="A53" s="1728" t="s">
        <v>169</v>
      </c>
      <c r="B53" s="1728"/>
      <c r="C53" s="1728"/>
      <c r="D53" s="1728"/>
      <c r="E53" s="1728"/>
      <c r="F53" s="1728"/>
      <c r="G53" s="1728"/>
      <c r="H53" s="1728"/>
      <c r="I53" s="1728"/>
      <c r="J53" s="1728"/>
      <c r="K53" s="1728"/>
      <c r="L53" s="1728"/>
    </row>
  </sheetData>
  <sheetProtection algorithmName="SHA-512" hashValue="HfldAJdVQI4UdMge53+kE28BqW32TBqcy0KOfo11sceCOVkypt/xzyukCIuCJitxg9GusP2aU8HWgB2Ku65H2w==" saltValue="K7jIFaABIivfEjyc0Zt5CQ==" spinCount="100000" sheet="1" objects="1" scenarios="1"/>
  <mergeCells count="17">
    <mergeCell ref="A53:L53"/>
    <mergeCell ref="I3:I4"/>
    <mergeCell ref="L41:L42"/>
    <mergeCell ref="B41:E41"/>
    <mergeCell ref="G41:J41"/>
    <mergeCell ref="A19:E19"/>
    <mergeCell ref="A39:E39"/>
    <mergeCell ref="A51:K51"/>
    <mergeCell ref="L21:L22"/>
    <mergeCell ref="G21:J21"/>
    <mergeCell ref="A3:A4"/>
    <mergeCell ref="A21:A22"/>
    <mergeCell ref="B3:E3"/>
    <mergeCell ref="B21:E21"/>
    <mergeCell ref="A1:D1"/>
    <mergeCell ref="A37:L37"/>
    <mergeCell ref="A36:L36"/>
  </mergeCells>
  <hyperlinks>
    <hyperlink ref="A53:L53" location="Contents!A1" display="Return to contents" xr:uid="{00000000-0004-0000-4500-000000000000}"/>
  </hyperlinks>
  <pageMargins left="0.7" right="0.7" top="0.75" bottom="0.75" header="0.3" footer="0.3"/>
  <pageSetup paperSize="9" scale="51" fitToHeight="0" orientation="portrait" r:id="rId1"/>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2"/>
  <dimension ref="A2:K45"/>
  <sheetViews>
    <sheetView topLeftCell="A16" workbookViewId="0">
      <selection activeCell="B40" sqref="B40"/>
    </sheetView>
  </sheetViews>
  <sheetFormatPr defaultRowHeight="12.75" x14ac:dyDescent="0.2"/>
  <cols>
    <col min="1" max="1" width="46.85546875" customWidth="1"/>
    <col min="2" max="2" width="33" customWidth="1"/>
    <col min="3" max="3" width="30.5703125" customWidth="1"/>
    <col min="4" max="4" width="35.85546875" customWidth="1"/>
    <col min="5" max="5" width="38.140625" customWidth="1"/>
    <col min="6" max="6" width="28.7109375" customWidth="1"/>
    <col min="7" max="7" width="26.28515625" customWidth="1"/>
    <col min="8" max="8" width="31.5703125" customWidth="1"/>
    <col min="9" max="9" width="33.85546875" customWidth="1"/>
    <col min="10" max="10" width="20" bestFit="1" customWidth="1"/>
    <col min="11" max="11" width="21.5703125" bestFit="1" customWidth="1"/>
    <col min="12" max="12" width="20.28515625" bestFit="1" customWidth="1"/>
    <col min="13" max="13" width="17.85546875" bestFit="1" customWidth="1"/>
    <col min="14" max="14" width="23.140625" bestFit="1" customWidth="1"/>
    <col min="15" max="15" width="25.28515625" bestFit="1" customWidth="1"/>
    <col min="16" max="16" width="26.85546875" bestFit="1" customWidth="1"/>
  </cols>
  <sheetData>
    <row r="2" spans="1:5" x14ac:dyDescent="0.2">
      <c r="A2" s="1300" t="s">
        <v>4</v>
      </c>
      <c r="B2" t="s">
        <v>603</v>
      </c>
    </row>
    <row r="4" spans="1:5" x14ac:dyDescent="0.2">
      <c r="B4" s="1300" t="s">
        <v>670</v>
      </c>
    </row>
    <row r="5" spans="1:5" x14ac:dyDescent="0.2">
      <c r="B5" t="s">
        <v>785</v>
      </c>
    </row>
    <row r="6" spans="1:5" x14ac:dyDescent="0.2">
      <c r="A6" s="1300" t="s">
        <v>658</v>
      </c>
      <c r="B6" t="s">
        <v>786</v>
      </c>
      <c r="C6" t="s">
        <v>787</v>
      </c>
      <c r="D6" t="s">
        <v>791</v>
      </c>
      <c r="E6" t="s">
        <v>790</v>
      </c>
    </row>
    <row r="7" spans="1:5" x14ac:dyDescent="0.2">
      <c r="A7" s="1301" t="s">
        <v>184</v>
      </c>
      <c r="B7">
        <v>6</v>
      </c>
      <c r="C7">
        <v>9</v>
      </c>
      <c r="E7">
        <v>15</v>
      </c>
    </row>
    <row r="8" spans="1:5" x14ac:dyDescent="0.2">
      <c r="A8" s="1301" t="s">
        <v>788</v>
      </c>
      <c r="C8">
        <v>2</v>
      </c>
      <c r="E8">
        <v>2</v>
      </c>
    </row>
    <row r="9" spans="1:5" x14ac:dyDescent="0.2">
      <c r="A9" s="1301" t="s">
        <v>789</v>
      </c>
      <c r="B9">
        <v>9</v>
      </c>
      <c r="C9">
        <v>7</v>
      </c>
      <c r="E9">
        <v>16</v>
      </c>
    </row>
    <row r="10" spans="1:5" x14ac:dyDescent="0.2">
      <c r="A10" s="1301" t="s">
        <v>194</v>
      </c>
      <c r="C10">
        <v>1</v>
      </c>
      <c r="E10">
        <v>1</v>
      </c>
    </row>
    <row r="11" spans="1:5" x14ac:dyDescent="0.2">
      <c r="A11" s="1301" t="s">
        <v>228</v>
      </c>
      <c r="B11">
        <v>3</v>
      </c>
      <c r="C11">
        <v>7</v>
      </c>
      <c r="E11">
        <v>10</v>
      </c>
    </row>
    <row r="12" spans="1:5" x14ac:dyDescent="0.2">
      <c r="A12" s="1301" t="s">
        <v>666</v>
      </c>
      <c r="B12">
        <v>18</v>
      </c>
      <c r="C12">
        <v>26</v>
      </c>
      <c r="E12">
        <v>44</v>
      </c>
    </row>
    <row r="20" spans="1:11" x14ac:dyDescent="0.2">
      <c r="A20" s="1300" t="s">
        <v>4</v>
      </c>
      <c r="B20" t="s">
        <v>603</v>
      </c>
    </row>
    <row r="22" spans="1:11" x14ac:dyDescent="0.2">
      <c r="B22" s="1300" t="s">
        <v>670</v>
      </c>
    </row>
    <row r="23" spans="1:11" x14ac:dyDescent="0.2">
      <c r="B23" t="s">
        <v>792</v>
      </c>
      <c r="G23" t="s">
        <v>785</v>
      </c>
    </row>
    <row r="24" spans="1:11" x14ac:dyDescent="0.2">
      <c r="A24" s="1300" t="s">
        <v>658</v>
      </c>
      <c r="B24" t="s">
        <v>786</v>
      </c>
      <c r="C24" t="s">
        <v>787</v>
      </c>
      <c r="D24" t="s">
        <v>791</v>
      </c>
      <c r="E24" t="s">
        <v>793</v>
      </c>
      <c r="F24" t="s">
        <v>794</v>
      </c>
      <c r="G24" t="s">
        <v>786</v>
      </c>
      <c r="H24" t="s">
        <v>787</v>
      </c>
      <c r="I24" t="s">
        <v>791</v>
      </c>
      <c r="J24" t="s">
        <v>793</v>
      </c>
      <c r="K24" t="s">
        <v>794</v>
      </c>
    </row>
    <row r="25" spans="1:11" x14ac:dyDescent="0.2">
      <c r="A25" s="1301" t="s">
        <v>795</v>
      </c>
      <c r="C25">
        <v>3</v>
      </c>
      <c r="E25">
        <v>1</v>
      </c>
      <c r="F25">
        <v>4</v>
      </c>
      <c r="G25">
        <v>32</v>
      </c>
      <c r="H25">
        <v>81</v>
      </c>
      <c r="I25">
        <v>1</v>
      </c>
      <c r="K25">
        <v>114</v>
      </c>
    </row>
    <row r="26" spans="1:11" x14ac:dyDescent="0.2">
      <c r="A26" s="1301" t="s">
        <v>796</v>
      </c>
      <c r="G26">
        <v>10</v>
      </c>
      <c r="H26">
        <v>6</v>
      </c>
      <c r="K26">
        <v>16</v>
      </c>
    </row>
    <row r="27" spans="1:11" x14ac:dyDescent="0.2">
      <c r="A27" s="1301" t="s">
        <v>797</v>
      </c>
      <c r="G27">
        <v>306</v>
      </c>
      <c r="H27">
        <v>345</v>
      </c>
      <c r="I27">
        <v>8</v>
      </c>
      <c r="K27">
        <v>659</v>
      </c>
    </row>
    <row r="28" spans="1:11" x14ac:dyDescent="0.2">
      <c r="A28" s="1301" t="s">
        <v>798</v>
      </c>
      <c r="B28">
        <v>1</v>
      </c>
      <c r="C28">
        <v>12</v>
      </c>
      <c r="F28">
        <v>13</v>
      </c>
      <c r="G28">
        <v>15</v>
      </c>
      <c r="H28">
        <v>20</v>
      </c>
      <c r="K28">
        <v>35</v>
      </c>
    </row>
    <row r="29" spans="1:11" x14ac:dyDescent="0.2">
      <c r="A29" s="1301" t="s">
        <v>799</v>
      </c>
      <c r="G29">
        <v>8</v>
      </c>
      <c r="H29">
        <v>9</v>
      </c>
      <c r="K29">
        <v>17</v>
      </c>
    </row>
    <row r="30" spans="1:11" x14ac:dyDescent="0.2">
      <c r="A30" s="1301" t="s">
        <v>800</v>
      </c>
      <c r="C30">
        <v>6</v>
      </c>
      <c r="D30">
        <v>1</v>
      </c>
      <c r="F30">
        <v>7</v>
      </c>
      <c r="G30">
        <v>67</v>
      </c>
      <c r="H30">
        <v>74</v>
      </c>
      <c r="K30">
        <v>141</v>
      </c>
    </row>
    <row r="31" spans="1:11" x14ac:dyDescent="0.2">
      <c r="A31" s="1301" t="s">
        <v>801</v>
      </c>
      <c r="C31">
        <v>1</v>
      </c>
      <c r="D31">
        <v>2</v>
      </c>
      <c r="F31">
        <v>3</v>
      </c>
      <c r="G31">
        <v>41</v>
      </c>
      <c r="H31">
        <v>61</v>
      </c>
      <c r="I31">
        <v>1</v>
      </c>
      <c r="J31">
        <v>1</v>
      </c>
      <c r="K31">
        <v>104</v>
      </c>
    </row>
    <row r="32" spans="1:11" x14ac:dyDescent="0.2">
      <c r="A32" s="1301" t="s">
        <v>666</v>
      </c>
      <c r="B32">
        <v>1</v>
      </c>
      <c r="C32">
        <v>22</v>
      </c>
      <c r="D32">
        <v>3</v>
      </c>
      <c r="E32">
        <v>1</v>
      </c>
      <c r="F32">
        <v>27</v>
      </c>
      <c r="G32">
        <v>479</v>
      </c>
      <c r="H32">
        <v>596</v>
      </c>
      <c r="I32">
        <v>10</v>
      </c>
      <c r="J32">
        <v>1</v>
      </c>
      <c r="K32">
        <v>1086</v>
      </c>
    </row>
    <row r="38" spans="1:9" x14ac:dyDescent="0.2">
      <c r="A38" s="1300" t="s">
        <v>4</v>
      </c>
      <c r="B38" t="s">
        <v>603</v>
      </c>
    </row>
    <row r="40" spans="1:9" x14ac:dyDescent="0.2">
      <c r="A40" s="1300" t="s">
        <v>658</v>
      </c>
      <c r="B40" t="s">
        <v>811</v>
      </c>
      <c r="C40" t="s">
        <v>812</v>
      </c>
      <c r="D40" t="s">
        <v>813</v>
      </c>
      <c r="E40" t="s">
        <v>814</v>
      </c>
      <c r="F40" t="s">
        <v>807</v>
      </c>
      <c r="G40" t="s">
        <v>808</v>
      </c>
      <c r="H40" t="s">
        <v>809</v>
      </c>
      <c r="I40" t="s">
        <v>810</v>
      </c>
    </row>
    <row r="41" spans="1:9" x14ac:dyDescent="0.2">
      <c r="A41" s="1301" t="s">
        <v>803</v>
      </c>
      <c r="B41">
        <v>100</v>
      </c>
      <c r="C41">
        <v>123</v>
      </c>
      <c r="D41">
        <v>1</v>
      </c>
      <c r="E41">
        <v>1</v>
      </c>
      <c r="F41">
        <v>1</v>
      </c>
      <c r="G41">
        <v>5</v>
      </c>
      <c r="H41">
        <v>3</v>
      </c>
    </row>
    <row r="42" spans="1:9" x14ac:dyDescent="0.2">
      <c r="A42" s="1301" t="s">
        <v>804</v>
      </c>
      <c r="B42">
        <v>207</v>
      </c>
      <c r="C42">
        <v>241</v>
      </c>
      <c r="D42">
        <v>7</v>
      </c>
      <c r="G42">
        <v>6</v>
      </c>
      <c r="I42">
        <v>1</v>
      </c>
    </row>
    <row r="43" spans="1:9" x14ac:dyDescent="0.2">
      <c r="A43" s="1301" t="s">
        <v>805</v>
      </c>
      <c r="B43">
        <v>157</v>
      </c>
      <c r="C43">
        <v>185</v>
      </c>
      <c r="D43">
        <v>2</v>
      </c>
      <c r="G43">
        <v>10</v>
      </c>
    </row>
    <row r="44" spans="1:9" x14ac:dyDescent="0.2">
      <c r="A44" s="1301" t="s">
        <v>806</v>
      </c>
      <c r="B44">
        <v>15</v>
      </c>
      <c r="C44">
        <v>47</v>
      </c>
      <c r="G44">
        <v>1</v>
      </c>
    </row>
    <row r="45" spans="1:9" x14ac:dyDescent="0.2">
      <c r="A45" s="1301" t="s">
        <v>666</v>
      </c>
      <c r="B45">
        <v>479</v>
      </c>
      <c r="C45">
        <v>596</v>
      </c>
      <c r="D45">
        <v>10</v>
      </c>
      <c r="E45">
        <v>1</v>
      </c>
      <c r="F45">
        <v>1</v>
      </c>
      <c r="G45">
        <v>22</v>
      </c>
      <c r="H45">
        <v>3</v>
      </c>
      <c r="I45">
        <v>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0">
    <tabColor theme="4"/>
  </sheetPr>
  <dimension ref="A1:J52"/>
  <sheetViews>
    <sheetView showGridLines="0" zoomScaleNormal="100" workbookViewId="0">
      <selection sqref="A1:H1"/>
    </sheetView>
  </sheetViews>
  <sheetFormatPr defaultRowHeight="12.75" x14ac:dyDescent="0.2"/>
  <cols>
    <col min="1" max="1" width="11.7109375" customWidth="1"/>
    <col min="2" max="2" width="19.42578125" customWidth="1"/>
    <col min="3" max="3" width="15.42578125" customWidth="1"/>
    <col min="4" max="6" width="15.7109375" customWidth="1"/>
    <col min="7" max="7" width="14.5703125" customWidth="1"/>
    <col min="10" max="10" width="13.28515625" customWidth="1"/>
    <col min="11" max="11" width="14" customWidth="1"/>
    <col min="12" max="12" width="17.5703125" customWidth="1"/>
  </cols>
  <sheetData>
    <row r="1" spans="1:10" ht="38.25" customHeight="1" x14ac:dyDescent="0.2">
      <c r="A1" s="1655" t="s">
        <v>631</v>
      </c>
      <c r="B1" s="1655"/>
      <c r="C1" s="1655"/>
      <c r="D1" s="1655"/>
      <c r="E1" s="1655"/>
      <c r="F1" s="1655"/>
      <c r="G1" s="1655"/>
      <c r="H1" s="1655"/>
      <c r="I1" s="467"/>
      <c r="J1" s="467"/>
    </row>
    <row r="2" spans="1:10" ht="15" x14ac:dyDescent="0.25">
      <c r="A2" s="2"/>
      <c r="B2" s="1"/>
      <c r="C2" s="1"/>
      <c r="D2" s="1"/>
      <c r="E2" s="1"/>
      <c r="F2" s="1"/>
      <c r="G2" s="234" t="s">
        <v>0</v>
      </c>
      <c r="H2" s="1"/>
      <c r="I2" s="1"/>
    </row>
    <row r="3" spans="1:10" ht="15" customHeight="1" x14ac:dyDescent="0.2">
      <c r="A3" s="1629" t="s">
        <v>4</v>
      </c>
      <c r="B3" s="1661" t="s">
        <v>193</v>
      </c>
      <c r="C3" s="1677"/>
      <c r="D3" s="1677"/>
      <c r="E3" s="1677"/>
      <c r="F3" s="1662"/>
      <c r="G3" s="1738" t="s">
        <v>195</v>
      </c>
      <c r="H3" s="1"/>
      <c r="I3" s="1"/>
    </row>
    <row r="4" spans="1:10" ht="26.25" customHeight="1" x14ac:dyDescent="0.2">
      <c r="A4" s="1687"/>
      <c r="B4" s="1236" t="s">
        <v>188</v>
      </c>
      <c r="C4" s="1237" t="s">
        <v>189</v>
      </c>
      <c r="D4" s="1115" t="s">
        <v>196</v>
      </c>
      <c r="E4" s="1115" t="s">
        <v>197</v>
      </c>
      <c r="F4" s="229" t="s">
        <v>191</v>
      </c>
      <c r="G4" s="1740"/>
      <c r="H4" s="1"/>
    </row>
    <row r="5" spans="1:10" ht="18.75" customHeight="1" x14ac:dyDescent="0.2">
      <c r="A5" s="534" t="s">
        <v>20</v>
      </c>
      <c r="B5" s="524">
        <v>237</v>
      </c>
      <c r="C5" s="524">
        <v>447</v>
      </c>
      <c r="D5" s="524">
        <v>541</v>
      </c>
      <c r="E5" s="536">
        <v>103</v>
      </c>
      <c r="F5" s="982"/>
      <c r="G5" s="983">
        <f>SUM(B5:F5)</f>
        <v>1328</v>
      </c>
      <c r="H5" s="177"/>
    </row>
    <row r="6" spans="1:10" ht="13.5" customHeight="1" x14ac:dyDescent="0.2">
      <c r="A6" s="502" t="s">
        <v>13</v>
      </c>
      <c r="B6" s="508">
        <v>317</v>
      </c>
      <c r="C6" s="508">
        <v>502</v>
      </c>
      <c r="D6" s="508">
        <v>514</v>
      </c>
      <c r="E6" s="508">
        <v>83</v>
      </c>
      <c r="F6" s="648"/>
      <c r="G6" s="984">
        <f t="shared" ref="G6:G12" si="0">SUM(B6:F6)</f>
        <v>1416</v>
      </c>
      <c r="H6" s="177"/>
    </row>
    <row r="7" spans="1:10" ht="13.5" customHeight="1" x14ac:dyDescent="0.2">
      <c r="A7" s="502" t="s">
        <v>15</v>
      </c>
      <c r="B7" s="508">
        <v>317</v>
      </c>
      <c r="C7" s="508">
        <v>503</v>
      </c>
      <c r="D7" s="508">
        <v>442</v>
      </c>
      <c r="E7" s="539">
        <v>57</v>
      </c>
      <c r="F7" s="649"/>
      <c r="G7" s="984">
        <f t="shared" si="0"/>
        <v>1319</v>
      </c>
      <c r="H7" s="177"/>
    </row>
    <row r="8" spans="1:10" ht="13.5" customHeight="1" x14ac:dyDescent="0.2">
      <c r="A8" s="5" t="s">
        <v>17</v>
      </c>
      <c r="B8" s="508">
        <v>236</v>
      </c>
      <c r="C8" s="508">
        <v>556</v>
      </c>
      <c r="D8" s="508">
        <v>443</v>
      </c>
      <c r="E8" s="539">
        <v>76</v>
      </c>
      <c r="F8" s="649"/>
      <c r="G8" s="984">
        <f t="shared" si="0"/>
        <v>1311</v>
      </c>
      <c r="H8" s="177"/>
    </row>
    <row r="9" spans="1:10" ht="13.5" customHeight="1" x14ac:dyDescent="0.2">
      <c r="A9" s="5" t="s">
        <v>147</v>
      </c>
      <c r="B9" s="508">
        <v>268</v>
      </c>
      <c r="C9" s="508">
        <v>388</v>
      </c>
      <c r="D9" s="508">
        <v>383</v>
      </c>
      <c r="E9" s="539">
        <v>62</v>
      </c>
      <c r="F9" s="539"/>
      <c r="G9" s="984">
        <f t="shared" si="0"/>
        <v>1101</v>
      </c>
      <c r="H9" s="177"/>
    </row>
    <row r="10" spans="1:10" ht="13.5" customHeight="1" x14ac:dyDescent="0.2">
      <c r="A10" s="5" t="s">
        <v>160</v>
      </c>
      <c r="B10" s="179">
        <f>T14e!B5</f>
        <v>263</v>
      </c>
      <c r="C10" s="179">
        <f>T14e!C5</f>
        <v>512</v>
      </c>
      <c r="D10" s="179">
        <f>T14e!D5</f>
        <v>431</v>
      </c>
      <c r="E10" s="179">
        <f>T14e!E5</f>
        <v>70</v>
      </c>
      <c r="F10" s="179"/>
      <c r="G10" s="984">
        <f t="shared" si="0"/>
        <v>1276</v>
      </c>
      <c r="H10" s="177"/>
      <c r="I10" s="1"/>
    </row>
    <row r="11" spans="1:10" ht="13.5" customHeight="1" x14ac:dyDescent="0.2">
      <c r="A11" s="5" t="s">
        <v>379</v>
      </c>
      <c r="B11" s="179">
        <f>T14e!B6</f>
        <v>330</v>
      </c>
      <c r="C11" s="179">
        <f>T14e!C6</f>
        <v>487</v>
      </c>
      <c r="D11" s="179">
        <f>T14e!D6</f>
        <v>384</v>
      </c>
      <c r="E11" s="179">
        <f>T14e!E6</f>
        <v>65</v>
      </c>
      <c r="F11" s="179"/>
      <c r="G11" s="984">
        <f t="shared" si="0"/>
        <v>1266</v>
      </c>
      <c r="H11" s="177" t="s">
        <v>145</v>
      </c>
      <c r="I11" s="1"/>
    </row>
    <row r="12" spans="1:10" ht="13.5" customHeight="1" x14ac:dyDescent="0.2">
      <c r="A12" s="1261" t="s">
        <v>603</v>
      </c>
      <c r="B12" s="543">
        <f>T14e!B7</f>
        <v>234</v>
      </c>
      <c r="C12" s="543">
        <f>T14e!C7</f>
        <v>462</v>
      </c>
      <c r="D12" s="543">
        <f>T14e!D7</f>
        <v>354</v>
      </c>
      <c r="E12" s="543">
        <f>T14e!E7</f>
        <v>63</v>
      </c>
      <c r="F12" s="543"/>
      <c r="G12" s="985">
        <f t="shared" si="0"/>
        <v>1113</v>
      </c>
      <c r="H12" s="177" t="s">
        <v>143</v>
      </c>
      <c r="I12" s="1"/>
    </row>
    <row r="13" spans="1:10" x14ac:dyDescent="0.2">
      <c r="A13" s="1"/>
      <c r="B13" s="1"/>
      <c r="C13" s="1"/>
      <c r="D13" s="1"/>
      <c r="E13" s="1"/>
      <c r="F13" s="1"/>
      <c r="G13" s="1"/>
      <c r="H13" s="1"/>
      <c r="I13" s="1"/>
    </row>
    <row r="14" spans="1:10" x14ac:dyDescent="0.2">
      <c r="A14" s="13" t="s">
        <v>162</v>
      </c>
      <c r="B14" s="1"/>
      <c r="C14" s="1"/>
      <c r="D14" s="1"/>
      <c r="E14" s="1"/>
      <c r="F14" s="1"/>
      <c r="G14" s="1"/>
      <c r="H14" s="1"/>
      <c r="I14" s="1"/>
    </row>
    <row r="15" spans="1:10" x14ac:dyDescent="0.2">
      <c r="A15" s="1" t="s">
        <v>1030</v>
      </c>
      <c r="B15" s="1"/>
      <c r="C15" s="1"/>
      <c r="D15" s="1"/>
      <c r="E15" s="1"/>
      <c r="F15" s="1"/>
      <c r="G15" s="1"/>
      <c r="H15" s="1"/>
      <c r="I15" s="1"/>
    </row>
    <row r="16" spans="1:10" x14ac:dyDescent="0.2">
      <c r="A16" t="s">
        <v>970</v>
      </c>
      <c r="B16" s="1"/>
      <c r="C16" s="1"/>
      <c r="D16" s="1"/>
      <c r="E16" s="1"/>
      <c r="F16" s="1"/>
      <c r="G16" s="1"/>
      <c r="H16" s="1"/>
      <c r="I16" s="1"/>
    </row>
    <row r="17" spans="1:9" x14ac:dyDescent="0.2">
      <c r="A17" s="1736"/>
      <c r="B17" s="1736"/>
      <c r="C17" s="1736"/>
      <c r="D17" s="1736"/>
      <c r="E17" s="1736"/>
      <c r="F17" s="1736"/>
      <c r="G17" s="1736"/>
      <c r="H17" s="1736"/>
      <c r="I17" s="1736"/>
    </row>
    <row r="18" spans="1:9" ht="38.25" customHeight="1" x14ac:dyDescent="0.2">
      <c r="A18" s="1628" t="s">
        <v>632</v>
      </c>
      <c r="B18" s="1628"/>
      <c r="C18" s="1628"/>
      <c r="D18" s="1628"/>
      <c r="E18" s="1628"/>
      <c r="F18" s="1628"/>
      <c r="G18" s="1628"/>
      <c r="H18" s="1628"/>
      <c r="I18" s="1"/>
    </row>
    <row r="19" spans="1:9" ht="15" x14ac:dyDescent="0.25">
      <c r="A19" s="2"/>
      <c r="B19" s="1"/>
      <c r="C19" s="1"/>
      <c r="D19" s="1"/>
      <c r="E19" s="1"/>
      <c r="F19" s="1"/>
      <c r="G19" s="234" t="s">
        <v>0</v>
      </c>
      <c r="H19" s="1"/>
      <c r="I19" s="1"/>
    </row>
    <row r="20" spans="1:9" x14ac:dyDescent="0.2">
      <c r="A20" s="1629" t="s">
        <v>4</v>
      </c>
      <c r="B20" s="1661" t="s">
        <v>193</v>
      </c>
      <c r="C20" s="1677"/>
      <c r="D20" s="1677"/>
      <c r="E20" s="1677"/>
      <c r="F20" s="1662"/>
      <c r="G20" s="1738" t="s">
        <v>195</v>
      </c>
      <c r="H20" s="1"/>
      <c r="I20" s="1"/>
    </row>
    <row r="21" spans="1:9" ht="26.25" customHeight="1" x14ac:dyDescent="0.2">
      <c r="A21" s="1630"/>
      <c r="B21" s="1236" t="s">
        <v>188</v>
      </c>
      <c r="C21" s="1237" t="s">
        <v>189</v>
      </c>
      <c r="D21" s="1115" t="s">
        <v>196</v>
      </c>
      <c r="E21" s="1115" t="s">
        <v>197</v>
      </c>
      <c r="F21" s="229" t="s">
        <v>191</v>
      </c>
      <c r="G21" s="1739"/>
      <c r="H21" s="1"/>
      <c r="I21" s="1"/>
    </row>
    <row r="22" spans="1:9" ht="18.75" customHeight="1" x14ac:dyDescent="0.2">
      <c r="A22" s="535" t="s">
        <v>20</v>
      </c>
      <c r="B22" s="523">
        <v>207</v>
      </c>
      <c r="C22" s="524">
        <v>392</v>
      </c>
      <c r="D22" s="524">
        <v>461</v>
      </c>
      <c r="E22" s="536">
        <v>82</v>
      </c>
      <c r="F22" s="537"/>
      <c r="G22" s="646">
        <f>SUM(B22:F22)</f>
        <v>1142</v>
      </c>
      <c r="H22" s="177"/>
      <c r="I22" s="24"/>
    </row>
    <row r="23" spans="1:9" ht="13.5" customHeight="1" x14ac:dyDescent="0.2">
      <c r="A23" s="535" t="s">
        <v>13</v>
      </c>
      <c r="B23" s="522">
        <v>283</v>
      </c>
      <c r="C23" s="508">
        <v>439</v>
      </c>
      <c r="D23" s="508">
        <v>436</v>
      </c>
      <c r="E23" s="508">
        <v>63</v>
      </c>
      <c r="F23" s="538"/>
      <c r="G23" s="646">
        <f t="shared" ref="G23:G29" si="1">SUM(B23:F23)</f>
        <v>1221</v>
      </c>
      <c r="H23" s="177"/>
      <c r="I23" s="24"/>
    </row>
    <row r="24" spans="1:9" ht="13.5" customHeight="1" x14ac:dyDescent="0.2">
      <c r="A24" s="502" t="s">
        <v>15</v>
      </c>
      <c r="B24" s="522">
        <v>296</v>
      </c>
      <c r="C24" s="508">
        <v>453</v>
      </c>
      <c r="D24" s="508">
        <v>374</v>
      </c>
      <c r="E24" s="539">
        <v>43</v>
      </c>
      <c r="F24" s="540"/>
      <c r="G24" s="646">
        <f t="shared" si="1"/>
        <v>1166</v>
      </c>
      <c r="H24" s="177"/>
      <c r="I24" s="24"/>
    </row>
    <row r="25" spans="1:9" ht="13.5" customHeight="1" x14ac:dyDescent="0.2">
      <c r="A25" s="502" t="s">
        <v>17</v>
      </c>
      <c r="B25" s="522">
        <v>212</v>
      </c>
      <c r="C25" s="508">
        <v>507</v>
      </c>
      <c r="D25" s="508">
        <v>374</v>
      </c>
      <c r="E25" s="539">
        <v>47</v>
      </c>
      <c r="F25" s="540"/>
      <c r="G25" s="646">
        <f t="shared" si="1"/>
        <v>1140</v>
      </c>
      <c r="H25" s="177"/>
    </row>
    <row r="26" spans="1:9" ht="13.5" customHeight="1" x14ac:dyDescent="0.2">
      <c r="A26" s="5" t="s">
        <v>147</v>
      </c>
      <c r="B26" s="647">
        <v>239</v>
      </c>
      <c r="C26" s="648">
        <v>332</v>
      </c>
      <c r="D26" s="648">
        <v>334</v>
      </c>
      <c r="E26" s="649">
        <v>44</v>
      </c>
      <c r="F26" s="540"/>
      <c r="G26" s="646">
        <f t="shared" si="1"/>
        <v>949</v>
      </c>
      <c r="H26" s="177"/>
    </row>
    <row r="27" spans="1:9" ht="13.5" customHeight="1" x14ac:dyDescent="0.2">
      <c r="A27" s="244" t="s">
        <v>160</v>
      </c>
      <c r="B27" s="650">
        <f>T14f!C5</f>
        <v>238</v>
      </c>
      <c r="C27" s="651">
        <f>T14f!D5</f>
        <v>447</v>
      </c>
      <c r="D27" s="651">
        <f>T14f!E5</f>
        <v>330</v>
      </c>
      <c r="E27" s="651">
        <f>T14f!F5</f>
        <v>48</v>
      </c>
      <c r="F27" s="652"/>
      <c r="G27" s="646">
        <f t="shared" si="1"/>
        <v>1063</v>
      </c>
      <c r="H27" s="177"/>
    </row>
    <row r="28" spans="1:9" ht="13.5" customHeight="1" x14ac:dyDescent="0.2">
      <c r="A28" s="244" t="s">
        <v>379</v>
      </c>
      <c r="B28" s="650">
        <f>T14f!C6</f>
        <v>301</v>
      </c>
      <c r="C28" s="651">
        <f>T14f!D6</f>
        <v>440</v>
      </c>
      <c r="D28" s="651">
        <f>T14f!E6</f>
        <v>321</v>
      </c>
      <c r="E28" s="651">
        <f>T14f!F6</f>
        <v>53</v>
      </c>
      <c r="F28" s="652"/>
      <c r="G28" s="646">
        <f t="shared" si="1"/>
        <v>1115</v>
      </c>
      <c r="H28" s="177" t="s">
        <v>145</v>
      </c>
    </row>
    <row r="29" spans="1:9" ht="13.5" customHeight="1" x14ac:dyDescent="0.2">
      <c r="A29" s="470" t="s">
        <v>603</v>
      </c>
      <c r="B29" s="542">
        <f>T14f!C7</f>
        <v>184</v>
      </c>
      <c r="C29" s="543">
        <f>T14f!D7</f>
        <v>392</v>
      </c>
      <c r="D29" s="543">
        <f>T14f!E7</f>
        <v>304</v>
      </c>
      <c r="E29" s="543">
        <f>T14f!F7</f>
        <v>41</v>
      </c>
      <c r="F29" s="1180"/>
      <c r="G29" s="986">
        <f t="shared" si="1"/>
        <v>921</v>
      </c>
      <c r="H29" s="177" t="s">
        <v>143</v>
      </c>
    </row>
    <row r="30" spans="1:9" x14ac:dyDescent="0.2">
      <c r="A30" s="1"/>
      <c r="B30" s="1"/>
      <c r="C30" s="1"/>
      <c r="D30" s="1"/>
      <c r="E30" s="1"/>
      <c r="F30" s="1"/>
      <c r="G30" s="1"/>
      <c r="H30" s="1"/>
      <c r="I30" s="1"/>
    </row>
    <row r="31" spans="1:9" x14ac:dyDescent="0.2">
      <c r="A31" s="254" t="s">
        <v>162</v>
      </c>
      <c r="B31" s="1"/>
      <c r="C31" s="1"/>
      <c r="D31" s="1"/>
      <c r="E31" s="1"/>
      <c r="F31" s="1"/>
      <c r="G31" s="1"/>
      <c r="H31" s="1"/>
      <c r="I31" s="1"/>
    </row>
    <row r="32" spans="1:9" x14ac:dyDescent="0.2">
      <c r="A32" s="256" t="s">
        <v>163</v>
      </c>
      <c r="B32" s="1"/>
      <c r="C32" s="1"/>
      <c r="D32" s="1"/>
      <c r="E32" s="1"/>
      <c r="F32" s="1"/>
      <c r="G32" s="1"/>
      <c r="H32" s="1"/>
      <c r="I32" s="1"/>
    </row>
    <row r="33" spans="1:9" x14ac:dyDescent="0.2">
      <c r="A33" t="s">
        <v>337</v>
      </c>
      <c r="B33" s="1"/>
      <c r="C33" s="1"/>
      <c r="D33" s="1"/>
      <c r="E33" s="1"/>
      <c r="F33" s="1"/>
      <c r="G33" s="1"/>
      <c r="H33" s="1"/>
      <c r="I33" s="1"/>
    </row>
    <row r="34" spans="1:9" x14ac:dyDescent="0.2">
      <c r="A34" s="1736"/>
      <c r="B34" s="1737"/>
      <c r="C34" s="1737"/>
      <c r="D34" s="1737"/>
      <c r="E34" s="1737"/>
      <c r="F34" s="1737"/>
      <c r="G34" s="1737"/>
      <c r="H34" s="1737"/>
      <c r="I34" s="122"/>
    </row>
    <row r="35" spans="1:9" s="545" customFormat="1" ht="38.25" customHeight="1" x14ac:dyDescent="0.2">
      <c r="A35" s="1628" t="s">
        <v>633</v>
      </c>
      <c r="B35" s="1628"/>
      <c r="C35" s="1628"/>
      <c r="D35" s="1628"/>
      <c r="E35" s="1628"/>
      <c r="F35" s="1628"/>
      <c r="G35" s="1628"/>
      <c r="H35" s="1628"/>
      <c r="I35" s="1628"/>
    </row>
    <row r="36" spans="1:9" ht="14.25" x14ac:dyDescent="0.2">
      <c r="A36" s="2"/>
      <c r="B36" s="1"/>
      <c r="C36" s="1"/>
      <c r="D36" s="1"/>
      <c r="E36" s="1"/>
      <c r="F36" s="1"/>
      <c r="G36" s="146" t="s">
        <v>58</v>
      </c>
      <c r="H36" s="1"/>
      <c r="I36" s="1"/>
    </row>
    <row r="37" spans="1:9" x14ac:dyDescent="0.2">
      <c r="A37" s="1629" t="s">
        <v>4</v>
      </c>
      <c r="B37" s="1661" t="s">
        <v>187</v>
      </c>
      <c r="C37" s="1677"/>
      <c r="D37" s="1677"/>
      <c r="E37" s="1677"/>
      <c r="F37" s="1662"/>
      <c r="G37" s="1738" t="s">
        <v>195</v>
      </c>
      <c r="H37" s="1"/>
      <c r="I37" s="1"/>
    </row>
    <row r="38" spans="1:9" ht="26.25" customHeight="1" x14ac:dyDescent="0.2">
      <c r="A38" s="1630"/>
      <c r="B38" s="806" t="s">
        <v>188</v>
      </c>
      <c r="C38" s="784" t="s">
        <v>189</v>
      </c>
      <c r="D38" s="765" t="s">
        <v>196</v>
      </c>
      <c r="E38" s="765" t="s">
        <v>197</v>
      </c>
      <c r="F38" s="121" t="s">
        <v>191</v>
      </c>
      <c r="G38" s="1740"/>
      <c r="H38" s="1"/>
    </row>
    <row r="39" spans="1:9" ht="18.75" customHeight="1" x14ac:dyDescent="0.2">
      <c r="A39" s="501" t="s">
        <v>20</v>
      </c>
      <c r="B39" s="1487">
        <f>B22/'1 1a 1b'!B8*1000</f>
        <v>32.857142857142854</v>
      </c>
      <c r="C39" s="1487">
        <f>C22/'1 1a 1b'!B8*1000</f>
        <v>62.222222222222221</v>
      </c>
      <c r="D39" s="1487">
        <f>D22/'1 1a 1b'!B8*1000</f>
        <v>73.174603174603163</v>
      </c>
      <c r="E39" s="1488">
        <f>E22/'1 1a 1b'!B8*1000</f>
        <v>13.015873015873016</v>
      </c>
      <c r="F39" s="1488">
        <f>F22/'1 1a 1b'!B8*1000</f>
        <v>0</v>
      </c>
      <c r="G39" s="1492">
        <f>G22/'1 1a 1b'!B8*1000</f>
        <v>181.26984126984127</v>
      </c>
      <c r="H39" s="177"/>
    </row>
    <row r="40" spans="1:9" ht="13.5" customHeight="1" x14ac:dyDescent="0.2">
      <c r="A40" s="501" t="s">
        <v>13</v>
      </c>
      <c r="B40" s="1410">
        <f>B23/'1 1a 1b'!B9*1000</f>
        <v>45.941558441558442</v>
      </c>
      <c r="C40" s="1410">
        <f>C23/'1 1a 1b'!B9*1000</f>
        <v>71.266233766233768</v>
      </c>
      <c r="D40" s="1410">
        <f>D23/'1 1a 1b'!B9*1000</f>
        <v>70.779220779220779</v>
      </c>
      <c r="E40" s="1489">
        <f>E23/'1 1a 1b'!B9*1000</f>
        <v>10.227272727272727</v>
      </c>
      <c r="F40" s="1489">
        <f>F23/'1 1a 1b'!B9*1000</f>
        <v>0</v>
      </c>
      <c r="G40" s="1493">
        <f>G23/'1 1a 1b'!B9*1000</f>
        <v>198.21428571428569</v>
      </c>
      <c r="H40" s="177"/>
    </row>
    <row r="41" spans="1:9" ht="13.5" customHeight="1" x14ac:dyDescent="0.2">
      <c r="A41" s="499" t="s">
        <v>15</v>
      </c>
      <c r="B41" s="1410">
        <f>B24/'1 1a 1b'!B10*1000</f>
        <v>50.719671007539411</v>
      </c>
      <c r="C41" s="1410">
        <f>C24/'1 1a 1b'!B10*1000</f>
        <v>77.621658670322148</v>
      </c>
      <c r="D41" s="1410">
        <f>D24/'1 1a 1b'!B10*1000</f>
        <v>64.084989718985597</v>
      </c>
      <c r="E41" s="1489">
        <f>E24/'1 1a 1b'!B10*1000</f>
        <v>7.3680603152844411</v>
      </c>
      <c r="F41" s="1489">
        <f>F24/'1 1a 1b'!B10*1000</f>
        <v>0</v>
      </c>
      <c r="G41" s="1493">
        <f>G24/'1 1a 1b'!B10*1000</f>
        <v>199.79437971213159</v>
      </c>
      <c r="H41" s="177"/>
    </row>
    <row r="42" spans="1:9" ht="13.5" customHeight="1" x14ac:dyDescent="0.2">
      <c r="A42" s="499" t="s">
        <v>17</v>
      </c>
      <c r="B42" s="1410">
        <f>B25/'1 1a 1b'!B11*1000</f>
        <v>39.745031871016117</v>
      </c>
      <c r="C42" s="1410">
        <f>C25/'1 1a 1b'!B11*1000</f>
        <v>95.050618672665919</v>
      </c>
      <c r="D42" s="1410">
        <f>D25/'1 1a 1b'!B11*1000</f>
        <v>70.116235470566181</v>
      </c>
      <c r="E42" s="1489">
        <f>E25/'1 1a 1b'!B11*1000</f>
        <v>8.811398575178103</v>
      </c>
      <c r="F42" s="1489">
        <f>F25/'1 1a 1b'!B11*1000</f>
        <v>0</v>
      </c>
      <c r="G42" s="1493">
        <f>G25/'1 1a 1b'!B11*1000</f>
        <v>213.72328458942633</v>
      </c>
      <c r="H42" s="177"/>
    </row>
    <row r="43" spans="1:9" ht="13.5" customHeight="1" x14ac:dyDescent="0.2">
      <c r="A43" s="46" t="s">
        <v>147</v>
      </c>
      <c r="B43" s="1410">
        <f>B26/'1 1a 1b'!B12*1000</f>
        <v>42.816194912217846</v>
      </c>
      <c r="C43" s="1410">
        <f>C26/'1 1a 1b'!B12*1000</f>
        <v>59.476890003582945</v>
      </c>
      <c r="D43" s="1410">
        <f>D26/'1 1a 1b'!B12*1000</f>
        <v>59.835184521676823</v>
      </c>
      <c r="E43" s="1489">
        <f>E26/'1 1a 1b'!B12*1000</f>
        <v>7.8824793980652084</v>
      </c>
      <c r="F43" s="1489">
        <f>F26/'1 1a 1b'!B12*1000</f>
        <v>0</v>
      </c>
      <c r="G43" s="1493">
        <f>G26/'1 1a 1b'!B12*1000</f>
        <v>170.01074883554281</v>
      </c>
      <c r="H43" s="177"/>
    </row>
    <row r="44" spans="1:9" ht="13.5" customHeight="1" x14ac:dyDescent="0.2">
      <c r="A44" s="46" t="s">
        <v>160</v>
      </c>
      <c r="B44" s="1410">
        <f>B27/'1 1a 1b'!B13*1000</f>
        <v>41.923551171393342</v>
      </c>
      <c r="C44" s="1410">
        <f>C27/'1 1a 1b'!B13*1000</f>
        <v>78.738770477364795</v>
      </c>
      <c r="D44" s="1410">
        <f>D27/'1 1a 1b'!B13*1000</f>
        <v>58.129293641007571</v>
      </c>
      <c r="E44" s="1489">
        <f>E27/'1 1a 1b'!B13*1000</f>
        <v>8.455169984146556</v>
      </c>
      <c r="F44" s="1489">
        <f>F27/'1 1a 1b'!B13*1000</f>
        <v>0</v>
      </c>
      <c r="G44" s="1493">
        <f>G27/'1 1a 1b'!B13*1000</f>
        <v>187.24678527391228</v>
      </c>
      <c r="H44" s="177"/>
    </row>
    <row r="45" spans="1:9" ht="13.5" customHeight="1" x14ac:dyDescent="0.2">
      <c r="A45" s="46" t="s">
        <v>379</v>
      </c>
      <c r="B45" s="1410">
        <f>B28/'1 1a 1b'!B14*1000</f>
        <v>54.253785147801004</v>
      </c>
      <c r="C45" s="1410">
        <f>C28/'1 1a 1b'!B14*1000</f>
        <v>79.307858687815425</v>
      </c>
      <c r="D45" s="1410">
        <f>D28/'1 1a 1b'!B14*1000</f>
        <v>57.858687815428979</v>
      </c>
      <c r="E45" s="1489">
        <f>E28/'1 1a 1b'!B14*1000</f>
        <v>9.552992069214131</v>
      </c>
      <c r="F45" s="1489">
        <f>F28/'1 1a 1b'!B14*1000</f>
        <v>0</v>
      </c>
      <c r="G45" s="1493">
        <f>G28/'1 1a 1b'!B14*1000</f>
        <v>200.97332372025954</v>
      </c>
      <c r="H45" s="177" t="s">
        <v>145</v>
      </c>
    </row>
    <row r="46" spans="1:9" ht="13.5" customHeight="1" x14ac:dyDescent="0.2">
      <c r="A46" s="773" t="s">
        <v>603</v>
      </c>
      <c r="B46" s="1490">
        <f>B29/'1 1a 1b'!B15*1000</f>
        <v>34.651600753295668</v>
      </c>
      <c r="C46" s="1490">
        <f>C29/'1 1a 1b'!B15*1000</f>
        <v>73.822975517890768</v>
      </c>
      <c r="D46" s="1490">
        <f>D29/'1 1a 1b'!B15*1000</f>
        <v>57.250470809792844</v>
      </c>
      <c r="E46" s="1491">
        <f>E29/'1 1a 1b'!B15*1000</f>
        <v>7.7212806026365346</v>
      </c>
      <c r="F46" s="1491">
        <f>F29/'1 1a 1b'!B15*1000</f>
        <v>0</v>
      </c>
      <c r="G46" s="1494">
        <f>G29/'1 1a 1b'!B15*1000</f>
        <v>173.44632768361581</v>
      </c>
      <c r="H46" s="177" t="s">
        <v>143</v>
      </c>
    </row>
    <row r="47" spans="1:9" x14ac:dyDescent="0.2">
      <c r="A47" s="1"/>
      <c r="B47" s="1"/>
      <c r="C47" s="1"/>
      <c r="D47" s="1"/>
      <c r="E47" s="1"/>
      <c r="F47" s="1"/>
      <c r="G47" s="1"/>
      <c r="H47" s="1"/>
      <c r="I47" s="1"/>
    </row>
    <row r="48" spans="1:9" x14ac:dyDescent="0.2">
      <c r="A48" s="13" t="s">
        <v>162</v>
      </c>
      <c r="B48" s="256"/>
      <c r="C48" s="256"/>
      <c r="D48" s="256"/>
      <c r="E48" s="256"/>
      <c r="F48" s="256"/>
      <c r="G48" s="256"/>
      <c r="H48" s="256"/>
      <c r="I48" s="1"/>
    </row>
    <row r="49" spans="1:9" x14ac:dyDescent="0.2">
      <c r="A49" s="1" t="s">
        <v>969</v>
      </c>
      <c r="B49" s="256"/>
      <c r="C49" s="256"/>
      <c r="D49" s="256"/>
      <c r="E49" s="256"/>
      <c r="F49" s="256"/>
      <c r="G49" s="256"/>
      <c r="H49" s="256"/>
      <c r="I49" s="122"/>
    </row>
    <row r="50" spans="1:9" x14ac:dyDescent="0.2">
      <c r="A50" s="1" t="s">
        <v>1031</v>
      </c>
      <c r="B50" s="256"/>
      <c r="C50" s="256"/>
      <c r="D50" s="256"/>
      <c r="E50" s="256"/>
      <c r="F50" s="256"/>
      <c r="G50" s="256"/>
      <c r="H50" s="256"/>
      <c r="I50" s="1"/>
    </row>
    <row r="51" spans="1:9" x14ac:dyDescent="0.2">
      <c r="A51" s="1736"/>
      <c r="B51" s="1737"/>
      <c r="C51" s="1737"/>
      <c r="D51" s="1737"/>
      <c r="E51" s="1737"/>
      <c r="F51" s="1737"/>
      <c r="G51" s="1737"/>
      <c r="H51" s="1737"/>
    </row>
    <row r="52" spans="1:9" x14ac:dyDescent="0.2">
      <c r="A52" s="386" t="s">
        <v>169</v>
      </c>
    </row>
  </sheetData>
  <sheetProtection algorithmName="SHA-512" hashValue="1TJ+g6m1tvZVY0rZyc9G6cEigIex10Atz/fP0tCdCU/keDjwJ/WwamUxGHgyO/qJ2Tny/BxtVMksDxT2bHGHGA==" saltValue="qzHw63qUjakAylS88btdSQ==" spinCount="100000" sheet="1" objects="1" scenarios="1"/>
  <mergeCells count="15">
    <mergeCell ref="A1:H1"/>
    <mergeCell ref="A34:H34"/>
    <mergeCell ref="A51:H51"/>
    <mergeCell ref="A35:I35"/>
    <mergeCell ref="A20:A21"/>
    <mergeCell ref="B20:F20"/>
    <mergeCell ref="G20:G21"/>
    <mergeCell ref="A37:A38"/>
    <mergeCell ref="G37:G38"/>
    <mergeCell ref="B37:F37"/>
    <mergeCell ref="A3:A4"/>
    <mergeCell ref="G3:G4"/>
    <mergeCell ref="A17:I17"/>
    <mergeCell ref="B3:F3"/>
    <mergeCell ref="A18:H18"/>
  </mergeCells>
  <hyperlinks>
    <hyperlink ref="A52" location="Contents!A1" display="Return to contents" xr:uid="{00000000-0004-0000-4700-000000000000}"/>
  </hyperlinks>
  <pageMargins left="0.7" right="0.7" top="0.75" bottom="0.75" header="0.3" footer="0.3"/>
  <pageSetup paperSize="9" scale="6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1">
    <tabColor theme="4"/>
    <pageSetUpPr fitToPage="1"/>
  </sheetPr>
  <dimension ref="A1:Q45"/>
  <sheetViews>
    <sheetView showGridLines="0" zoomScaleNormal="100" workbookViewId="0">
      <selection sqref="A1:J1"/>
    </sheetView>
  </sheetViews>
  <sheetFormatPr defaultRowHeight="12.75" x14ac:dyDescent="0.2"/>
  <cols>
    <col min="1" max="2" width="13" customWidth="1"/>
    <col min="3" max="3" width="13.140625" customWidth="1"/>
    <col min="4" max="4" width="14.7109375" customWidth="1"/>
    <col min="6" max="6" width="13.5703125" customWidth="1"/>
    <col min="7" max="7" width="12.85546875" customWidth="1"/>
    <col min="8" max="8" width="12.5703125" customWidth="1"/>
  </cols>
  <sheetData>
    <row r="1" spans="1:17" ht="38.25" customHeight="1" x14ac:dyDescent="0.2">
      <c r="A1" s="1671" t="s">
        <v>881</v>
      </c>
      <c r="B1" s="1671"/>
      <c r="C1" s="1671"/>
      <c r="D1" s="1671"/>
      <c r="E1" s="1671"/>
      <c r="F1" s="1671"/>
      <c r="G1" s="1671"/>
      <c r="H1" s="1671"/>
      <c r="I1" s="1671"/>
      <c r="J1" s="1671"/>
      <c r="K1" s="201"/>
      <c r="L1" s="201"/>
    </row>
    <row r="2" spans="1:17" ht="15" x14ac:dyDescent="0.25">
      <c r="A2" s="1"/>
      <c r="B2" s="1"/>
      <c r="C2" s="1"/>
      <c r="D2" s="145" t="s">
        <v>58</v>
      </c>
      <c r="E2" s="3"/>
      <c r="F2" s="3"/>
      <c r="G2" s="3"/>
      <c r="H2" s="253" t="s">
        <v>0</v>
      </c>
      <c r="I2" s="1"/>
      <c r="J2" s="1"/>
      <c r="K2" s="1"/>
    </row>
    <row r="3" spans="1:17" ht="13.5" customHeight="1" x14ac:dyDescent="0.2">
      <c r="A3" s="51"/>
      <c r="B3" s="1741" t="s">
        <v>338</v>
      </c>
      <c r="C3" s="1742"/>
      <c r="D3" s="1743"/>
      <c r="E3" s="547"/>
      <c r="F3" s="1674" t="s">
        <v>339</v>
      </c>
      <c r="G3" s="1675"/>
      <c r="H3" s="1676"/>
      <c r="I3" s="1"/>
      <c r="O3" s="178"/>
      <c r="Q3" s="477"/>
    </row>
    <row r="4" spans="1:17" ht="13.5" customHeight="1" x14ac:dyDescent="0.2">
      <c r="A4" s="17" t="s">
        <v>4</v>
      </c>
      <c r="B4" s="670" t="s">
        <v>180</v>
      </c>
      <c r="C4" s="670" t="s">
        <v>181</v>
      </c>
      <c r="D4" s="670" t="s">
        <v>11</v>
      </c>
      <c r="E4" s="228"/>
      <c r="F4" s="670" t="s">
        <v>180</v>
      </c>
      <c r="G4" s="670" t="s">
        <v>181</v>
      </c>
      <c r="H4" s="670" t="s">
        <v>11</v>
      </c>
      <c r="I4" s="548"/>
      <c r="O4" s="178"/>
      <c r="Q4" s="477"/>
    </row>
    <row r="5" spans="1:17" ht="18.75" customHeight="1" x14ac:dyDescent="0.2">
      <c r="A5" s="17" t="s">
        <v>16</v>
      </c>
      <c r="B5" s="679">
        <f>'14 14a'!B5/F5*1000000</f>
        <v>8.2290950127569662</v>
      </c>
      <c r="C5" s="679">
        <f>'14 14a'!C5/G5*1000000</f>
        <v>19.627014622927</v>
      </c>
      <c r="D5" s="1025">
        <f>'14 14a'!E5/'15 15a'!H5*1000000</f>
        <v>13.733075435203094</v>
      </c>
      <c r="E5" s="1" t="s">
        <v>145</v>
      </c>
      <c r="F5" s="93">
        <f>Tref!C16</f>
        <v>2673441</v>
      </c>
      <c r="G5" s="380">
        <f>Tref!D16</f>
        <v>2496559</v>
      </c>
      <c r="H5" s="546">
        <f>Tref!B16</f>
        <v>5170000</v>
      </c>
      <c r="I5" s="1338" t="s">
        <v>145</v>
      </c>
    </row>
    <row r="6" spans="1:17" ht="13.5" customHeight="1" x14ac:dyDescent="0.2">
      <c r="A6" s="5" t="s">
        <v>18</v>
      </c>
      <c r="B6" s="270">
        <f>'14 14a'!B6/F6*1000000</f>
        <v>10.790288145342949</v>
      </c>
      <c r="C6" s="269">
        <f>'14 14a'!C6/G6*1000000</f>
        <v>13.914852236196268</v>
      </c>
      <c r="D6" s="271">
        <f>'14 14a'!E6/'15 15a'!H6*1000000</f>
        <v>12.300832228180438</v>
      </c>
      <c r="E6" s="1" t="s">
        <v>145</v>
      </c>
      <c r="F6" s="6">
        <f>Tref!C17</f>
        <v>2687602</v>
      </c>
      <c r="G6" s="7">
        <f>Tref!D17</f>
        <v>2515298</v>
      </c>
      <c r="H6" s="16">
        <f>Tref!B17</f>
        <v>5202900</v>
      </c>
      <c r="I6" s="1338" t="s">
        <v>145</v>
      </c>
    </row>
    <row r="7" spans="1:17" ht="13.5" customHeight="1" x14ac:dyDescent="0.2">
      <c r="A7" s="5" t="s">
        <v>19</v>
      </c>
      <c r="B7" s="270">
        <f>'14 14a'!B7/F7*1000000</f>
        <v>8.8891160551880777</v>
      </c>
      <c r="C7" s="269">
        <f>'14 14a'!C7/G7*1000000</f>
        <v>14.613133099180914</v>
      </c>
      <c r="D7" s="271">
        <f>'14 14a'!E7/'15 15a'!H7*1000000</f>
        <v>11.659244251610314</v>
      </c>
      <c r="E7" s="1" t="s">
        <v>145</v>
      </c>
      <c r="F7" s="6">
        <f>Tref!C18</f>
        <v>2699931</v>
      </c>
      <c r="G7" s="7">
        <f>Tref!D18</f>
        <v>2531969</v>
      </c>
      <c r="H7" s="16">
        <f>Tref!B18</f>
        <v>5231900</v>
      </c>
      <c r="I7" s="122" t="s">
        <v>145</v>
      </c>
    </row>
    <row r="8" spans="1:17" ht="13.5" customHeight="1" x14ac:dyDescent="0.2">
      <c r="A8" s="30" t="s">
        <v>20</v>
      </c>
      <c r="B8" s="270">
        <f>'14 14a'!B8/F8*1000000</f>
        <v>6.2638587875674938</v>
      </c>
      <c r="C8" s="269">
        <f>'14 14a'!C8/G8*1000000</f>
        <v>13.735088599170087</v>
      </c>
      <c r="D8" s="271">
        <f>'14 14a'!E8/'15 15a'!H8*1000000</f>
        <v>9.8817984873246925</v>
      </c>
      <c r="E8" s="1" t="s">
        <v>145</v>
      </c>
      <c r="F8" s="6">
        <f>Tref!C19</f>
        <v>2713982</v>
      </c>
      <c r="G8" s="7">
        <f>Tref!D19</f>
        <v>2548218</v>
      </c>
      <c r="H8" s="16">
        <f>Tref!B19</f>
        <v>5262200</v>
      </c>
      <c r="I8" s="636" t="s">
        <v>145</v>
      </c>
    </row>
    <row r="9" spans="1:17" ht="13.5" customHeight="1" x14ac:dyDescent="0.2">
      <c r="A9" s="30" t="s">
        <v>13</v>
      </c>
      <c r="B9" s="270">
        <f>'14 14a'!B9/F9*1000000</f>
        <v>7.6934349355216876</v>
      </c>
      <c r="C9" s="269">
        <f>'14 14a'!C9/G9*1000000</f>
        <v>14.78426642804342</v>
      </c>
      <c r="D9" s="271">
        <f>'14 14a'!E9/'15 15a'!H9*1000000</f>
        <v>11.132285514821033</v>
      </c>
      <c r="E9" s="1" t="s">
        <v>145</v>
      </c>
      <c r="F9" s="6">
        <f>Tref!C20</f>
        <v>2729600</v>
      </c>
      <c r="G9" s="7">
        <f>Tref!D20</f>
        <v>2570300</v>
      </c>
      <c r="H9" s="16">
        <f>Tref!B20</f>
        <v>5299900</v>
      </c>
      <c r="I9" s="636"/>
    </row>
    <row r="10" spans="1:17" ht="13.5" customHeight="1" x14ac:dyDescent="0.2">
      <c r="A10" s="30" t="s">
        <v>15</v>
      </c>
      <c r="B10" s="270">
        <f>'14 14a'!B10/F10*1000000</f>
        <v>8.4054803732033285</v>
      </c>
      <c r="C10" s="269">
        <f>'14 14a'!C10/G10*1000000</f>
        <v>8.9241024486961109</v>
      </c>
      <c r="D10" s="271">
        <f>'14 14a'!E10/'15 15a'!H10*1000000</f>
        <v>8.6570310147545921</v>
      </c>
      <c r="E10" s="1"/>
      <c r="F10" s="6">
        <f>Tref!C21</f>
        <v>2736310</v>
      </c>
      <c r="G10" s="7">
        <f>Tref!D21</f>
        <v>2577290</v>
      </c>
      <c r="H10" s="16">
        <f>Tref!B21</f>
        <v>5313600</v>
      </c>
      <c r="I10" s="636" t="s">
        <v>145</v>
      </c>
    </row>
    <row r="11" spans="1:17" ht="13.5" customHeight="1" x14ac:dyDescent="0.2">
      <c r="A11" s="30" t="s">
        <v>17</v>
      </c>
      <c r="B11" s="270">
        <f>'14 14a'!B11/F11*1000000</f>
        <v>6.566898453860242</v>
      </c>
      <c r="C11" s="269">
        <f>'14 14a'!C11/G11*1000000</f>
        <v>5.025747289962422</v>
      </c>
      <c r="D11" s="271">
        <f>'14 14a'!E11/'15 15a'!H11*1000000</f>
        <v>5.8186459447791732</v>
      </c>
      <c r="E11" s="1"/>
      <c r="F11" s="6">
        <f>Tref!C22</f>
        <v>2741020</v>
      </c>
      <c r="G11" s="7">
        <f>Tref!D22</f>
        <v>2586680</v>
      </c>
      <c r="H11" s="16">
        <f>Tref!B22</f>
        <v>5327700</v>
      </c>
      <c r="I11" s="636"/>
    </row>
    <row r="12" spans="1:17" ht="13.5" customHeight="1" x14ac:dyDescent="0.2">
      <c r="A12" s="30" t="s">
        <v>147</v>
      </c>
      <c r="B12" s="270">
        <f>'14 14a'!B12/F12*1000000</f>
        <v>5.815918897010981</v>
      </c>
      <c r="C12" s="269">
        <f>'14 14a'!C12/G12*1000000</f>
        <v>9.2431052211990608</v>
      </c>
      <c r="D12" s="271">
        <f>'14 14a'!E12/'15 15a'!H12*1000000</f>
        <v>7.4799910240107712</v>
      </c>
      <c r="E12" s="1" t="s">
        <v>145</v>
      </c>
      <c r="F12" s="6">
        <f>Tref!C23</f>
        <v>2751070</v>
      </c>
      <c r="G12" s="7">
        <f>Tref!D23</f>
        <v>2596530</v>
      </c>
      <c r="H12" s="16">
        <f>Tref!B23</f>
        <v>5347600</v>
      </c>
      <c r="I12" s="636"/>
    </row>
    <row r="13" spans="1:17" ht="13.5" customHeight="1" x14ac:dyDescent="0.2">
      <c r="A13" s="30" t="s">
        <v>160</v>
      </c>
      <c r="B13" s="270">
        <f>'14 14a'!B13/F13*1000000</f>
        <v>6.8777508741078384</v>
      </c>
      <c r="C13" s="269">
        <f>'14 14a'!C13/G13*1000000</f>
        <v>9.5768231685570662</v>
      </c>
      <c r="D13" s="271">
        <f>'14 14a'!E13/'15 15a'!H13*1000000</f>
        <v>8.3752093802345069</v>
      </c>
      <c r="E13" s="1"/>
      <c r="F13" s="6">
        <f>Tref!C24</f>
        <v>2762531</v>
      </c>
      <c r="G13" s="7">
        <f>Tref!D24</f>
        <v>2610469</v>
      </c>
      <c r="H13" s="16">
        <f>Tref!B24</f>
        <v>5373000</v>
      </c>
      <c r="I13" s="1339"/>
    </row>
    <row r="14" spans="1:17" ht="13.5" customHeight="1" x14ac:dyDescent="0.2">
      <c r="A14" s="30" t="s">
        <v>379</v>
      </c>
      <c r="B14" s="270">
        <f>'14 14a'!B14/F14*1000000</f>
        <v>5.7612045526478681</v>
      </c>
      <c r="C14" s="269">
        <f>'14 14a'!C14/G14*1000000</f>
        <v>10.656505435008066</v>
      </c>
      <c r="D14" s="271">
        <f>'14 14a'!E14/'15 15a'!H14*1000000</f>
        <v>8.1410624086443288</v>
      </c>
      <c r="E14" s="1" t="s">
        <v>145</v>
      </c>
      <c r="F14" s="6">
        <f>Tref!C25</f>
        <v>2777197</v>
      </c>
      <c r="G14" s="7">
        <f>Tref!D25</f>
        <v>2627503</v>
      </c>
      <c r="H14" s="16">
        <f>Tref!B25</f>
        <v>5404700</v>
      </c>
      <c r="I14" s="1339" t="s">
        <v>145</v>
      </c>
    </row>
    <row r="15" spans="1:17" ht="13.5" customHeight="1" x14ac:dyDescent="0.2">
      <c r="A15" s="1261" t="s">
        <v>603</v>
      </c>
      <c r="B15" s="283">
        <f>'14 14a'!B15/F15*1000000</f>
        <v>6.4643562578559886</v>
      </c>
      <c r="C15" s="909">
        <f>'14 14a'!C15/G15*1000000</f>
        <v>9.8473658296405713</v>
      </c>
      <c r="D15" s="284">
        <f>'14 14a'!E15/'15 15a'!H15*1000000</f>
        <v>8.1108980976257197</v>
      </c>
      <c r="E15" s="1" t="s">
        <v>143</v>
      </c>
      <c r="F15" s="363">
        <f>Tref!C26</f>
        <v>2784500</v>
      </c>
      <c r="G15" s="336">
        <f>Tref!D26</f>
        <v>2640300</v>
      </c>
      <c r="H15" s="471">
        <f>Tref!B26</f>
        <v>5424800</v>
      </c>
      <c r="I15" s="636"/>
      <c r="O15" s="303"/>
    </row>
    <row r="16" spans="1:17" x14ac:dyDescent="0.2">
      <c r="A16" s="2"/>
      <c r="B16" s="1"/>
      <c r="C16" s="1"/>
      <c r="D16" s="1"/>
      <c r="E16" s="1"/>
      <c r="F16" s="1"/>
      <c r="G16" s="1"/>
      <c r="H16" s="1"/>
      <c r="I16" s="1"/>
    </row>
    <row r="17" spans="1:12" x14ac:dyDescent="0.2">
      <c r="A17" s="2" t="s">
        <v>162</v>
      </c>
      <c r="B17" s="1"/>
      <c r="C17" s="1"/>
      <c r="I17" s="1"/>
    </row>
    <row r="18" spans="1:12" x14ac:dyDescent="0.2">
      <c r="A18" s="71" t="s">
        <v>967</v>
      </c>
      <c r="B18" s="1"/>
      <c r="C18" s="1"/>
      <c r="I18" s="1"/>
      <c r="J18" s="256"/>
      <c r="K18" s="1"/>
    </row>
    <row r="19" spans="1:12" x14ac:dyDescent="0.2">
      <c r="A19" s="71" t="s">
        <v>971</v>
      </c>
      <c r="B19" s="1"/>
      <c r="C19" s="1"/>
      <c r="D19" s="1"/>
      <c r="E19" s="1"/>
      <c r="F19" s="1"/>
      <c r="G19" s="1"/>
      <c r="H19" s="1"/>
      <c r="I19" s="1"/>
      <c r="J19" s="256"/>
      <c r="K19" s="1"/>
    </row>
    <row r="20" spans="1:12" ht="25.5" customHeight="1" x14ac:dyDescent="0.2">
      <c r="A20" s="1744" t="s">
        <v>1032</v>
      </c>
      <c r="B20" s="1744"/>
      <c r="C20" s="1744"/>
      <c r="D20" s="1744"/>
      <c r="E20" s="1744"/>
      <c r="F20" s="1744"/>
      <c r="G20" s="1744"/>
      <c r="H20" s="1744"/>
      <c r="I20" s="1744"/>
      <c r="J20" s="1566"/>
      <c r="K20" s="1566"/>
      <c r="L20" s="1566"/>
    </row>
    <row r="21" spans="1:12" ht="25.5" customHeight="1" x14ac:dyDescent="0.2">
      <c r="A21" s="1654" t="s">
        <v>966</v>
      </c>
      <c r="B21" s="1654"/>
      <c r="C21" s="1654"/>
      <c r="D21" s="1654"/>
      <c r="E21" s="1654"/>
      <c r="F21" s="1654"/>
      <c r="G21" s="1654"/>
      <c r="H21" s="1654"/>
      <c r="I21" s="1654"/>
      <c r="J21" s="1537"/>
      <c r="K21" s="1537"/>
      <c r="L21" s="1537"/>
    </row>
    <row r="22" spans="1:12" ht="25.5" customHeight="1" x14ac:dyDescent="0.2">
      <c r="A22" s="1697" t="s">
        <v>1033</v>
      </c>
      <c r="B22" s="1697"/>
      <c r="C22" s="1697"/>
      <c r="D22" s="1697"/>
      <c r="E22" s="1697"/>
      <c r="F22" s="1697"/>
      <c r="G22" s="1697"/>
      <c r="H22" s="1697"/>
      <c r="I22" s="1697"/>
    </row>
    <row r="23" spans="1:12" x14ac:dyDescent="0.2">
      <c r="A23" s="1515"/>
      <c r="B23" s="1515"/>
      <c r="C23" s="1515"/>
      <c r="D23" s="1515"/>
      <c r="E23" s="1515"/>
      <c r="F23" s="1515"/>
      <c r="G23" s="1515"/>
      <c r="H23" s="1515"/>
      <c r="I23" s="1515"/>
    </row>
    <row r="24" spans="1:12" ht="38.25" customHeight="1" x14ac:dyDescent="0.2">
      <c r="A24" s="1671" t="s">
        <v>882</v>
      </c>
      <c r="B24" s="1671"/>
      <c r="C24" s="1671"/>
      <c r="D24" s="1671"/>
      <c r="E24" s="1671"/>
      <c r="F24" s="1671"/>
      <c r="G24" s="1671"/>
      <c r="H24" s="1671"/>
      <c r="I24" s="1671"/>
      <c r="J24" s="1671"/>
      <c r="K24" s="201"/>
      <c r="L24" s="201"/>
    </row>
    <row r="25" spans="1:12" ht="15" x14ac:dyDescent="0.25">
      <c r="A25" s="1"/>
      <c r="B25" s="1"/>
      <c r="C25" s="1"/>
      <c r="D25" s="145" t="s">
        <v>58</v>
      </c>
      <c r="E25" s="3"/>
      <c r="F25" s="3"/>
      <c r="G25" s="3"/>
      <c r="H25" s="253" t="s">
        <v>0</v>
      </c>
      <c r="I25" s="1"/>
      <c r="J25" s="1"/>
      <c r="K25" s="1"/>
    </row>
    <row r="26" spans="1:12" ht="15" customHeight="1" x14ac:dyDescent="0.2">
      <c r="A26" s="1"/>
      <c r="B26" s="1741" t="s">
        <v>340</v>
      </c>
      <c r="C26" s="1742"/>
      <c r="D26" s="1743"/>
      <c r="E26" s="547"/>
      <c r="F26" s="1674" t="s">
        <v>339</v>
      </c>
      <c r="G26" s="1675"/>
      <c r="H26" s="1676"/>
      <c r="I26" s="1"/>
      <c r="J26" s="1"/>
      <c r="K26" s="1"/>
    </row>
    <row r="27" spans="1:12" ht="13.5" customHeight="1" x14ac:dyDescent="0.2">
      <c r="A27" s="4" t="s">
        <v>4</v>
      </c>
      <c r="B27" s="670" t="s">
        <v>180</v>
      </c>
      <c r="C27" s="670" t="s">
        <v>181</v>
      </c>
      <c r="D27" s="670" t="s">
        <v>11</v>
      </c>
      <c r="E27" s="228"/>
      <c r="F27" s="140" t="s">
        <v>180</v>
      </c>
      <c r="G27" s="140" t="s">
        <v>181</v>
      </c>
      <c r="H27" s="140" t="s">
        <v>11</v>
      </c>
      <c r="I27" s="1"/>
      <c r="J27" s="1"/>
      <c r="K27" s="1"/>
    </row>
    <row r="28" spans="1:12" ht="18.75" customHeight="1" x14ac:dyDescent="0.2">
      <c r="A28" s="17" t="s">
        <v>16</v>
      </c>
      <c r="B28" s="908">
        <f>'14 14a'!B26/'15 15a'!F28*1000000</f>
        <v>283.52972816680824</v>
      </c>
      <c r="C28" s="908">
        <f>'14 14a'!C26/'15 15a'!G28*1000000</f>
        <v>378.52099629930638</v>
      </c>
      <c r="D28" s="1025">
        <f>'14 14a'!E26/'15 15a'!H28*1000000</f>
        <v>329.59381044487429</v>
      </c>
      <c r="E28" s="32"/>
      <c r="F28" s="93">
        <f>Tref!C16</f>
        <v>2673441</v>
      </c>
      <c r="G28" s="112">
        <f>Tref!D16</f>
        <v>2496559</v>
      </c>
      <c r="H28" s="546">
        <f>Tref!B16</f>
        <v>5170000</v>
      </c>
      <c r="I28" s="1338" t="s">
        <v>145</v>
      </c>
      <c r="J28" s="1"/>
    </row>
    <row r="29" spans="1:12" ht="13.5" customHeight="1" thickBot="1" x14ac:dyDescent="0.25">
      <c r="A29" s="5" t="s">
        <v>18</v>
      </c>
      <c r="B29" s="1093">
        <f>'14 14a'!B27/'15 15a'!F29*1000000</f>
        <v>259.33899438979432</v>
      </c>
      <c r="C29" s="1093">
        <f>'14 14a'!C27/'15 15a'!G29*1000000</f>
        <v>366.95453182883301</v>
      </c>
      <c r="D29" s="1094">
        <f>'14 14a'!E27/'15 15a'!H29*1000000</f>
        <v>311.55701627938265</v>
      </c>
      <c r="E29" s="32"/>
      <c r="F29" s="6">
        <f>Tref!C17</f>
        <v>2687602</v>
      </c>
      <c r="G29" s="137">
        <f>Tref!D17</f>
        <v>2515298</v>
      </c>
      <c r="H29" s="16">
        <f>Tref!B17</f>
        <v>5202900</v>
      </c>
      <c r="I29" s="1338" t="s">
        <v>145</v>
      </c>
      <c r="J29" s="1"/>
    </row>
    <row r="30" spans="1:12" ht="13.5" customHeight="1" x14ac:dyDescent="0.2">
      <c r="A30" s="5" t="s">
        <v>19</v>
      </c>
      <c r="B30" s="269">
        <f>'14 14a'!B28/'15 15a'!F30*1000000</f>
        <v>192.597514529075</v>
      </c>
      <c r="C30" s="269">
        <f>'14 14a'!C28/'15 15a'!G30*1000000</f>
        <v>263.43134532847756</v>
      </c>
      <c r="D30" s="1026">
        <f>'14 14a'!E28/'15 15a'!H30*1000000</f>
        <v>228.78877654389419</v>
      </c>
      <c r="E30" s="32"/>
      <c r="F30" s="6">
        <f>Tref!C18</f>
        <v>2699931</v>
      </c>
      <c r="G30" s="137">
        <f>Tref!D18</f>
        <v>2531969</v>
      </c>
      <c r="H30" s="16">
        <f>Tref!B18</f>
        <v>5231900</v>
      </c>
      <c r="I30" s="122" t="s">
        <v>145</v>
      </c>
      <c r="J30" s="1"/>
    </row>
    <row r="31" spans="1:12" ht="13.5" customHeight="1" x14ac:dyDescent="0.2">
      <c r="A31" s="30" t="s">
        <v>20</v>
      </c>
      <c r="B31" s="269">
        <f>'14 14a'!B29/'15 15a'!F31*1000000</f>
        <v>209.2865759610786</v>
      </c>
      <c r="C31" s="269">
        <f>'14 14a'!C29/'15 15a'!G31*1000000</f>
        <v>285.29741175990438</v>
      </c>
      <c r="D31" s="1026">
        <f>'14 14a'!E29/'15 15a'!H31*1000000</f>
        <v>247.04496218311735</v>
      </c>
      <c r="E31" s="32"/>
      <c r="F31" s="6">
        <f>Tref!C19</f>
        <v>2713982</v>
      </c>
      <c r="G31" s="137">
        <f>Tref!D19</f>
        <v>2548218</v>
      </c>
      <c r="H31" s="16">
        <f>Tref!B19</f>
        <v>5262200</v>
      </c>
      <c r="I31" s="636" t="s">
        <v>145</v>
      </c>
      <c r="J31" s="1"/>
    </row>
    <row r="32" spans="1:12" ht="13.5" customHeight="1" x14ac:dyDescent="0.2">
      <c r="A32" s="30" t="s">
        <v>13</v>
      </c>
      <c r="B32" s="269">
        <f>'14 14a'!B30/'15 15a'!F32*1000000</f>
        <v>238.13012895662368</v>
      </c>
      <c r="C32" s="269">
        <f>'14 14a'!C30/'15 15a'!G32*1000000</f>
        <v>278.17764463292224</v>
      </c>
      <c r="D32" s="1026">
        <f>'14 14a'!E30/'15 15a'!H32*1000000</f>
        <v>261.89173380629819</v>
      </c>
      <c r="E32" s="32"/>
      <c r="F32" s="6">
        <f>Tref!C20</f>
        <v>2729600</v>
      </c>
      <c r="G32" s="137">
        <f>Tref!D20</f>
        <v>2570300</v>
      </c>
      <c r="H32" s="16">
        <f>Tref!B20</f>
        <v>5299900</v>
      </c>
      <c r="I32" s="636"/>
      <c r="J32" s="1"/>
    </row>
    <row r="33" spans="1:12" ht="13.5" customHeight="1" x14ac:dyDescent="0.2">
      <c r="A33" s="30" t="s">
        <v>15</v>
      </c>
      <c r="B33" s="269">
        <f>'14 14a'!B31/'15 15a'!F33*1000000</f>
        <v>218.17703403488642</v>
      </c>
      <c r="C33" s="269">
        <f>'14 14a'!C31/'15 15a'!G33*1000000</f>
        <v>270.4391046409213</v>
      </c>
      <c r="D33" s="1026">
        <f>'14 14a'!E31/'15 15a'!H33*1000000</f>
        <v>244.8434206564288</v>
      </c>
      <c r="E33" s="32"/>
      <c r="F33" s="6">
        <f>Tref!C21</f>
        <v>2736310</v>
      </c>
      <c r="G33" s="137">
        <f>Tref!D21</f>
        <v>2577290</v>
      </c>
      <c r="H33" s="16">
        <f>Tref!B21</f>
        <v>5313600</v>
      </c>
      <c r="I33" s="636" t="s">
        <v>145</v>
      </c>
      <c r="J33" s="1"/>
    </row>
    <row r="34" spans="1:12" ht="13.5" customHeight="1" x14ac:dyDescent="0.2">
      <c r="A34" s="30" t="s">
        <v>17</v>
      </c>
      <c r="B34" s="269">
        <f>'14 14a'!B32/'15 15a'!F34*1000000</f>
        <v>209.04626744788436</v>
      </c>
      <c r="C34" s="269">
        <f>'14 14a'!C32/'15 15a'!G34*1000000</f>
        <v>273.70992933026122</v>
      </c>
      <c r="D34" s="1026">
        <f>'14 14a'!E32/'15 15a'!H34*1000000</f>
        <v>243.25694014302607</v>
      </c>
      <c r="E34" s="32"/>
      <c r="F34" s="6">
        <f>Tref!C22</f>
        <v>2741020</v>
      </c>
      <c r="G34" s="137">
        <f>Tref!D22</f>
        <v>2586680</v>
      </c>
      <c r="H34" s="16">
        <f>Tref!B22</f>
        <v>5327700</v>
      </c>
      <c r="I34" s="636"/>
      <c r="J34" s="1"/>
    </row>
    <row r="35" spans="1:12" ht="13.5" customHeight="1" x14ac:dyDescent="0.2">
      <c r="A35" s="30" t="s">
        <v>147</v>
      </c>
      <c r="B35" s="269">
        <f>'14 14a'!B33/'15 15a'!F35*1000000</f>
        <v>168.66164801331846</v>
      </c>
      <c r="C35" s="269">
        <f>'14 14a'!C33/'15 15a'!G35*1000000</f>
        <v>238.00995944587584</v>
      </c>
      <c r="D35" s="1026">
        <f>'14 14a'!E33/'15 15a'!H35*1000000</f>
        <v>203.64275562869324</v>
      </c>
      <c r="E35" s="32"/>
      <c r="F35" s="6">
        <f>Tref!C23</f>
        <v>2751070</v>
      </c>
      <c r="G35" s="137">
        <f>Tref!D23</f>
        <v>2596530</v>
      </c>
      <c r="H35" s="16">
        <f>Tref!B23</f>
        <v>5347600</v>
      </c>
      <c r="I35" s="636"/>
      <c r="J35" s="1"/>
    </row>
    <row r="36" spans="1:12" ht="13.5" customHeight="1" x14ac:dyDescent="0.2">
      <c r="A36" s="30" t="s">
        <v>160</v>
      </c>
      <c r="B36" s="269">
        <f>'14 14a'!B34/'15 15a'!F36*1000000</f>
        <v>199.45477534912729</v>
      </c>
      <c r="C36" s="269">
        <f>'14 14a'!C34/'15 15a'!G36*1000000</f>
        <v>271.98177798702073</v>
      </c>
      <c r="D36" s="1026">
        <f>'14 14a'!E34/'15 15a'!H36*1000000</f>
        <v>235.62255723059744</v>
      </c>
      <c r="E36" s="32"/>
      <c r="F36" s="6">
        <f>Tref!C24</f>
        <v>2762531</v>
      </c>
      <c r="G36" s="137">
        <f>Tref!D24</f>
        <v>2610469</v>
      </c>
      <c r="H36" s="16">
        <f>Tref!B24</f>
        <v>5373000</v>
      </c>
      <c r="I36" s="1339"/>
      <c r="J36" s="1"/>
    </row>
    <row r="37" spans="1:12" ht="13.5" customHeight="1" x14ac:dyDescent="0.2">
      <c r="A37" s="30" t="s">
        <v>379</v>
      </c>
      <c r="B37" s="269">
        <f>'14 14a'!B35/'15 15a'!F37*1000000</f>
        <v>197.32125592818949</v>
      </c>
      <c r="C37" s="269">
        <f>'14 14a'!C35/'15 15a'!G37*1000000</f>
        <v>264.50968847609312</v>
      </c>
      <c r="D37" s="1026">
        <f>'14 14a'!E35/'15 15a'!H37*1000000</f>
        <v>230.9101337724573</v>
      </c>
      <c r="E37" s="32" t="s">
        <v>145</v>
      </c>
      <c r="F37" s="6">
        <f>Tref!C25</f>
        <v>2777197</v>
      </c>
      <c r="G37" s="137">
        <f>Tref!D25</f>
        <v>2627503</v>
      </c>
      <c r="H37" s="16">
        <f>Tref!B25</f>
        <v>5404700</v>
      </c>
      <c r="I37" s="1339" t="s">
        <v>145</v>
      </c>
      <c r="J37" s="1"/>
    </row>
    <row r="38" spans="1:12" ht="13.5" customHeight="1" x14ac:dyDescent="0.2">
      <c r="A38" s="1261" t="s">
        <v>603</v>
      </c>
      <c r="B38" s="909">
        <f>'14 14a'!B36/'15 15a'!F38*1000000</f>
        <v>172.02370263961214</v>
      </c>
      <c r="C38" s="909">
        <f>'14 14a'!C36/'15 15a'!G38*1000000</f>
        <v>225.73192440253001</v>
      </c>
      <c r="D38" s="1027">
        <f>'14 14a'!E36/'15 15a'!H38*1000000</f>
        <v>200.19171213685297</v>
      </c>
      <c r="E38" s="32" t="s">
        <v>143</v>
      </c>
      <c r="F38" s="363">
        <f>Tref!C26</f>
        <v>2784500</v>
      </c>
      <c r="G38" s="364">
        <f>Tref!D26</f>
        <v>2640300</v>
      </c>
      <c r="H38" s="1337">
        <f>Tref!B26</f>
        <v>5424800</v>
      </c>
      <c r="I38" s="636"/>
      <c r="J38" s="1"/>
    </row>
    <row r="39" spans="1:12" x14ac:dyDescent="0.2">
      <c r="A39" s="1"/>
      <c r="B39" s="7"/>
      <c r="C39" s="7"/>
      <c r="D39" s="7"/>
      <c r="E39" s="1"/>
      <c r="F39" s="1"/>
      <c r="G39" s="1"/>
      <c r="H39" s="1"/>
      <c r="I39" s="1"/>
      <c r="J39" s="1"/>
      <c r="K39" s="1"/>
    </row>
    <row r="40" spans="1:12" x14ac:dyDescent="0.2">
      <c r="A40" s="2" t="s">
        <v>162</v>
      </c>
      <c r="B40" s="1"/>
      <c r="C40" s="1"/>
      <c r="D40" s="1"/>
      <c r="E40" s="1"/>
      <c r="F40" s="1"/>
      <c r="G40" s="1"/>
      <c r="H40" s="1"/>
      <c r="I40" s="1"/>
      <c r="J40" s="1"/>
      <c r="K40" s="1"/>
    </row>
    <row r="41" spans="1:12" x14ac:dyDescent="0.2">
      <c r="A41" s="71" t="s">
        <v>967</v>
      </c>
      <c r="B41" s="1"/>
      <c r="C41" s="1"/>
      <c r="D41" s="1"/>
      <c r="E41" s="1"/>
      <c r="F41" s="1"/>
      <c r="G41" s="1"/>
      <c r="H41" s="1"/>
      <c r="I41" s="1"/>
      <c r="J41" s="1"/>
      <c r="K41" s="1"/>
    </row>
    <row r="42" spans="1:12" x14ac:dyDescent="0.2">
      <c r="A42" s="71" t="s">
        <v>968</v>
      </c>
      <c r="B42" s="1"/>
      <c r="C42" s="1"/>
      <c r="D42" s="1"/>
      <c r="E42" s="1"/>
      <c r="F42" s="1"/>
      <c r="G42" s="1"/>
      <c r="H42" s="1"/>
      <c r="I42" s="1"/>
      <c r="J42" s="1"/>
      <c r="K42" s="1"/>
    </row>
    <row r="43" spans="1:12" ht="24.75" customHeight="1" x14ac:dyDescent="0.2">
      <c r="A43" s="1672" t="s">
        <v>964</v>
      </c>
      <c r="B43" s="1672"/>
      <c r="C43" s="1672"/>
      <c r="D43" s="1672"/>
      <c r="E43" s="1672"/>
      <c r="F43" s="1672"/>
      <c r="G43" s="1672"/>
      <c r="H43" s="1672"/>
      <c r="I43" s="1672"/>
      <c r="J43" s="1538"/>
      <c r="K43" s="1538"/>
      <c r="L43" s="1538"/>
    </row>
    <row r="44" spans="1:12" ht="13.5" customHeight="1" x14ac:dyDescent="0.2">
      <c r="A44" s="1568"/>
      <c r="B44" s="1568"/>
      <c r="C44" s="1568"/>
      <c r="D44" s="1568"/>
      <c r="E44" s="1568"/>
      <c r="F44" s="1568"/>
      <c r="G44" s="1568"/>
      <c r="H44" s="1568"/>
      <c r="I44" s="1568"/>
      <c r="J44" s="1568"/>
      <c r="K44" s="1568"/>
      <c r="L44" s="1568"/>
    </row>
    <row r="45" spans="1:12" x14ac:dyDescent="0.2">
      <c r="A45" s="386" t="s">
        <v>169</v>
      </c>
    </row>
  </sheetData>
  <sheetProtection algorithmName="SHA-512" hashValue="G0pyLtfn1vcHv2p5rCLiryDRh/MRXVWTeZhCLjCvC1vmAUOjMx0S3hW8R0a7vnWCbNwD8Cd0nEEFoEH6UjHe0w==" saltValue="sakLIFEYNra5vupHoYhqzg==" spinCount="100000" sheet="1" objects="1" scenarios="1"/>
  <mergeCells count="10">
    <mergeCell ref="A43:I43"/>
    <mergeCell ref="A24:J24"/>
    <mergeCell ref="A1:J1"/>
    <mergeCell ref="B3:D3"/>
    <mergeCell ref="F3:H3"/>
    <mergeCell ref="B26:D26"/>
    <mergeCell ref="F26:H26"/>
    <mergeCell ref="A20:I20"/>
    <mergeCell ref="A21:I21"/>
    <mergeCell ref="A22:I22"/>
  </mergeCells>
  <hyperlinks>
    <hyperlink ref="A45" location="Contents!A1" display="Return to contents" xr:uid="{00000000-0004-0000-4800-000000000000}"/>
  </hyperlinks>
  <pageMargins left="0.7" right="0.7" top="0.75" bottom="0.75" header="0.3" footer="0.3"/>
  <pageSetup paperSize="9" scale="74" fitToHeight="0" orientation="portrait" r:id="rId1"/>
  <colBreaks count="1" manualBreakCount="1">
    <brk id="13"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2">
    <tabColor theme="4"/>
    <pageSetUpPr fitToPage="1"/>
  </sheetPr>
  <dimension ref="A1:L62"/>
  <sheetViews>
    <sheetView showGridLines="0" zoomScaleNormal="100" workbookViewId="0">
      <selection sqref="A1:F1"/>
    </sheetView>
  </sheetViews>
  <sheetFormatPr defaultRowHeight="12.75" x14ac:dyDescent="0.2"/>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38.25" customHeight="1" x14ac:dyDescent="0.2">
      <c r="A1" s="1671" t="s">
        <v>883</v>
      </c>
      <c r="B1" s="1671"/>
      <c r="C1" s="1671"/>
      <c r="D1" s="1671"/>
      <c r="E1" s="1671"/>
      <c r="F1" s="1671"/>
      <c r="G1" s="201"/>
      <c r="H1" s="201"/>
      <c r="I1" s="201"/>
      <c r="J1" s="201"/>
      <c r="K1" s="201"/>
      <c r="L1" s="201"/>
    </row>
    <row r="2" spans="1:12" ht="26.25" customHeight="1" x14ac:dyDescent="0.2">
      <c r="A2" s="1"/>
      <c r="B2" s="1"/>
      <c r="C2" s="1"/>
      <c r="D2" s="145" t="s">
        <v>58</v>
      </c>
      <c r="E2" s="1"/>
      <c r="F2" s="1"/>
      <c r="G2" s="1"/>
      <c r="H2" s="1"/>
      <c r="I2" s="1"/>
      <c r="J2" s="1"/>
    </row>
    <row r="3" spans="1:12" ht="15" customHeight="1" x14ac:dyDescent="0.2">
      <c r="A3" s="148"/>
      <c r="B3" s="1741" t="s">
        <v>884</v>
      </c>
      <c r="C3" s="1742"/>
      <c r="D3" s="1743"/>
      <c r="E3" s="547"/>
    </row>
    <row r="4" spans="1:12" x14ac:dyDescent="0.2">
      <c r="A4" s="52" t="s">
        <v>198</v>
      </c>
      <c r="B4" s="517" t="s">
        <v>180</v>
      </c>
      <c r="C4" s="517" t="s">
        <v>181</v>
      </c>
      <c r="D4" s="517" t="s">
        <v>11</v>
      </c>
      <c r="E4" s="1"/>
    </row>
    <row r="5" spans="1:12" ht="18.75" customHeight="1" x14ac:dyDescent="0.2">
      <c r="A5" s="1113" t="s">
        <v>184</v>
      </c>
      <c r="B5" s="683">
        <f>GETPIVOTDATA("Sum of Female",T_15!$A$4,"Pub_fataldescription","Burns")/B15*1000000</f>
        <v>2.1547854192853295</v>
      </c>
      <c r="C5" s="683">
        <f>GETPIVOTDATA("Sum of Male",T_15!$A$4,"Pub_fataldescription","Burns")/C15*1000000</f>
        <v>3.4087035564140438</v>
      </c>
      <c r="D5" s="271">
        <f>(GETPIVOTDATA("Sum of Total_Fatal",T_15!$A$4,"Pub_fataldescription","Burns"))/D15*1000000</f>
        <v>2.7650788969178586</v>
      </c>
      <c r="E5" s="1"/>
    </row>
    <row r="6" spans="1:12" ht="13.5" customHeight="1" x14ac:dyDescent="0.2">
      <c r="A6" s="639" t="s">
        <v>1019</v>
      </c>
      <c r="B6" s="683">
        <f>GETPIVOTDATA("Sum of Female",T_15!$A$4,"Pub_fataldescription","Combination of burns and overcome by gas/smoke")/B15*1000000</f>
        <v>0</v>
      </c>
      <c r="C6" s="683">
        <f>GETPIVOTDATA("Sum of Male",T_15!$A$4,"Pub_fataldescription","Combination of burns and overcome by gas/smoke")/C15*1000000</f>
        <v>0.75748967920312082</v>
      </c>
      <c r="D6" s="271">
        <f>(GETPIVOTDATA("Sum of Total_Fatal",T_15!$A$4,"Pub_fataldescription","Combination of burns and overcome by gas/smoke"))/D15*1000000</f>
        <v>0.3686771862557145</v>
      </c>
      <c r="E6" s="1"/>
      <c r="F6" s="71"/>
    </row>
    <row r="7" spans="1:12" ht="13.5" customHeight="1" x14ac:dyDescent="0.2">
      <c r="A7" s="9" t="s">
        <v>1020</v>
      </c>
      <c r="B7" s="683">
        <f>GETPIVOTDATA("Sum of Female",T_15!$A$4,"Pub_fataldescription","Overcome by gas, smoke or toxic fumes")/B15*1000000</f>
        <v>3.2321781289279943</v>
      </c>
      <c r="C7" s="683">
        <f>GETPIVOTDATA("Sum of Male",T_15!$A$4,"Pub_fataldescription","Overcome by gas, smoke or toxic fumes")/C15*1000000</f>
        <v>2.6512138772109228</v>
      </c>
      <c r="D7" s="271">
        <f>IFERROR((GETPIVOTDATA("Sum of Total_Fatal",T_15!$A$4,"Pub_fataldescription","Overcome by gas, smoke or toxic fumes"))/D15*1000000,0)</f>
        <v>2.949417490045716</v>
      </c>
      <c r="E7" s="1"/>
      <c r="F7" s="2"/>
    </row>
    <row r="8" spans="1:12" ht="13.5" customHeight="1" x14ac:dyDescent="0.2">
      <c r="A8" s="1176" t="s">
        <v>1021</v>
      </c>
      <c r="B8" s="683">
        <f>IFERROR(GETPIVOTDATA("Sum of Female",T_15!$A$4,"Pub_fataldescription","Physical injuries")/B15*1000000,0)</f>
        <v>0</v>
      </c>
      <c r="C8" s="683">
        <f>IFERROR(GETPIVOTDATA("Sum of Male",T_15!$A$4,"Pub_fataldescription","Physical injuries")/C15*1000000,0)</f>
        <v>0.37874483960156041</v>
      </c>
      <c r="D8" s="271">
        <f>IFERROR((GETPIVOTDATA("Sum of Total_Fatal",T_15!$A$4,"Pub_fataldescription","Physical injuries"))/D16*1000000,0)</f>
        <v>0</v>
      </c>
      <c r="E8" s="1"/>
      <c r="F8" s="2"/>
    </row>
    <row r="9" spans="1:12" ht="13.5" customHeight="1" x14ac:dyDescent="0.2">
      <c r="A9" s="1485" t="s">
        <v>1022</v>
      </c>
      <c r="B9" s="683">
        <f>IFERROR(GETPIVOTDATA("Sum of Female",T_15!$A$4,"Pub_fataldescription","Other specified")/B15*1000000,0)</f>
        <v>0</v>
      </c>
      <c r="C9" s="683">
        <f>IFERROR(GETPIVOTDATA("Sum of Male",T_15!$A$4,"Pub_fataldescription","Other specified")/C15*1000000,0)</f>
        <v>0</v>
      </c>
      <c r="D9" s="271">
        <f>IFERROR((GETPIVOTDATA("Sum of Total_Fatal",T_15!$A$4,"Pub_fataldescription","Other specified"))/D15*1000000,0)</f>
        <v>0</v>
      </c>
      <c r="E9" s="1"/>
      <c r="F9" s="2"/>
    </row>
    <row r="10" spans="1:12" ht="13.5" customHeight="1" x14ac:dyDescent="0.2">
      <c r="A10" s="1486" t="s">
        <v>1023</v>
      </c>
      <c r="B10" s="684">
        <f>GETPIVOTDATA("Sum of Female",T_15!$A$4,"Pub_fataldescription","Unspecified")/B15*1000000</f>
        <v>1.0773927096426648</v>
      </c>
      <c r="C10" s="684">
        <f>GETPIVOTDATA("Sum of Male",T_15!$A$4,"Pub_fataldescription","Unspecified")/C15*1000000</f>
        <v>2.6512138772109228</v>
      </c>
      <c r="D10" s="685">
        <f>(GETPIVOTDATA("Sum of Total_Fatal",T_15!$A$4,"Pub_fataldescription","Unspecified"))/D15*1000000</f>
        <v>1.8433859312785725</v>
      </c>
      <c r="E10" s="1"/>
      <c r="F10" s="2"/>
    </row>
    <row r="11" spans="1:12" x14ac:dyDescent="0.2">
      <c r="A11" s="499"/>
      <c r="B11" s="683"/>
      <c r="C11" s="1324"/>
      <c r="D11" s="271"/>
      <c r="E11" s="1"/>
      <c r="F11" s="71"/>
    </row>
    <row r="12" spans="1:12" ht="30" customHeight="1" x14ac:dyDescent="0.2">
      <c r="A12" s="503" t="s">
        <v>11</v>
      </c>
      <c r="B12" s="686">
        <f>GETPIVOTDATA("Sum of Female",T_15!$A$4)/B15*1000000</f>
        <v>6.4643562578559886</v>
      </c>
      <c r="C12" s="687">
        <f>GETPIVOTDATA("Sum of Male",T_15!$A$4)/C15*1000000</f>
        <v>9.8473658296405713</v>
      </c>
      <c r="D12" s="688">
        <f>GETPIVOTDATA("Sum of Total_Fatal",T_15!$A$4)/D15*1000000</f>
        <v>8.1108980976257197</v>
      </c>
      <c r="E12" s="1"/>
      <c r="F12" s="71"/>
    </row>
    <row r="13" spans="1:12" ht="13.5" customHeight="1" x14ac:dyDescent="0.2">
      <c r="A13" s="701"/>
      <c r="B13" s="702"/>
      <c r="C13" s="702"/>
      <c r="D13" s="703"/>
      <c r="E13" s="1"/>
    </row>
    <row r="14" spans="1:12" ht="13.5" customHeight="1" x14ac:dyDescent="0.2">
      <c r="A14" s="701"/>
      <c r="B14" s="704" t="s">
        <v>180</v>
      </c>
      <c r="C14" s="704" t="s">
        <v>181</v>
      </c>
      <c r="D14" s="705" t="s">
        <v>11</v>
      </c>
      <c r="E14" s="1"/>
    </row>
    <row r="15" spans="1:12" ht="22.5" customHeight="1" x14ac:dyDescent="0.2">
      <c r="A15" s="203" t="s">
        <v>339</v>
      </c>
      <c r="B15" s="706">
        <f>GETPIVOTDATA("Sum of Females",T_15!$A$4,"Pub_fataldescription","Burns")</f>
        <v>2784500</v>
      </c>
      <c r="C15" s="707">
        <f>GETPIVOTDATA("Sum of Males",T_15!$A$4,"Pub_fataldescription","Burns")</f>
        <v>2640300</v>
      </c>
      <c r="D15" s="708">
        <f>B15+C15</f>
        <v>5424800</v>
      </c>
      <c r="E15" s="1"/>
    </row>
    <row r="16" spans="1:12" x14ac:dyDescent="0.2">
      <c r="A16" s="1"/>
      <c r="B16" s="1"/>
      <c r="C16" s="1"/>
      <c r="D16" s="1"/>
      <c r="E16" s="1"/>
      <c r="F16" s="1"/>
      <c r="G16" s="1"/>
      <c r="H16" s="1"/>
      <c r="I16" s="1"/>
      <c r="J16" s="1"/>
    </row>
    <row r="17" spans="1:12" x14ac:dyDescent="0.2">
      <c r="A17" s="472" t="s">
        <v>162</v>
      </c>
    </row>
    <row r="18" spans="1:12" x14ac:dyDescent="0.2">
      <c r="A18" s="122" t="s">
        <v>963</v>
      </c>
    </row>
    <row r="19" spans="1:12" ht="25.5" customHeight="1" x14ac:dyDescent="0.2">
      <c r="A19" s="1745" t="s">
        <v>802</v>
      </c>
      <c r="B19" s="1745"/>
      <c r="C19" s="1745"/>
      <c r="D19" s="1745"/>
      <c r="E19" s="1745"/>
      <c r="F19" s="1745"/>
      <c r="G19" s="1745"/>
      <c r="H19" s="1745"/>
    </row>
    <row r="20" spans="1:12" ht="25.5" customHeight="1" x14ac:dyDescent="0.2">
      <c r="A20" s="1746" t="s">
        <v>1025</v>
      </c>
      <c r="B20" s="1746"/>
      <c r="C20" s="1746"/>
      <c r="D20" s="1746"/>
      <c r="E20" s="1746"/>
      <c r="F20" s="1746"/>
      <c r="G20" s="1746"/>
      <c r="H20" s="1746"/>
    </row>
    <row r="21" spans="1:12" ht="12.75" customHeight="1" x14ac:dyDescent="0.2"/>
    <row r="22" spans="1:12" ht="38.25" customHeight="1" x14ac:dyDescent="0.2">
      <c r="A22" s="1671" t="s">
        <v>885</v>
      </c>
      <c r="B22" s="1671"/>
      <c r="C22" s="1671"/>
      <c r="D22" s="1671"/>
      <c r="E22" s="1671"/>
      <c r="F22" s="1671"/>
      <c r="I22" s="201"/>
      <c r="J22" s="201"/>
      <c r="K22" s="201"/>
      <c r="L22" s="201"/>
    </row>
    <row r="23" spans="1:12" ht="33.75" customHeight="1" x14ac:dyDescent="0.2">
      <c r="A23" s="1"/>
      <c r="B23" s="1"/>
      <c r="C23" s="1"/>
      <c r="D23" s="145" t="s">
        <v>58</v>
      </c>
      <c r="E23" s="1"/>
      <c r="I23" s="1"/>
      <c r="J23" s="1"/>
    </row>
    <row r="24" spans="1:12" ht="13.5" customHeight="1" x14ac:dyDescent="0.2">
      <c r="A24" s="2"/>
      <c r="B24" s="1741" t="s">
        <v>886</v>
      </c>
      <c r="C24" s="1742"/>
      <c r="D24" s="1743"/>
      <c r="E24" s="547"/>
    </row>
    <row r="25" spans="1:12" x14ac:dyDescent="0.2">
      <c r="A25" s="52" t="s">
        <v>199</v>
      </c>
      <c r="B25" s="517" t="s">
        <v>180</v>
      </c>
      <c r="C25" s="517" t="s">
        <v>181</v>
      </c>
      <c r="D25" s="517" t="s">
        <v>11</v>
      </c>
      <c r="E25" s="1"/>
    </row>
    <row r="26" spans="1:12" ht="18.75" customHeight="1" x14ac:dyDescent="0.2">
      <c r="A26" s="1113" t="s">
        <v>184</v>
      </c>
      <c r="B26" s="683">
        <f>GETPIVOTDATA("Sum of Female",T_15!$A$20,"Pub_injury_withchecks","1Burns")/B37*1000000</f>
        <v>11.492188902855091</v>
      </c>
      <c r="C26" s="1325">
        <f>GETPIVOTDATA("Sum of Male",T_15!$A$20,"Pub_injury_withchecks","1Burns")/C37*1000000</f>
        <v>30.678332007726393</v>
      </c>
      <c r="D26" s="271">
        <f>(GETPIVOTDATA("Sum of Total_Nonfatal",T_15!$A$20,"Pub_injury_withchecks","1Burns"))/D37*1000000</f>
        <v>21.014599616575726</v>
      </c>
      <c r="E26" s="1"/>
      <c r="K26" s="202"/>
    </row>
    <row r="27" spans="1:12" ht="14.25" customHeight="1" x14ac:dyDescent="0.2">
      <c r="A27" s="639" t="s">
        <v>1019</v>
      </c>
      <c r="B27" s="683">
        <f>GETPIVOTDATA("Sum of Female",T_15!$A$20,"Pub_injury_withchecks","2Combination of burns and overcome by gas/smoke")/B37*1000000</f>
        <v>3.5913090321422159</v>
      </c>
      <c r="C27" s="1326">
        <f>GETPIVOTDATA("Sum of Male",T_15!$A$20,"Pub_injury_withchecks","2Combination of burns and overcome by gas/smoke")/C37*1000000</f>
        <v>2.2724690376093628</v>
      </c>
      <c r="D27" s="271">
        <f>(GETPIVOTDATA("Sum of Total_Nonfatal",T_15!$A$20,"Pub_injury_withchecks","2Combination of burns and overcome by gas/smoke"))/D37*1000000</f>
        <v>2.949417490045716</v>
      </c>
      <c r="E27" s="1"/>
      <c r="K27" s="101"/>
    </row>
    <row r="28" spans="1:12" ht="13.5" customHeight="1" x14ac:dyDescent="0.2">
      <c r="A28" s="9" t="s">
        <v>1020</v>
      </c>
      <c r="B28" s="683">
        <f>GETPIVOTDATA("Sum of Female",T_15!$A$20,"Pub_injury_withchecks","3Overcome by gas, smoke or toxic fumes")/B37*1000000</f>
        <v>109.8940563835518</v>
      </c>
      <c r="C28" s="1326">
        <f>GETPIVOTDATA("Sum of Male",T_15!$A$20,"Pub_injury_withchecks","3Overcome by gas, smoke or toxic fumes")/C37*1000000</f>
        <v>130.66696966253835</v>
      </c>
      <c r="D28" s="271">
        <f>(GETPIVOTDATA("Sum of Total_Nonfatal",T_15!$A$20,"Pub_injury_withchecks","3Overcome by gas, smoke or toxic fumes"))/D37*1000000</f>
        <v>121.47913287125792</v>
      </c>
      <c r="E28" s="1"/>
      <c r="K28" s="177"/>
    </row>
    <row r="29" spans="1:12" ht="13.5" customHeight="1" x14ac:dyDescent="0.2">
      <c r="A29" s="1176" t="s">
        <v>1021</v>
      </c>
      <c r="B29" s="683">
        <f>GETPIVOTDATA("Sum of Female",T_15!$A$20,"Pub_injury_withchecks","4Physical injuries")/B37*1000000</f>
        <v>5.3869635482133242</v>
      </c>
      <c r="C29" s="1326">
        <f>GETPIVOTDATA("Sum of Male",T_15!$A$20,"Pub_injury_withchecks","4Physical injuries")/C37*1000000</f>
        <v>7.5748967920312085</v>
      </c>
      <c r="D29" s="271">
        <f>(GETPIVOTDATA("Sum of Total_Nonfatal",T_15!$A$20,"Pub_injury_withchecks","4Physical injuries"))/D37*1000000</f>
        <v>6.4518507594750041</v>
      </c>
      <c r="E29" s="1"/>
      <c r="K29" s="177"/>
    </row>
    <row r="30" spans="1:12" ht="13.5" customHeight="1" x14ac:dyDescent="0.2">
      <c r="A30" s="764" t="s">
        <v>1024</v>
      </c>
      <c r="B30" s="683">
        <f>GETPIVOTDATA("Sum of Female",T_15!$A$20,"Pub_injury_withchecks","5Shock")/B37*1000000</f>
        <v>2.8730472257137727</v>
      </c>
      <c r="C30" s="1326">
        <f>GETPIVOTDATA("Sum of Male",T_15!$A$20,"Pub_injury_withchecks","5Shock")/C37*1000000</f>
        <v>3.4087035564140438</v>
      </c>
      <c r="D30" s="689">
        <f>(GETPIVOTDATA("Sum of Total_Nonfatal",T_15!$A$20,"Pub_injury_withchecks","5Shock"))/D37*1000000</f>
        <v>3.1337560831735733</v>
      </c>
      <c r="E30" s="1"/>
    </row>
    <row r="31" spans="1:12" ht="13.5" customHeight="1" x14ac:dyDescent="0.2">
      <c r="A31" s="764" t="s">
        <v>1022</v>
      </c>
      <c r="B31" s="683">
        <f>GETPIVOTDATA("Sum of Female",T_15!$A$20,"Pub_injury_withchecks","6Other specified")/B37*1000000</f>
        <v>24.061770515352844</v>
      </c>
      <c r="C31" s="1326">
        <f>GETPIVOTDATA("Sum of Male",T_15!$A$20,"Pub_injury_withchecks","6Other specified")/C37*1000000</f>
        <v>28.027118130515472</v>
      </c>
      <c r="D31" s="689">
        <f>(GETPIVOTDATA("Sum of Total_Nonfatal",T_15!$A$20,"Pub_injury_withchecks","6Other specified"))/D37*1000000</f>
        <v>25.991741631027875</v>
      </c>
      <c r="E31" s="1"/>
      <c r="K31" s="177"/>
    </row>
    <row r="32" spans="1:12" ht="13.5" customHeight="1" x14ac:dyDescent="0.2">
      <c r="A32" s="1486" t="s">
        <v>1023</v>
      </c>
      <c r="B32" s="683">
        <f>GETPIVOTDATA("Sum of Female",T_15!$A$20,"Pub_injury_withchecks","8Other/Not known")/B37*1000000</f>
        <v>14.724367031783085</v>
      </c>
      <c r="C32" s="1326">
        <f>GETPIVOTDATA("Sum of Male",T_15!$A$20,"Pub_injury_withchecks","8Other/Not known")/C37*1000000</f>
        <v>23.103435215695185</v>
      </c>
      <c r="D32" s="689">
        <f>(GETPIVOTDATA("Sum of Total_Nonfatal",T_15!$A$20,"Pub_injury_withchecks","8Other/Not known"))/D37*1000000</f>
        <v>19.171213685297154</v>
      </c>
      <c r="E32" s="1"/>
      <c r="K32" s="177"/>
    </row>
    <row r="33" spans="1:12" x14ac:dyDescent="0.2">
      <c r="A33" s="499"/>
      <c r="B33" s="683"/>
      <c r="C33" s="1324"/>
      <c r="D33" s="689"/>
      <c r="E33" s="1"/>
      <c r="K33" s="7"/>
    </row>
    <row r="34" spans="1:12" ht="30" customHeight="1" x14ac:dyDescent="0.2">
      <c r="A34" s="503" t="s">
        <v>11</v>
      </c>
      <c r="B34" s="686">
        <f>GETPIVOTDATA("Sum of Female",T_15!$A$20)/B37*1000000</f>
        <v>172.02370263961214</v>
      </c>
      <c r="C34" s="686">
        <f>GETPIVOTDATA("Sum of Male",T_15!$A$20)/C37*1000000</f>
        <v>225.73192440253001</v>
      </c>
      <c r="D34" s="688">
        <f>GETPIVOTDATA("Sum of Total_Nonfatal",T_15!$A$20)/D37*1000000</f>
        <v>200.19171213685297</v>
      </c>
      <c r="E34" s="1"/>
      <c r="K34" s="149"/>
    </row>
    <row r="35" spans="1:12" ht="13.5" customHeight="1" x14ac:dyDescent="0.2">
      <c r="A35" s="701"/>
      <c r="B35" s="702"/>
      <c r="C35" s="702"/>
      <c r="D35" s="703"/>
      <c r="E35" s="1"/>
    </row>
    <row r="36" spans="1:12" ht="13.5" customHeight="1" x14ac:dyDescent="0.2">
      <c r="A36" s="701"/>
      <c r="B36" s="704" t="s">
        <v>180</v>
      </c>
      <c r="C36" s="704" t="s">
        <v>181</v>
      </c>
      <c r="D36" s="705" t="s">
        <v>11</v>
      </c>
      <c r="E36" s="1"/>
    </row>
    <row r="37" spans="1:12" ht="22.5" customHeight="1" x14ac:dyDescent="0.2">
      <c r="A37" s="203" t="s">
        <v>339</v>
      </c>
      <c r="B37" s="706">
        <f>GETPIVOTDATA("Sum of Females",T_15!$A$20,"Pub_injury_withchecks","1Burns")</f>
        <v>2784500</v>
      </c>
      <c r="C37" s="707">
        <f>GETPIVOTDATA("Sum of Males",T_15!$A$20,"Pub_injury_withchecks","1Burns")</f>
        <v>2640300</v>
      </c>
      <c r="D37" s="708">
        <f>B37+C37</f>
        <v>5424800</v>
      </c>
      <c r="E37" s="1"/>
    </row>
    <row r="38" spans="1:12" ht="13.5" customHeight="1" x14ac:dyDescent="0.2">
      <c r="A38" s="701"/>
      <c r="B38" s="702"/>
      <c r="C38" s="702"/>
      <c r="D38" s="703"/>
      <c r="E38" s="1"/>
    </row>
    <row r="39" spans="1:12" ht="13.5" customHeight="1" x14ac:dyDescent="0.2">
      <c r="A39" s="13" t="s">
        <v>162</v>
      </c>
      <c r="B39" s="1"/>
      <c r="C39" s="1"/>
      <c r="D39" s="1"/>
      <c r="E39" s="1"/>
      <c r="F39" s="1"/>
      <c r="G39" s="1"/>
      <c r="H39" s="1"/>
      <c r="I39" s="1"/>
      <c r="J39" s="1"/>
      <c r="K39" s="1"/>
      <c r="L39" s="1"/>
    </row>
    <row r="40" spans="1:12" x14ac:dyDescent="0.2">
      <c r="A40" s="122" t="s">
        <v>963</v>
      </c>
      <c r="B40" s="122"/>
      <c r="C40" s="122"/>
      <c r="D40" s="122"/>
      <c r="E40" s="122"/>
      <c r="F40" s="122"/>
      <c r="G40" s="122"/>
      <c r="H40" s="122"/>
      <c r="I40" s="122"/>
      <c r="J40" s="122"/>
      <c r="K40" s="122"/>
      <c r="L40" s="1"/>
    </row>
    <row r="41" spans="1:12" ht="25.5" customHeight="1" x14ac:dyDescent="0.2">
      <c r="A41" s="1747" t="s">
        <v>802</v>
      </c>
      <c r="B41" s="1747"/>
      <c r="C41" s="1747"/>
      <c r="D41" s="1747"/>
      <c r="E41" s="1747"/>
      <c r="F41" s="1747"/>
      <c r="G41" s="1747"/>
      <c r="H41" s="1747"/>
      <c r="I41" s="1"/>
      <c r="J41" s="1"/>
      <c r="K41" s="1"/>
      <c r="L41" s="1"/>
    </row>
    <row r="42" spans="1:12" ht="25.5" customHeight="1" x14ac:dyDescent="0.2">
      <c r="A42" s="1672" t="s">
        <v>964</v>
      </c>
      <c r="B42" s="1672"/>
      <c r="C42" s="1672"/>
      <c r="D42" s="1672"/>
      <c r="E42" s="1672"/>
      <c r="F42" s="1672"/>
      <c r="G42" s="1672"/>
      <c r="H42" s="1672"/>
      <c r="I42" s="1538"/>
      <c r="J42" s="1538"/>
      <c r="K42" s="1538"/>
      <c r="L42" s="1538"/>
    </row>
    <row r="43" spans="1:12" ht="25.5" customHeight="1" x14ac:dyDescent="0.2">
      <c r="A43" s="1654" t="s">
        <v>1034</v>
      </c>
      <c r="B43" s="1654"/>
      <c r="C43" s="1654"/>
      <c r="D43" s="1654"/>
      <c r="E43" s="1654"/>
      <c r="F43" s="1654"/>
      <c r="G43" s="1654"/>
      <c r="H43" s="1654"/>
      <c r="I43" s="1537"/>
      <c r="J43" s="1537"/>
      <c r="K43" s="1537"/>
      <c r="L43" s="1537"/>
    </row>
    <row r="44" spans="1:12" x14ac:dyDescent="0.2">
      <c r="G44" s="256"/>
      <c r="H44" s="256"/>
      <c r="I44" s="256"/>
      <c r="J44" s="1"/>
    </row>
    <row r="45" spans="1:12" ht="38.25" customHeight="1" x14ac:dyDescent="0.2">
      <c r="A45" s="1671" t="s">
        <v>887</v>
      </c>
      <c r="B45" s="1671"/>
      <c r="C45" s="1671"/>
      <c r="D45" s="1671"/>
      <c r="E45" s="1671"/>
      <c r="F45" s="1671"/>
      <c r="G45" s="201"/>
      <c r="H45" s="201"/>
      <c r="I45" s="201"/>
      <c r="J45" s="201"/>
      <c r="K45" s="201"/>
      <c r="L45" s="201"/>
    </row>
    <row r="46" spans="1:12" ht="23.25" customHeight="1" x14ac:dyDescent="0.2">
      <c r="A46" s="1"/>
      <c r="B46" s="7"/>
      <c r="C46" s="7"/>
      <c r="D46" s="145" t="s">
        <v>58</v>
      </c>
      <c r="E46" s="7"/>
    </row>
    <row r="47" spans="1:12" ht="13.5" customHeight="1" x14ac:dyDescent="0.2">
      <c r="A47" s="2"/>
      <c r="B47" s="1741" t="s">
        <v>350</v>
      </c>
      <c r="C47" s="1742"/>
      <c r="D47" s="1743"/>
      <c r="E47" s="547"/>
    </row>
    <row r="48" spans="1:12" ht="12.75" customHeight="1" x14ac:dyDescent="0.2">
      <c r="A48" s="52" t="s">
        <v>187</v>
      </c>
      <c r="B48" s="517" t="s">
        <v>180</v>
      </c>
      <c r="C48" s="517" t="s">
        <v>181</v>
      </c>
      <c r="D48" s="517" t="s">
        <v>11</v>
      </c>
      <c r="E48" s="7"/>
    </row>
    <row r="49" spans="1:11" ht="18.75" customHeight="1" x14ac:dyDescent="0.2">
      <c r="A49" s="501" t="s">
        <v>1026</v>
      </c>
      <c r="B49" s="690">
        <f>GETPIVOTDATA("Sum of Non FRS personnelFemale",T_15!$A$40,"Treatment","1Precautionary check recommended")/B57*1000000</f>
        <v>35.913090321422153</v>
      </c>
      <c r="C49" s="1327">
        <f>GETPIVOTDATA("Sum of Non FRS personnelMale",T_15!$A$40,"Treatment","1Precautionary check recommended")/C57*1000000</f>
        <v>46.58561527099193</v>
      </c>
      <c r="D49" s="691">
        <f>(GETPIVOTDATA("Sum of Non FRS personnelFemale",T_15!$A$40,"Treatment","1Precautionary check recommended")+GETPIVOTDATA("Sum of Non FRS personnelNot known",T_15!$A$40,"Treatment","1Precautionary check recommended")+GETPIVOTDATA("Sum of Non FRS personnelNot specified",T_15!$A$40,"Treatment","1Precautionary check recommended")+GETPIVOTDATA("Sum of Non FRS personnelMale",T_15!$A$40,"Treatment","1Precautionary check recommended"))/D57*1000000</f>
        <v>41.476183453767881</v>
      </c>
      <c r="E49" s="1"/>
    </row>
    <row r="50" spans="1:11" ht="13.5" customHeight="1" x14ac:dyDescent="0.2">
      <c r="A50" s="501" t="s">
        <v>1027</v>
      </c>
      <c r="B50" s="690">
        <f>GETPIVOTDATA("Sum of Non FRS personnelFemale",T_15!$A$40,"Treatment","2First aid given at scene")/B57*1000000</f>
        <v>74.340096965343875</v>
      </c>
      <c r="C50" s="1328">
        <f>GETPIVOTDATA("Sum of Non FRS personnelMale",T_15!$A$40,"Treatment","2First aid given at scene")/C57*1000000</f>
        <v>91.277506343976071</v>
      </c>
      <c r="D50" s="691">
        <f>(GETPIVOTDATA("Sum of Non FRS personnelFemale",T_15!$A$40,"Treatment","2First aid given at scene")+GETPIVOTDATA("Sum of Non FRS personnelMale",T_15!$A$40,"Treatment","2First aid given at scene")+GETPIVOTDATA("Sum of Non FRS personnelNot known",T_15!$A$40,"Treatment","2First aid given at scene")+GETPIVOTDATA("Sum of Non FRS personnelNot specified",T_15!$A$40,"Treatment","2First aid given at scene"))/D57*1000000</f>
        <v>83.874059873175057</v>
      </c>
      <c r="E50" s="1"/>
    </row>
    <row r="51" spans="1:11" ht="13.5" customHeight="1" x14ac:dyDescent="0.2">
      <c r="A51" s="499" t="s">
        <v>1028</v>
      </c>
      <c r="B51" s="690">
        <f>GETPIVOTDATA("Sum of Non FRS personnelFemale",T_15!$A$40,"Treatment","3Victim went to hospital, injuries appear to be Slight")/B57*1000000</f>
        <v>56.383551804632788</v>
      </c>
      <c r="C51" s="1328">
        <f>GETPIVOTDATA("Sum of Non FRS personnelMale",T_15!$A$40,"Treatment","3Victim went to hospital, injuries appear to be Slight")/C57*1000000</f>
        <v>70.067795326288675</v>
      </c>
      <c r="D51" s="691">
        <f>(GETPIVOTDATA("Sum of Non FRS personnelFemale",T_15!$A$40,"Treatment","3Victim went to hospital, injuries appear to be Slight")+GETPIVOTDATA("Sum of Non FRS personnelMale",T_15!$A$40,"Treatment","3Victim went to hospital, injuries appear to be Slight")+GETPIVOTDATA("Sum of Non FRS personnelNot known",T_15!$A$40,"Treatment","3Victim went to hospital, injuries appear to be Slight")+GETPIVOTDATA("Sum of Non FRS personnelNot specified",T_15!$A$40,"Treatment","3Victim went to hospital, injuries appear to be Slight"))/D57*1000000</f>
        <v>63.412476035982898</v>
      </c>
      <c r="E51" s="1"/>
    </row>
    <row r="52" spans="1:11" ht="13.5" customHeight="1" x14ac:dyDescent="0.2">
      <c r="A52" s="499" t="s">
        <v>1029</v>
      </c>
      <c r="B52" s="690">
        <f>GETPIVOTDATA("Sum of Non FRS personnelFemale",T_15!$A$40,"Treatment","4Victim went to hospital, injuries appear to be Serious")/B57*1000000</f>
        <v>5.3869635482133242</v>
      </c>
      <c r="C52" s="1328">
        <f>GETPIVOTDATA("Sum of Non FRS personnelMale",T_15!$A$40,"Treatment","4Victim went to hospital, injuries appear to be Serious")/C57*1000000</f>
        <v>17.80100746127334</v>
      </c>
      <c r="D52" s="691">
        <f>(GETPIVOTDATA("Sum of Non FRS personnelFemale",T_15!$A$40,"Treatment","4Victim went to hospital, injuries appear to be Serious")+GETPIVOTDATA("Sum of Non FRS personnelMale",T_15!$A$40,"Treatment","4Victim went to hospital, injuries appear to be Serious")+GETPIVOTDATA("Sum of Non FRS personnelNot known",T_15!$A$40,"Treatment","4Victim went to hospital, injuries appear to be Serious")+GETPIVOTDATA("Sum of Non FRS personnelNot specified",T_15!$A$40,"Treatment","4Victim went to hospital, injuries appear to be Serious"))/D57*1000000</f>
        <v>11.428992773927149</v>
      </c>
      <c r="E52" s="1"/>
    </row>
    <row r="53" spans="1:11" ht="13.5" customHeight="1" x14ac:dyDescent="0.2">
      <c r="A53" s="499"/>
      <c r="B53" s="690"/>
      <c r="C53" s="1329"/>
      <c r="D53" s="691"/>
      <c r="E53" s="1"/>
    </row>
    <row r="54" spans="1:11" ht="30" customHeight="1" x14ac:dyDescent="0.2">
      <c r="A54" s="552" t="s">
        <v>11</v>
      </c>
      <c r="B54" s="692">
        <f>GETPIVOTDATA("Sum of Non FRS personnelFemale",T_15!$A$40)/B57*1000000</f>
        <v>172.02370263961214</v>
      </c>
      <c r="C54" s="693">
        <f>GETPIVOTDATA("Sum of Non FRS personnelMale",T_15!$A$40)/C57*1000000</f>
        <v>225.73192440253001</v>
      </c>
      <c r="D54" s="694">
        <f>(GETPIVOTDATA("Sum of Non FRS personnelFemale",T_15!$A$40)+GETPIVOTDATA("Sum of Non FRS personnelMale",T_15!$A$40)+GETPIVOTDATA("Sum of Non FRS personnelNot known",T_15!$A$40)+GETPIVOTDATA("Sum of Non FRS personnelNot specified",T_15!$A$40))/D57*1000000</f>
        <v>200.19171213685297</v>
      </c>
      <c r="E54" s="1"/>
    </row>
    <row r="55" spans="1:11" x14ac:dyDescent="0.2">
      <c r="A55" s="2"/>
      <c r="B55" s="533"/>
      <c r="C55" s="533"/>
      <c r="D55" s="533"/>
      <c r="E55" s="1"/>
      <c r="F55" s="1"/>
      <c r="G55" s="1"/>
      <c r="H55" s="1"/>
      <c r="I55" s="1"/>
      <c r="J55" s="1"/>
    </row>
    <row r="56" spans="1:11" ht="15" x14ac:dyDescent="0.2">
      <c r="A56" s="701"/>
      <c r="B56" s="704" t="s">
        <v>180</v>
      </c>
      <c r="C56" s="704" t="s">
        <v>181</v>
      </c>
      <c r="D56" s="705" t="s">
        <v>11</v>
      </c>
      <c r="E56" s="1"/>
      <c r="F56" s="1"/>
      <c r="G56" s="1"/>
      <c r="H56" s="1"/>
      <c r="I56" s="1"/>
      <c r="J56" s="1"/>
    </row>
    <row r="57" spans="1:11" ht="22.5" customHeight="1" x14ac:dyDescent="0.2">
      <c r="A57" s="203" t="s">
        <v>339</v>
      </c>
      <c r="B57" s="706">
        <f>GETPIVOTDATA("Sum of Females",T_15!$A$40,"Treatment","1Precautionary check recommended")</f>
        <v>2784500</v>
      </c>
      <c r="C57" s="707">
        <f>GETPIVOTDATA("Sum of Males",T_15!$A$40,"Treatment","1Precautionary check recommended")</f>
        <v>2640300</v>
      </c>
      <c r="D57" s="708">
        <f>C57+B57</f>
        <v>5424800</v>
      </c>
      <c r="E57" s="1"/>
      <c r="F57" s="1"/>
      <c r="G57" s="1"/>
      <c r="H57" s="1"/>
      <c r="I57" s="1"/>
      <c r="J57" s="1"/>
    </row>
    <row r="58" spans="1:11" ht="13.5" customHeight="1" x14ac:dyDescent="0.2">
      <c r="A58" s="1"/>
      <c r="B58" s="1"/>
      <c r="C58" s="1"/>
      <c r="D58" s="1"/>
      <c r="E58" s="1"/>
      <c r="F58" s="1"/>
      <c r="G58" s="1"/>
      <c r="H58" s="1"/>
      <c r="I58" s="1"/>
      <c r="J58" s="1"/>
    </row>
    <row r="59" spans="1:11" x14ac:dyDescent="0.2">
      <c r="A59" s="549" t="s">
        <v>162</v>
      </c>
      <c r="B59" s="256"/>
      <c r="C59" s="256"/>
      <c r="D59" s="256"/>
      <c r="E59" s="256"/>
      <c r="F59" s="256"/>
      <c r="G59" s="256"/>
      <c r="H59" s="256"/>
      <c r="I59" s="256"/>
      <c r="J59" s="1"/>
    </row>
    <row r="60" spans="1:11" x14ac:dyDescent="0.2">
      <c r="A60" s="71" t="s">
        <v>963</v>
      </c>
      <c r="B60" s="71"/>
      <c r="C60" s="71"/>
      <c r="D60" s="71"/>
      <c r="E60" s="71"/>
      <c r="F60" s="71"/>
      <c r="G60" s="71"/>
      <c r="H60" s="71"/>
      <c r="I60" s="71"/>
      <c r="J60" s="71"/>
      <c r="K60" s="71"/>
    </row>
    <row r="61" spans="1:11" x14ac:dyDescent="0.2">
      <c r="A61" s="550"/>
      <c r="B61" s="256"/>
      <c r="C61" s="256"/>
      <c r="D61" s="256"/>
      <c r="E61" s="256"/>
      <c r="F61" s="256"/>
      <c r="G61" s="256"/>
      <c r="H61" s="256"/>
      <c r="I61" s="256"/>
      <c r="J61" s="1"/>
    </row>
    <row r="62" spans="1:11" x14ac:dyDescent="0.2">
      <c r="A62" s="386" t="s">
        <v>169</v>
      </c>
    </row>
  </sheetData>
  <sheetProtection algorithmName="SHA-512" hashValue="pXVFQViUOgFnBtNGHQf6aAEoc4oFlgbeX6pWBraqjYlFv80AmJadA52ym8oyeNk2E3lWHIPSjF4EFF9qyDQaqQ==" saltValue="RMp9YrhHNPwBXidqcotAtQ==" spinCount="100000" sheet="1" objects="1" scenarios="1"/>
  <mergeCells count="11">
    <mergeCell ref="B3:D3"/>
    <mergeCell ref="B24:D24"/>
    <mergeCell ref="B47:D47"/>
    <mergeCell ref="A1:F1"/>
    <mergeCell ref="A22:F22"/>
    <mergeCell ref="A45:F45"/>
    <mergeCell ref="A19:H19"/>
    <mergeCell ref="A20:H20"/>
    <mergeCell ref="A41:H41"/>
    <mergeCell ref="A42:H42"/>
    <mergeCell ref="A43:H43"/>
  </mergeCells>
  <hyperlinks>
    <hyperlink ref="A62" location="Contents!A1" display="Return to contents" xr:uid="{00000000-0004-0000-4900-000000000000}"/>
  </hyperlinks>
  <pageMargins left="0.7" right="0.7" top="0.75" bottom="0.75" header="0.3" footer="0.3"/>
  <pageSetup paperSize="9" scale="63" orientation="portrait" r:id="rId1"/>
  <drawing r:id="rId2"/>
  <extLst>
    <ext xmlns:x14="http://schemas.microsoft.com/office/spreadsheetml/2009/9/main" uri="{A8765BA9-456A-4dab-B4F3-ACF838C121DE}">
      <x14:slicerList>
        <x14:slicer r:id="rId3"/>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3"/>
  <dimension ref="A1:G45"/>
  <sheetViews>
    <sheetView topLeftCell="A7" workbookViewId="0">
      <selection activeCell="E41" sqref="E41"/>
    </sheetView>
  </sheetViews>
  <sheetFormatPr defaultRowHeight="12.75" x14ac:dyDescent="0.2"/>
  <cols>
    <col min="1" max="1" width="46.85546875" customWidth="1"/>
    <col min="2" max="2" width="33" customWidth="1"/>
    <col min="3" max="3" width="30.5703125" customWidth="1"/>
    <col min="4" max="4" width="15.85546875" customWidth="1"/>
    <col min="5" max="5" width="13.42578125" customWidth="1"/>
    <col min="6" max="6" width="35.85546875" customWidth="1"/>
    <col min="7" max="7" width="38.140625" bestFit="1" customWidth="1"/>
    <col min="8" max="11" width="3" bestFit="1" customWidth="1"/>
    <col min="12" max="12" width="12" bestFit="1" customWidth="1"/>
    <col min="13" max="18" width="3" bestFit="1" customWidth="1"/>
    <col min="19" max="21" width="4" bestFit="1" customWidth="1"/>
    <col min="22" max="22" width="7.140625" bestFit="1" customWidth="1"/>
    <col min="23" max="23" width="11.7109375" bestFit="1" customWidth="1"/>
  </cols>
  <sheetData>
    <row r="1" spans="1:6" x14ac:dyDescent="0.2">
      <c r="A1" s="1300" t="s">
        <v>815</v>
      </c>
      <c r="B1" t="s">
        <v>717</v>
      </c>
    </row>
    <row r="2" spans="1:6" x14ac:dyDescent="0.2">
      <c r="A2" s="1300" t="s">
        <v>4</v>
      </c>
      <c r="B2" t="s">
        <v>603</v>
      </c>
    </row>
    <row r="4" spans="1:6" x14ac:dyDescent="0.2">
      <c r="A4" s="1300" t="s">
        <v>658</v>
      </c>
      <c r="B4" t="s">
        <v>786</v>
      </c>
      <c r="C4" t="s">
        <v>787</v>
      </c>
      <c r="D4" t="s">
        <v>1041</v>
      </c>
      <c r="E4" t="s">
        <v>1042</v>
      </c>
      <c r="F4" t="s">
        <v>790</v>
      </c>
    </row>
    <row r="5" spans="1:6" x14ac:dyDescent="0.2">
      <c r="A5" s="1301" t="s">
        <v>184</v>
      </c>
      <c r="B5">
        <v>6</v>
      </c>
      <c r="C5">
        <v>9</v>
      </c>
      <c r="D5">
        <v>2784500</v>
      </c>
      <c r="E5">
        <v>2640300</v>
      </c>
      <c r="F5">
        <v>15</v>
      </c>
    </row>
    <row r="6" spans="1:6" x14ac:dyDescent="0.2">
      <c r="A6" s="1301" t="s">
        <v>788</v>
      </c>
      <c r="C6">
        <v>2</v>
      </c>
      <c r="D6">
        <v>2784500</v>
      </c>
      <c r="E6">
        <v>2640300</v>
      </c>
      <c r="F6">
        <v>2</v>
      </c>
    </row>
    <row r="7" spans="1:6" x14ac:dyDescent="0.2">
      <c r="A7" s="1301" t="s">
        <v>789</v>
      </c>
      <c r="B7">
        <v>9</v>
      </c>
      <c r="C7">
        <v>7</v>
      </c>
      <c r="D7">
        <v>2784500</v>
      </c>
      <c r="E7">
        <v>2640300</v>
      </c>
      <c r="F7">
        <v>16</v>
      </c>
    </row>
    <row r="8" spans="1:6" x14ac:dyDescent="0.2">
      <c r="A8" s="1301" t="s">
        <v>194</v>
      </c>
      <c r="C8">
        <v>1</v>
      </c>
      <c r="D8">
        <v>2784500</v>
      </c>
      <c r="E8">
        <v>2640300</v>
      </c>
      <c r="F8">
        <v>1</v>
      </c>
    </row>
    <row r="9" spans="1:6" x14ac:dyDescent="0.2">
      <c r="A9" s="1301" t="s">
        <v>228</v>
      </c>
      <c r="B9">
        <v>3</v>
      </c>
      <c r="C9">
        <v>7</v>
      </c>
      <c r="D9">
        <v>2784500</v>
      </c>
      <c r="E9">
        <v>2640300</v>
      </c>
      <c r="F9">
        <v>10</v>
      </c>
    </row>
    <row r="10" spans="1:6" x14ac:dyDescent="0.2">
      <c r="A10" s="1301" t="s">
        <v>666</v>
      </c>
      <c r="B10">
        <v>18</v>
      </c>
      <c r="C10">
        <v>26</v>
      </c>
      <c r="D10">
        <v>13922500</v>
      </c>
      <c r="E10">
        <v>13201500</v>
      </c>
      <c r="F10">
        <v>44</v>
      </c>
    </row>
    <row r="17" spans="1:6" x14ac:dyDescent="0.2">
      <c r="A17" s="1300" t="s">
        <v>4</v>
      </c>
      <c r="B17" t="s">
        <v>603</v>
      </c>
    </row>
    <row r="18" spans="1:6" x14ac:dyDescent="0.2">
      <c r="A18" s="1300" t="s">
        <v>1043</v>
      </c>
      <c r="B18" t="s">
        <v>785</v>
      </c>
    </row>
    <row r="20" spans="1:6" x14ac:dyDescent="0.2">
      <c r="A20" s="1300" t="s">
        <v>658</v>
      </c>
      <c r="B20" t="s">
        <v>786</v>
      </c>
      <c r="C20" t="s">
        <v>787</v>
      </c>
      <c r="D20" t="s">
        <v>1041</v>
      </c>
      <c r="E20" t="s">
        <v>1042</v>
      </c>
      <c r="F20" t="s">
        <v>794</v>
      </c>
    </row>
    <row r="21" spans="1:6" x14ac:dyDescent="0.2">
      <c r="A21" s="1301" t="s">
        <v>795</v>
      </c>
      <c r="B21">
        <v>32</v>
      </c>
      <c r="C21">
        <v>81</v>
      </c>
      <c r="D21" s="302">
        <v>2784500</v>
      </c>
      <c r="E21" s="302">
        <v>2640300</v>
      </c>
      <c r="F21">
        <v>114</v>
      </c>
    </row>
    <row r="22" spans="1:6" x14ac:dyDescent="0.2">
      <c r="A22" s="1301" t="s">
        <v>796</v>
      </c>
      <c r="B22">
        <v>10</v>
      </c>
      <c r="C22">
        <v>6</v>
      </c>
      <c r="D22" s="302">
        <v>2784500</v>
      </c>
      <c r="E22" s="302">
        <v>2640300</v>
      </c>
      <c r="F22">
        <v>16</v>
      </c>
    </row>
    <row r="23" spans="1:6" x14ac:dyDescent="0.2">
      <c r="A23" s="1301" t="s">
        <v>797</v>
      </c>
      <c r="B23">
        <v>306</v>
      </c>
      <c r="C23">
        <v>345</v>
      </c>
      <c r="D23" s="302">
        <v>2784500</v>
      </c>
      <c r="E23" s="302">
        <v>2640300</v>
      </c>
      <c r="F23">
        <v>659</v>
      </c>
    </row>
    <row r="24" spans="1:6" x14ac:dyDescent="0.2">
      <c r="A24" s="1301" t="s">
        <v>798</v>
      </c>
      <c r="B24">
        <v>15</v>
      </c>
      <c r="C24">
        <v>20</v>
      </c>
      <c r="D24" s="302">
        <v>2784500</v>
      </c>
      <c r="E24" s="302">
        <v>2640300</v>
      </c>
      <c r="F24">
        <v>35</v>
      </c>
    </row>
    <row r="25" spans="1:6" x14ac:dyDescent="0.2">
      <c r="A25" s="1301" t="s">
        <v>799</v>
      </c>
      <c r="B25">
        <v>8</v>
      </c>
      <c r="C25">
        <v>9</v>
      </c>
      <c r="D25" s="302">
        <v>2784500</v>
      </c>
      <c r="E25" s="302">
        <v>2640300</v>
      </c>
      <c r="F25">
        <v>17</v>
      </c>
    </row>
    <row r="26" spans="1:6" x14ac:dyDescent="0.2">
      <c r="A26" s="1301" t="s">
        <v>800</v>
      </c>
      <c r="B26">
        <v>67</v>
      </c>
      <c r="C26">
        <v>74</v>
      </c>
      <c r="D26" s="302">
        <v>2784500</v>
      </c>
      <c r="E26" s="302">
        <v>2640300</v>
      </c>
      <c r="F26">
        <v>141</v>
      </c>
    </row>
    <row r="27" spans="1:6" x14ac:dyDescent="0.2">
      <c r="A27" s="1301" t="s">
        <v>801</v>
      </c>
      <c r="B27">
        <v>41</v>
      </c>
      <c r="C27">
        <v>61</v>
      </c>
      <c r="D27" s="302">
        <v>2784500</v>
      </c>
      <c r="E27" s="302">
        <v>2640300</v>
      </c>
      <c r="F27">
        <v>104</v>
      </c>
    </row>
    <row r="28" spans="1:6" x14ac:dyDescent="0.2">
      <c r="A28" s="1301" t="s">
        <v>666</v>
      </c>
      <c r="B28">
        <v>479</v>
      </c>
      <c r="C28">
        <v>596</v>
      </c>
      <c r="D28">
        <v>19491500</v>
      </c>
      <c r="E28">
        <v>18482100</v>
      </c>
      <c r="F28">
        <v>1086</v>
      </c>
    </row>
    <row r="29" spans="1:6" x14ac:dyDescent="0.2">
      <c r="A29" s="1301"/>
    </row>
    <row r="38" spans="1:7" x14ac:dyDescent="0.2">
      <c r="A38" s="1300" t="s">
        <v>4</v>
      </c>
      <c r="B38" t="s">
        <v>603</v>
      </c>
    </row>
    <row r="40" spans="1:7" x14ac:dyDescent="0.2">
      <c r="A40" s="1300" t="s">
        <v>658</v>
      </c>
      <c r="B40" t="s">
        <v>811</v>
      </c>
      <c r="C40" t="s">
        <v>812</v>
      </c>
      <c r="D40" t="s">
        <v>1041</v>
      </c>
      <c r="E40" t="s">
        <v>1042</v>
      </c>
      <c r="F40" t="s">
        <v>813</v>
      </c>
      <c r="G40" t="s">
        <v>814</v>
      </c>
    </row>
    <row r="41" spans="1:7" x14ac:dyDescent="0.2">
      <c r="A41" s="1301" t="s">
        <v>803</v>
      </c>
      <c r="B41">
        <v>100</v>
      </c>
      <c r="C41">
        <v>123</v>
      </c>
      <c r="D41">
        <v>2784500</v>
      </c>
      <c r="E41">
        <v>2640300</v>
      </c>
      <c r="F41">
        <v>1</v>
      </c>
      <c r="G41">
        <v>1</v>
      </c>
    </row>
    <row r="42" spans="1:7" x14ac:dyDescent="0.2">
      <c r="A42" s="1301" t="s">
        <v>804</v>
      </c>
      <c r="B42">
        <v>207</v>
      </c>
      <c r="C42">
        <v>241</v>
      </c>
      <c r="D42">
        <v>2784500</v>
      </c>
      <c r="E42">
        <v>2640300</v>
      </c>
      <c r="F42">
        <v>7</v>
      </c>
    </row>
    <row r="43" spans="1:7" x14ac:dyDescent="0.2">
      <c r="A43" s="1301" t="s">
        <v>805</v>
      </c>
      <c r="B43">
        <v>157</v>
      </c>
      <c r="C43">
        <v>185</v>
      </c>
      <c r="D43">
        <v>2784500</v>
      </c>
      <c r="E43">
        <v>2640300</v>
      </c>
      <c r="F43">
        <v>2</v>
      </c>
    </row>
    <row r="44" spans="1:7" x14ac:dyDescent="0.2">
      <c r="A44" s="1301" t="s">
        <v>806</v>
      </c>
      <c r="B44">
        <v>15</v>
      </c>
      <c r="C44">
        <v>47</v>
      </c>
      <c r="D44">
        <v>2784500</v>
      </c>
      <c r="E44">
        <v>2640300</v>
      </c>
    </row>
    <row r="45" spans="1:7" x14ac:dyDescent="0.2">
      <c r="A45" s="1301" t="s">
        <v>666</v>
      </c>
      <c r="B45">
        <v>479</v>
      </c>
      <c r="C45">
        <v>596</v>
      </c>
      <c r="D45">
        <v>11138000</v>
      </c>
      <c r="E45">
        <v>10561200</v>
      </c>
      <c r="F45">
        <v>10</v>
      </c>
      <c r="G45">
        <v>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3">
    <tabColor theme="4"/>
    <pageSetUpPr fitToPage="1"/>
  </sheetPr>
  <dimension ref="A1:Q43"/>
  <sheetViews>
    <sheetView showGridLines="0" zoomScaleNormal="100" workbookViewId="0">
      <selection sqref="A1:P1"/>
    </sheetView>
  </sheetViews>
  <sheetFormatPr defaultRowHeight="12.75" x14ac:dyDescent="0.2"/>
  <cols>
    <col min="1" max="1" width="12" customWidth="1"/>
    <col min="6" max="6" width="11.42578125" customWidth="1"/>
    <col min="8" max="8" width="4.28515625" customWidth="1"/>
    <col min="9" max="9" width="16.140625" customWidth="1"/>
    <col min="10" max="10" width="12.140625" customWidth="1"/>
    <col min="11" max="11" width="14.85546875" customWidth="1"/>
    <col min="12" max="12" width="12.7109375" customWidth="1"/>
    <col min="13" max="13" width="12.5703125" customWidth="1"/>
    <col min="14" max="14" width="12.7109375" customWidth="1"/>
    <col min="15" max="15" width="10" customWidth="1"/>
    <col min="16" max="16" width="10.85546875" customWidth="1"/>
    <col min="24" max="24" width="10.140625" customWidth="1"/>
    <col min="26" max="26" width="17.42578125" customWidth="1"/>
  </cols>
  <sheetData>
    <row r="1" spans="1:17" ht="38.25" customHeight="1" x14ac:dyDescent="0.2">
      <c r="A1" s="1628" t="s">
        <v>634</v>
      </c>
      <c r="B1" s="1628"/>
      <c r="C1" s="1628"/>
      <c r="D1" s="1628"/>
      <c r="E1" s="1628"/>
      <c r="F1" s="1628"/>
      <c r="G1" s="1628"/>
      <c r="H1" s="1628"/>
      <c r="I1" s="1628"/>
      <c r="J1" s="1628"/>
      <c r="K1" s="1628"/>
      <c r="L1" s="1628"/>
      <c r="M1" s="1628"/>
      <c r="N1" s="1628"/>
      <c r="O1" s="1628"/>
      <c r="P1" s="1628"/>
      <c r="Q1" s="467"/>
    </row>
    <row r="2" spans="1:17" ht="15" x14ac:dyDescent="0.25">
      <c r="A2" s="71"/>
      <c r="B2" s="71"/>
      <c r="C2" s="71"/>
      <c r="D2" s="71"/>
      <c r="E2" s="71"/>
      <c r="F2" s="71"/>
      <c r="G2" s="71"/>
      <c r="H2" s="71"/>
      <c r="I2" s="71"/>
      <c r="J2" s="71"/>
      <c r="K2" s="253" t="s">
        <v>0</v>
      </c>
      <c r="L2" s="71"/>
      <c r="M2" s="71"/>
      <c r="N2" s="71"/>
      <c r="O2" s="71"/>
      <c r="Q2" s="1"/>
    </row>
    <row r="3" spans="1:17" ht="13.5" customHeight="1" x14ac:dyDescent="0.2">
      <c r="A3" s="1629" t="s">
        <v>4</v>
      </c>
      <c r="B3" s="1650" t="s">
        <v>186</v>
      </c>
      <c r="C3" s="1677"/>
      <c r="D3" s="1677"/>
      <c r="E3" s="1677"/>
      <c r="F3" s="1677"/>
      <c r="G3" s="1662"/>
      <c r="H3" s="790"/>
      <c r="I3" s="552" t="s">
        <v>185</v>
      </c>
      <c r="J3" s="202"/>
      <c r="K3" s="1637" t="s">
        <v>54</v>
      </c>
      <c r="L3" s="2"/>
      <c r="M3" s="2"/>
      <c r="N3" s="2"/>
      <c r="O3" s="71"/>
      <c r="Q3" s="1"/>
    </row>
    <row r="4" spans="1:17" ht="25.5" x14ac:dyDescent="0.2">
      <c r="A4" s="1687"/>
      <c r="B4" s="102" t="s">
        <v>200</v>
      </c>
      <c r="C4" s="102" t="s">
        <v>201</v>
      </c>
      <c r="D4" s="102" t="s">
        <v>202</v>
      </c>
      <c r="E4" s="102" t="s">
        <v>203</v>
      </c>
      <c r="F4" s="102" t="s">
        <v>191</v>
      </c>
      <c r="G4" s="765" t="s">
        <v>11</v>
      </c>
      <c r="H4" s="162"/>
      <c r="I4" s="102" t="s">
        <v>11</v>
      </c>
      <c r="J4" s="162"/>
      <c r="K4" s="1644"/>
      <c r="L4" s="1"/>
    </row>
    <row r="5" spans="1:17" ht="18.75" customHeight="1" x14ac:dyDescent="0.2">
      <c r="A5" s="17" t="s">
        <v>16</v>
      </c>
      <c r="B5" s="1064">
        <v>0</v>
      </c>
      <c r="C5" s="553">
        <v>8</v>
      </c>
      <c r="D5" s="553">
        <v>33</v>
      </c>
      <c r="E5" s="553">
        <v>30</v>
      </c>
      <c r="F5" s="553">
        <v>0</v>
      </c>
      <c r="G5" s="484">
        <f>SUM(B5:F5)</f>
        <v>71</v>
      </c>
      <c r="H5" s="71"/>
      <c r="I5" s="555">
        <v>0</v>
      </c>
      <c r="J5" s="71"/>
      <c r="K5" s="484">
        <f>I5+G5</f>
        <v>71</v>
      </c>
      <c r="L5" s="1"/>
    </row>
    <row r="6" spans="1:17" ht="13.5" customHeight="1" x14ac:dyDescent="0.2">
      <c r="A6" s="5" t="s">
        <v>18</v>
      </c>
      <c r="B6" s="179">
        <v>2</v>
      </c>
      <c r="C6" s="179">
        <v>5</v>
      </c>
      <c r="D6" s="179">
        <v>28</v>
      </c>
      <c r="E6" s="179">
        <v>29</v>
      </c>
      <c r="F6" s="602">
        <v>0</v>
      </c>
      <c r="G6" s="485">
        <f t="shared" ref="G6:G15" si="0">SUM(B6:F6)</f>
        <v>64</v>
      </c>
      <c r="H6" s="71"/>
      <c r="I6" s="506">
        <v>0</v>
      </c>
      <c r="J6" s="71"/>
      <c r="K6" s="485">
        <f t="shared" ref="K6:K15" si="1">I6+G6</f>
        <v>64</v>
      </c>
      <c r="L6" s="1"/>
    </row>
    <row r="7" spans="1:17" ht="13.5" customHeight="1" x14ac:dyDescent="0.2">
      <c r="A7" s="30" t="s">
        <v>19</v>
      </c>
      <c r="B7" s="602">
        <v>2</v>
      </c>
      <c r="C7" s="179">
        <v>4</v>
      </c>
      <c r="D7" s="179">
        <v>27</v>
      </c>
      <c r="E7" s="179">
        <v>28</v>
      </c>
      <c r="F7" s="602">
        <v>0</v>
      </c>
      <c r="G7" s="485">
        <f t="shared" si="0"/>
        <v>61</v>
      </c>
      <c r="H7" s="71"/>
      <c r="I7" s="509">
        <v>1</v>
      </c>
      <c r="J7" s="71"/>
      <c r="K7" s="485">
        <f t="shared" si="1"/>
        <v>62</v>
      </c>
      <c r="L7" s="1"/>
    </row>
    <row r="8" spans="1:17" ht="13.5" customHeight="1" x14ac:dyDescent="0.2">
      <c r="A8" s="30" t="s">
        <v>20</v>
      </c>
      <c r="B8" s="179">
        <v>0</v>
      </c>
      <c r="C8" s="179">
        <v>6</v>
      </c>
      <c r="D8" s="179">
        <v>23</v>
      </c>
      <c r="E8" s="179">
        <v>23</v>
      </c>
      <c r="F8" s="602">
        <v>0</v>
      </c>
      <c r="G8" s="485">
        <f t="shared" si="0"/>
        <v>52</v>
      </c>
      <c r="H8" s="71"/>
      <c r="I8" s="506">
        <v>0</v>
      </c>
      <c r="J8" s="71"/>
      <c r="K8" s="485">
        <f t="shared" si="1"/>
        <v>52</v>
      </c>
      <c r="L8" s="1"/>
    </row>
    <row r="9" spans="1:17" ht="13.5" customHeight="1" x14ac:dyDescent="0.2">
      <c r="A9" s="30" t="s">
        <v>13</v>
      </c>
      <c r="B9" s="602">
        <v>3</v>
      </c>
      <c r="C9" s="179">
        <v>3</v>
      </c>
      <c r="D9" s="179">
        <v>23</v>
      </c>
      <c r="E9" s="179">
        <v>30</v>
      </c>
      <c r="F9" s="602">
        <v>0</v>
      </c>
      <c r="G9" s="485">
        <f t="shared" si="0"/>
        <v>59</v>
      </c>
      <c r="H9" s="71"/>
      <c r="I9" s="506">
        <v>0</v>
      </c>
      <c r="J9" s="71"/>
      <c r="K9" s="485">
        <f t="shared" si="1"/>
        <v>59</v>
      </c>
      <c r="L9" s="1"/>
    </row>
    <row r="10" spans="1:17" ht="13.5" customHeight="1" x14ac:dyDescent="0.2">
      <c r="A10" s="30" t="s">
        <v>15</v>
      </c>
      <c r="B10" s="179">
        <v>0</v>
      </c>
      <c r="C10" s="179">
        <v>1</v>
      </c>
      <c r="D10" s="179">
        <v>19</v>
      </c>
      <c r="E10" s="179">
        <v>26</v>
      </c>
      <c r="F10" s="602">
        <v>0</v>
      </c>
      <c r="G10" s="485">
        <f t="shared" si="0"/>
        <v>46</v>
      </c>
      <c r="H10" s="71"/>
      <c r="I10" s="509">
        <v>0</v>
      </c>
      <c r="J10" s="71"/>
      <c r="K10" s="485">
        <f t="shared" si="1"/>
        <v>46</v>
      </c>
      <c r="L10" s="1"/>
    </row>
    <row r="11" spans="1:17" ht="13.5" customHeight="1" x14ac:dyDescent="0.2">
      <c r="A11" s="30" t="s">
        <v>17</v>
      </c>
      <c r="B11" s="179">
        <v>0</v>
      </c>
      <c r="C11" s="179">
        <v>0</v>
      </c>
      <c r="D11" s="179">
        <v>15</v>
      </c>
      <c r="E11" s="179">
        <v>16</v>
      </c>
      <c r="F11" s="602">
        <v>0</v>
      </c>
      <c r="G11" s="485">
        <f t="shared" si="0"/>
        <v>31</v>
      </c>
      <c r="H11" s="71"/>
      <c r="I11" s="509">
        <v>0</v>
      </c>
      <c r="J11" s="71"/>
      <c r="K11" s="485">
        <f t="shared" si="1"/>
        <v>31</v>
      </c>
      <c r="L11" s="1"/>
    </row>
    <row r="12" spans="1:17" ht="13.5" customHeight="1" x14ac:dyDescent="0.2">
      <c r="A12" s="30" t="s">
        <v>147</v>
      </c>
      <c r="B12" s="602">
        <v>1</v>
      </c>
      <c r="C12" s="179">
        <v>2</v>
      </c>
      <c r="D12" s="179">
        <v>14</v>
      </c>
      <c r="E12" s="179">
        <v>23</v>
      </c>
      <c r="F12" s="602">
        <v>0</v>
      </c>
      <c r="G12" s="485">
        <f t="shared" si="0"/>
        <v>40</v>
      </c>
      <c r="H12" s="71"/>
      <c r="I12" s="506">
        <v>0</v>
      </c>
      <c r="J12" s="71"/>
      <c r="K12" s="485">
        <f t="shared" si="1"/>
        <v>40</v>
      </c>
      <c r="L12" s="1" t="s">
        <v>145</v>
      </c>
    </row>
    <row r="13" spans="1:17" x14ac:dyDescent="0.2">
      <c r="A13" s="30" t="s">
        <v>160</v>
      </c>
      <c r="B13" s="602">
        <v>0</v>
      </c>
      <c r="C13" s="179">
        <f>'T16'!D5</f>
        <v>3</v>
      </c>
      <c r="D13" s="179">
        <f>'T16'!E5</f>
        <v>18</v>
      </c>
      <c r="E13" s="179">
        <f>'T16'!F5</f>
        <v>23</v>
      </c>
      <c r="F13" s="602">
        <f>'T16'!G5</f>
        <v>1</v>
      </c>
      <c r="G13" s="485">
        <f t="shared" si="0"/>
        <v>45</v>
      </c>
      <c r="H13" s="71"/>
      <c r="I13" s="506">
        <v>0</v>
      </c>
      <c r="J13" s="71"/>
      <c r="K13" s="485">
        <f t="shared" si="1"/>
        <v>45</v>
      </c>
      <c r="L13" s="1"/>
    </row>
    <row r="14" spans="1:17" x14ac:dyDescent="0.2">
      <c r="A14" s="30" t="s">
        <v>379</v>
      </c>
      <c r="B14" s="602">
        <v>0</v>
      </c>
      <c r="C14" s="179">
        <f>'T16'!D6</f>
        <v>4</v>
      </c>
      <c r="D14" s="179">
        <f>'T16'!E6</f>
        <v>22</v>
      </c>
      <c r="E14" s="179">
        <f>'T16'!F6</f>
        <v>18</v>
      </c>
      <c r="F14" s="602">
        <f>'T16'!G6</f>
        <v>0</v>
      </c>
      <c r="G14" s="485">
        <f t="shared" si="0"/>
        <v>44</v>
      </c>
      <c r="H14" s="71"/>
      <c r="I14" s="506">
        <v>0</v>
      </c>
      <c r="J14" s="71"/>
      <c r="K14" s="485">
        <f t="shared" si="1"/>
        <v>44</v>
      </c>
      <c r="L14" s="1"/>
    </row>
    <row r="15" spans="1:17" x14ac:dyDescent="0.2">
      <c r="A15" s="1261" t="s">
        <v>603</v>
      </c>
      <c r="B15" s="987">
        <v>0</v>
      </c>
      <c r="C15" s="543">
        <f>'T16'!D7</f>
        <v>3</v>
      </c>
      <c r="D15" s="543">
        <f>'T16'!E7</f>
        <v>18</v>
      </c>
      <c r="E15" s="543">
        <f>'T16'!F7</f>
        <v>23</v>
      </c>
      <c r="F15" s="987">
        <f>'T16'!G7</f>
        <v>0</v>
      </c>
      <c r="G15" s="486">
        <f t="shared" si="0"/>
        <v>44</v>
      </c>
      <c r="H15" s="71"/>
      <c r="I15" s="556">
        <v>0</v>
      </c>
      <c r="J15" s="71"/>
      <c r="K15" s="486">
        <f t="shared" si="1"/>
        <v>44</v>
      </c>
      <c r="L15" s="1" t="s">
        <v>143</v>
      </c>
    </row>
    <row r="16" spans="1:17" x14ac:dyDescent="0.2">
      <c r="A16" s="1"/>
      <c r="B16" s="1"/>
      <c r="C16" s="1"/>
      <c r="D16" s="1"/>
      <c r="E16" s="1"/>
      <c r="F16" s="1"/>
      <c r="G16" s="1"/>
      <c r="H16" s="1"/>
      <c r="I16" s="1"/>
      <c r="J16" s="1"/>
      <c r="K16" s="1"/>
      <c r="L16" s="1"/>
      <c r="M16" s="1"/>
      <c r="N16" s="1"/>
      <c r="O16" s="1"/>
      <c r="P16" s="1"/>
      <c r="Q16" s="1"/>
    </row>
    <row r="17" spans="1:17" x14ac:dyDescent="0.2">
      <c r="A17" s="2" t="s">
        <v>162</v>
      </c>
      <c r="B17" s="1"/>
      <c r="C17" s="1"/>
      <c r="D17" s="1"/>
      <c r="E17" s="1"/>
      <c r="F17" s="1"/>
      <c r="G17" s="1"/>
      <c r="H17" s="1"/>
      <c r="I17" s="1"/>
      <c r="J17" s="1"/>
      <c r="K17" s="1"/>
      <c r="L17" s="1"/>
      <c r="M17" s="1"/>
      <c r="N17" s="1"/>
      <c r="O17" s="1"/>
      <c r="P17" s="1"/>
      <c r="Q17" s="1"/>
    </row>
    <row r="18" spans="1:17" x14ac:dyDescent="0.2">
      <c r="A18" s="71" t="s">
        <v>967</v>
      </c>
      <c r="B18" s="1"/>
      <c r="C18" s="1"/>
      <c r="D18" s="1"/>
      <c r="E18" s="1"/>
      <c r="F18" s="1"/>
      <c r="G18" s="1"/>
      <c r="H18" s="1"/>
      <c r="I18" s="1"/>
      <c r="J18" s="1"/>
      <c r="K18" s="1"/>
      <c r="L18" s="1"/>
      <c r="M18" s="1"/>
      <c r="N18" s="1"/>
      <c r="O18" s="1"/>
      <c r="P18" s="1"/>
      <c r="Q18" s="1"/>
    </row>
    <row r="19" spans="1:17" x14ac:dyDescent="0.2">
      <c r="A19" s="71" t="s">
        <v>968</v>
      </c>
      <c r="B19" s="1"/>
      <c r="C19" s="1"/>
      <c r="D19" s="1"/>
      <c r="E19" s="1"/>
      <c r="F19" s="1"/>
      <c r="G19" s="1"/>
      <c r="H19" s="1"/>
      <c r="I19" s="1"/>
      <c r="J19" s="1"/>
      <c r="K19" s="1"/>
      <c r="L19" s="1"/>
      <c r="M19" s="1"/>
      <c r="N19" s="1"/>
      <c r="O19" s="1"/>
      <c r="P19" s="1"/>
      <c r="Q19" s="1"/>
    </row>
    <row r="20" spans="1:17" ht="25.5" customHeight="1" x14ac:dyDescent="0.2">
      <c r="A20" s="1654" t="s">
        <v>966</v>
      </c>
      <c r="B20" s="1654"/>
      <c r="C20" s="1654"/>
      <c r="D20" s="1654"/>
      <c r="E20" s="1654"/>
      <c r="F20" s="1654"/>
      <c r="G20" s="1654"/>
      <c r="H20" s="1654"/>
      <c r="I20" s="1654"/>
      <c r="J20" s="1654"/>
      <c r="K20" s="1654"/>
      <c r="L20" s="1654"/>
      <c r="M20" s="1"/>
      <c r="N20" s="1"/>
      <c r="O20" s="1"/>
      <c r="P20" s="1"/>
      <c r="Q20" s="1"/>
    </row>
    <row r="21" spans="1:17" x14ac:dyDescent="0.2">
      <c r="A21" s="695"/>
      <c r="B21" s="695"/>
      <c r="C21" s="695"/>
      <c r="D21" s="695"/>
      <c r="E21" s="695"/>
      <c r="F21" s="695"/>
      <c r="G21" s="1"/>
      <c r="H21" s="1"/>
      <c r="I21" s="1"/>
      <c r="J21" s="1"/>
      <c r="K21" s="1"/>
      <c r="L21" s="1"/>
      <c r="M21" s="1"/>
      <c r="N21" s="1"/>
      <c r="O21" s="1"/>
      <c r="P21" s="1"/>
      <c r="Q21" s="1"/>
    </row>
    <row r="22" spans="1:17" ht="38.25" customHeight="1" x14ac:dyDescent="0.2">
      <c r="A22" s="1655" t="s">
        <v>635</v>
      </c>
      <c r="B22" s="1655"/>
      <c r="C22" s="1655"/>
      <c r="D22" s="1655"/>
      <c r="E22" s="1655"/>
      <c r="F22" s="1655"/>
      <c r="G22" s="1655"/>
      <c r="H22" s="1655"/>
      <c r="I22" s="1655"/>
      <c r="J22" s="1655"/>
      <c r="K22" s="1655"/>
      <c r="L22" s="1655"/>
      <c r="M22" s="1655"/>
      <c r="N22" s="1655"/>
      <c r="O22" s="1655"/>
      <c r="P22" s="1655"/>
      <c r="Q22" s="1"/>
    </row>
    <row r="23" spans="1:17" ht="15" x14ac:dyDescent="0.25">
      <c r="A23" s="1"/>
      <c r="B23" s="1"/>
      <c r="C23" s="1"/>
      <c r="D23" s="1"/>
      <c r="E23" s="1"/>
      <c r="F23" s="1"/>
      <c r="G23" s="1"/>
      <c r="H23" s="1"/>
      <c r="I23" s="1"/>
      <c r="J23" s="1"/>
      <c r="K23" s="1"/>
      <c r="L23" s="1"/>
      <c r="M23" s="1"/>
      <c r="N23" s="1"/>
      <c r="O23" s="1"/>
      <c r="P23" s="234" t="s">
        <v>0</v>
      </c>
      <c r="Q23" s="1"/>
    </row>
    <row r="24" spans="1:17" x14ac:dyDescent="0.2">
      <c r="A24" s="1722" t="s">
        <v>4</v>
      </c>
      <c r="B24" s="1650" t="s">
        <v>186</v>
      </c>
      <c r="C24" s="1677"/>
      <c r="D24" s="1677"/>
      <c r="E24" s="1677"/>
      <c r="F24" s="1677"/>
      <c r="G24" s="1662"/>
      <c r="H24" s="790"/>
      <c r="I24" s="1730" t="s">
        <v>185</v>
      </c>
      <c r="J24" s="1731"/>
      <c r="K24" s="1731"/>
      <c r="L24" s="1731"/>
      <c r="M24" s="1731"/>
      <c r="N24" s="1732"/>
      <c r="O24" s="101"/>
      <c r="P24" s="1637" t="s">
        <v>55</v>
      </c>
      <c r="Q24" s="1"/>
    </row>
    <row r="25" spans="1:17" ht="25.5" x14ac:dyDescent="0.2">
      <c r="A25" s="1724"/>
      <c r="B25" s="765" t="s">
        <v>200</v>
      </c>
      <c r="C25" s="765" t="s">
        <v>201</v>
      </c>
      <c r="D25" s="765" t="s">
        <v>202</v>
      </c>
      <c r="E25" s="765" t="s">
        <v>203</v>
      </c>
      <c r="F25" s="765" t="s">
        <v>191</v>
      </c>
      <c r="G25" s="765" t="s">
        <v>11</v>
      </c>
      <c r="H25" s="101"/>
      <c r="I25" s="780" t="s">
        <v>200</v>
      </c>
      <c r="J25" s="780" t="s">
        <v>201</v>
      </c>
      <c r="K25" s="780" t="s">
        <v>202</v>
      </c>
      <c r="L25" s="780" t="s">
        <v>203</v>
      </c>
      <c r="M25" s="778" t="s">
        <v>183</v>
      </c>
      <c r="N25" s="781" t="s">
        <v>11</v>
      </c>
      <c r="O25" s="101"/>
      <c r="P25" s="1644"/>
      <c r="Q25" s="1"/>
    </row>
    <row r="26" spans="1:17" ht="18.75" customHeight="1" x14ac:dyDescent="0.2">
      <c r="A26" s="597" t="s">
        <v>16</v>
      </c>
      <c r="B26" s="478">
        <v>158</v>
      </c>
      <c r="C26" s="215">
        <v>354</v>
      </c>
      <c r="D26" s="215">
        <v>770</v>
      </c>
      <c r="E26" s="215">
        <v>403</v>
      </c>
      <c r="F26" s="215">
        <v>19</v>
      </c>
      <c r="G26" s="546">
        <f>SUM(B26:F26)</f>
        <v>1704</v>
      </c>
      <c r="H26" s="7"/>
      <c r="I26" s="492"/>
      <c r="J26" s="493"/>
      <c r="K26" s="493"/>
      <c r="L26" s="493"/>
      <c r="M26" s="494"/>
      <c r="N26" s="1062">
        <v>15</v>
      </c>
      <c r="O26" s="7"/>
      <c r="P26" s="546">
        <f>N26+G26</f>
        <v>1719</v>
      </c>
      <c r="Q26" s="1"/>
    </row>
    <row r="27" spans="1:17" ht="13.5" customHeight="1" thickBot="1" x14ac:dyDescent="0.25">
      <c r="A27" s="46" t="s">
        <v>18</v>
      </c>
      <c r="B27" s="1095">
        <v>162</v>
      </c>
      <c r="C27" s="1096">
        <v>373</v>
      </c>
      <c r="D27" s="1096">
        <v>707</v>
      </c>
      <c r="E27" s="1096">
        <v>366</v>
      </c>
      <c r="F27" s="1096">
        <v>13</v>
      </c>
      <c r="G27" s="1097">
        <f t="shared" ref="G27:G36" si="2">SUM(B27:F27)</f>
        <v>1621</v>
      </c>
      <c r="H27" s="7"/>
      <c r="I27" s="495"/>
      <c r="J27" s="496"/>
      <c r="K27" s="496"/>
      <c r="L27" s="496"/>
      <c r="M27" s="497"/>
      <c r="N27" s="1063">
        <v>27</v>
      </c>
      <c r="O27" s="7"/>
      <c r="P27" s="1097">
        <f t="shared" ref="P27:P36" si="3">N27+G27</f>
        <v>1648</v>
      </c>
      <c r="Q27" s="1"/>
    </row>
    <row r="28" spans="1:17" ht="13.5" customHeight="1" x14ac:dyDescent="0.2">
      <c r="A28" s="46" t="s">
        <v>19</v>
      </c>
      <c r="B28" s="479">
        <v>106</v>
      </c>
      <c r="C28" s="177">
        <v>238</v>
      </c>
      <c r="D28" s="177">
        <v>547</v>
      </c>
      <c r="E28" s="177">
        <v>306</v>
      </c>
      <c r="F28" s="177">
        <v>0</v>
      </c>
      <c r="G28" s="964">
        <f t="shared" si="2"/>
        <v>1197</v>
      </c>
      <c r="H28" s="7"/>
      <c r="I28" s="495"/>
      <c r="J28" s="496"/>
      <c r="K28" s="496"/>
      <c r="L28" s="496"/>
      <c r="M28" s="497"/>
      <c r="N28" s="1063">
        <v>17</v>
      </c>
      <c r="O28" s="7"/>
      <c r="P28" s="964">
        <f t="shared" si="3"/>
        <v>1214</v>
      </c>
      <c r="Q28" s="1"/>
    </row>
    <row r="29" spans="1:17" ht="13.5" customHeight="1" x14ac:dyDescent="0.2">
      <c r="A29" s="10" t="s">
        <v>20</v>
      </c>
      <c r="B29" s="479">
        <v>112</v>
      </c>
      <c r="C29" s="177">
        <v>281</v>
      </c>
      <c r="D29" s="177">
        <v>583</v>
      </c>
      <c r="E29" s="177">
        <v>323</v>
      </c>
      <c r="F29" s="602">
        <v>1</v>
      </c>
      <c r="G29" s="16">
        <f t="shared" si="2"/>
        <v>1300</v>
      </c>
      <c r="H29" s="7"/>
      <c r="I29" s="495"/>
      <c r="J29" s="496"/>
      <c r="K29" s="496"/>
      <c r="L29" s="496"/>
      <c r="M29" s="497"/>
      <c r="N29" s="1063">
        <v>28</v>
      </c>
      <c r="O29" s="7"/>
      <c r="P29" s="16">
        <f t="shared" si="3"/>
        <v>1328</v>
      </c>
      <c r="Q29" s="1"/>
    </row>
    <row r="30" spans="1:17" ht="13.5" customHeight="1" x14ac:dyDescent="0.2">
      <c r="A30" s="10" t="s">
        <v>13</v>
      </c>
      <c r="B30" s="479">
        <v>119</v>
      </c>
      <c r="C30" s="177">
        <v>268</v>
      </c>
      <c r="D30" s="177">
        <v>645</v>
      </c>
      <c r="E30" s="177">
        <v>351</v>
      </c>
      <c r="F30" s="507">
        <v>5</v>
      </c>
      <c r="G30" s="16">
        <f t="shared" si="2"/>
        <v>1388</v>
      </c>
      <c r="H30" s="7"/>
      <c r="I30" s="495"/>
      <c r="J30" s="496"/>
      <c r="K30" s="496"/>
      <c r="L30" s="496"/>
      <c r="M30" s="497"/>
      <c r="N30" s="1063">
        <v>28</v>
      </c>
      <c r="O30" s="7"/>
      <c r="P30" s="16">
        <f t="shared" si="3"/>
        <v>1416</v>
      </c>
      <c r="Q30" s="1"/>
    </row>
    <row r="31" spans="1:17" ht="13.5" customHeight="1" x14ac:dyDescent="0.2">
      <c r="A31" s="10" t="s">
        <v>15</v>
      </c>
      <c r="B31" s="479">
        <v>89</v>
      </c>
      <c r="C31" s="177">
        <v>252</v>
      </c>
      <c r="D31" s="177">
        <v>514</v>
      </c>
      <c r="E31" s="177">
        <v>389</v>
      </c>
      <c r="F31" s="507">
        <v>57</v>
      </c>
      <c r="G31" s="16">
        <f t="shared" si="2"/>
        <v>1301</v>
      </c>
      <c r="H31" s="7"/>
      <c r="I31" s="495"/>
      <c r="J31" s="496"/>
      <c r="K31" s="496"/>
      <c r="L31" s="496"/>
      <c r="M31" s="497"/>
      <c r="N31" s="1063">
        <v>18</v>
      </c>
      <c r="O31" s="7"/>
      <c r="P31" s="16">
        <f t="shared" si="3"/>
        <v>1319</v>
      </c>
      <c r="Q31" s="1"/>
    </row>
    <row r="32" spans="1:17" ht="13.5" customHeight="1" x14ac:dyDescent="0.2">
      <c r="A32" s="10" t="s">
        <v>17</v>
      </c>
      <c r="B32" s="479">
        <v>90</v>
      </c>
      <c r="C32" s="177">
        <v>227</v>
      </c>
      <c r="D32" s="177">
        <v>573</v>
      </c>
      <c r="E32" s="177">
        <v>339</v>
      </c>
      <c r="F32" s="507">
        <v>67</v>
      </c>
      <c r="G32" s="16">
        <f t="shared" si="2"/>
        <v>1296</v>
      </c>
      <c r="H32" s="7"/>
      <c r="I32" s="479">
        <v>0</v>
      </c>
      <c r="J32" s="177">
        <v>3</v>
      </c>
      <c r="K32" s="177">
        <v>11</v>
      </c>
      <c r="L32" s="177">
        <v>1</v>
      </c>
      <c r="M32" s="217">
        <v>0</v>
      </c>
      <c r="N32" s="16">
        <f>SUM(I32:M32)</f>
        <v>15</v>
      </c>
      <c r="O32" s="7"/>
      <c r="P32" s="16">
        <f t="shared" si="3"/>
        <v>1311</v>
      </c>
      <c r="Q32" s="1"/>
    </row>
    <row r="33" spans="1:17" ht="13.5" customHeight="1" x14ac:dyDescent="0.2">
      <c r="A33" s="10" t="s">
        <v>147</v>
      </c>
      <c r="B33" s="479">
        <v>88</v>
      </c>
      <c r="C33" s="177">
        <v>186</v>
      </c>
      <c r="D33" s="177">
        <v>432</v>
      </c>
      <c r="E33" s="177">
        <v>314</v>
      </c>
      <c r="F33" s="507">
        <v>69</v>
      </c>
      <c r="G33" s="16">
        <f t="shared" si="2"/>
        <v>1089</v>
      </c>
      <c r="H33" s="7"/>
      <c r="I33" s="479">
        <v>0</v>
      </c>
      <c r="J33" s="177">
        <v>0</v>
      </c>
      <c r="K33" s="177">
        <v>12</v>
      </c>
      <c r="L33" s="177">
        <v>0</v>
      </c>
      <c r="M33" s="217">
        <v>0</v>
      </c>
      <c r="N33" s="16">
        <f t="shared" ref="N33:N36" si="4">SUM(I33:M33)</f>
        <v>12</v>
      </c>
      <c r="O33" s="7"/>
      <c r="P33" s="16">
        <f t="shared" si="3"/>
        <v>1101</v>
      </c>
      <c r="Q33" s="1"/>
    </row>
    <row r="34" spans="1:17" ht="13.5" customHeight="1" x14ac:dyDescent="0.2">
      <c r="A34" s="244" t="s">
        <v>160</v>
      </c>
      <c r="B34" s="479">
        <f>'T16'!D19</f>
        <v>77</v>
      </c>
      <c r="C34" s="177">
        <f>'T16'!E19</f>
        <v>204</v>
      </c>
      <c r="D34" s="177">
        <f>'T16'!F19</f>
        <v>542</v>
      </c>
      <c r="E34" s="177">
        <f>'T16'!G19</f>
        <v>381</v>
      </c>
      <c r="F34" s="507">
        <f>'T16'!H19</f>
        <v>62</v>
      </c>
      <c r="G34" s="16">
        <f t="shared" si="2"/>
        <v>1266</v>
      </c>
      <c r="H34" s="7"/>
      <c r="I34" s="479">
        <f>'T16'!D16</f>
        <v>0</v>
      </c>
      <c r="J34" s="177">
        <f>'T16'!E16</f>
        <v>2</v>
      </c>
      <c r="K34" s="177">
        <f>'T16'!F16</f>
        <v>7</v>
      </c>
      <c r="L34" s="177">
        <f>'T16'!G16</f>
        <v>0</v>
      </c>
      <c r="M34" s="217">
        <f>'T16'!H16</f>
        <v>1</v>
      </c>
      <c r="N34" s="16">
        <f t="shared" si="4"/>
        <v>10</v>
      </c>
      <c r="O34" s="7"/>
      <c r="P34" s="16">
        <f t="shared" si="3"/>
        <v>1276</v>
      </c>
      <c r="Q34" s="1"/>
    </row>
    <row r="35" spans="1:17" ht="13.5" customHeight="1" x14ac:dyDescent="0.2">
      <c r="A35" s="244" t="s">
        <v>379</v>
      </c>
      <c r="B35" s="479">
        <f>'T16'!D20</f>
        <v>78</v>
      </c>
      <c r="C35" s="177">
        <f>'T16'!E20</f>
        <v>201</v>
      </c>
      <c r="D35" s="177">
        <f>'T16'!F20</f>
        <v>574</v>
      </c>
      <c r="E35" s="177">
        <f>'T16'!G20</f>
        <v>334</v>
      </c>
      <c r="F35" s="507">
        <f>'T16'!H20</f>
        <v>61</v>
      </c>
      <c r="G35" s="16">
        <f t="shared" si="2"/>
        <v>1248</v>
      </c>
      <c r="H35" s="7"/>
      <c r="I35" s="479">
        <f>'T16'!D17</f>
        <v>0</v>
      </c>
      <c r="J35" s="177">
        <f>'T16'!E17</f>
        <v>1</v>
      </c>
      <c r="K35" s="177">
        <f>'T16'!F17</f>
        <v>13</v>
      </c>
      <c r="L35" s="177">
        <f>'T16'!G17</f>
        <v>0</v>
      </c>
      <c r="M35" s="217">
        <f>'T16'!H17</f>
        <v>4</v>
      </c>
      <c r="N35" s="16">
        <f t="shared" si="4"/>
        <v>18</v>
      </c>
      <c r="O35" s="7"/>
      <c r="P35" s="16">
        <f t="shared" si="3"/>
        <v>1266</v>
      </c>
      <c r="Q35" s="1" t="s">
        <v>145</v>
      </c>
    </row>
    <row r="36" spans="1:17" ht="13.5" customHeight="1" x14ac:dyDescent="0.2">
      <c r="A36" s="470" t="s">
        <v>603</v>
      </c>
      <c r="B36" s="481">
        <f>'T16'!D21</f>
        <v>87</v>
      </c>
      <c r="C36" s="482">
        <f>'T16'!E21</f>
        <v>182</v>
      </c>
      <c r="D36" s="482">
        <f>'T16'!F21</f>
        <v>475</v>
      </c>
      <c r="E36" s="482">
        <f>'T16'!G21</f>
        <v>270</v>
      </c>
      <c r="F36" s="980">
        <f>'T16'!H21</f>
        <v>72</v>
      </c>
      <c r="G36" s="471">
        <f t="shared" si="2"/>
        <v>1086</v>
      </c>
      <c r="H36" s="7"/>
      <c r="I36" s="481">
        <f>'T16'!D18</f>
        <v>0</v>
      </c>
      <c r="J36" s="482">
        <f>'T16'!E18</f>
        <v>4</v>
      </c>
      <c r="K36" s="482">
        <f>'T16'!F18</f>
        <v>13</v>
      </c>
      <c r="L36" s="482">
        <f>'T16'!G18</f>
        <v>1</v>
      </c>
      <c r="M36" s="491">
        <f>'T16'!H18</f>
        <v>9</v>
      </c>
      <c r="N36" s="471">
        <f t="shared" si="4"/>
        <v>27</v>
      </c>
      <c r="O36" s="7"/>
      <c r="P36" s="471">
        <f t="shared" si="3"/>
        <v>1113</v>
      </c>
      <c r="Q36" s="1" t="s">
        <v>143</v>
      </c>
    </row>
    <row r="37" spans="1:17" x14ac:dyDescent="0.2">
      <c r="A37" s="1"/>
      <c r="B37" s="1"/>
      <c r="C37" s="1"/>
      <c r="D37" s="1"/>
      <c r="E37" s="1"/>
      <c r="F37" s="1"/>
      <c r="G37" s="1"/>
      <c r="H37" s="1"/>
      <c r="I37" s="1"/>
      <c r="J37" s="1"/>
      <c r="K37" s="1"/>
      <c r="L37" s="1"/>
      <c r="M37" s="1"/>
      <c r="N37" s="1"/>
      <c r="O37" s="1"/>
      <c r="P37" s="1"/>
      <c r="Q37" s="1"/>
    </row>
    <row r="38" spans="1:17" x14ac:dyDescent="0.2">
      <c r="A38" s="2" t="s">
        <v>162</v>
      </c>
      <c r="B38" s="1"/>
      <c r="C38" s="1"/>
      <c r="D38" s="1"/>
      <c r="E38" s="1"/>
      <c r="F38" s="1"/>
      <c r="G38" s="1"/>
      <c r="H38" s="1"/>
      <c r="I38" s="1"/>
      <c r="J38" s="1"/>
      <c r="K38" s="1"/>
      <c r="L38" s="1"/>
      <c r="M38" s="1"/>
      <c r="N38" s="1"/>
      <c r="O38" s="1"/>
      <c r="P38" s="1"/>
      <c r="Q38" s="1"/>
    </row>
    <row r="39" spans="1:17" x14ac:dyDescent="0.2">
      <c r="A39" s="71" t="s">
        <v>967</v>
      </c>
      <c r="B39" s="1"/>
      <c r="C39" s="1"/>
      <c r="D39" s="1"/>
      <c r="E39" s="1"/>
      <c r="F39" s="1"/>
      <c r="G39" s="1"/>
      <c r="H39" s="1"/>
      <c r="I39" s="1"/>
      <c r="J39" s="1"/>
      <c r="K39" s="1"/>
      <c r="L39" s="1"/>
      <c r="M39" s="1"/>
      <c r="N39" s="1"/>
      <c r="O39" s="1"/>
      <c r="P39" s="1"/>
      <c r="Q39" s="1"/>
    </row>
    <row r="40" spans="1:17" x14ac:dyDescent="0.2">
      <c r="A40" s="71" t="s">
        <v>971</v>
      </c>
      <c r="B40" s="1"/>
      <c r="C40" s="1"/>
      <c r="D40" s="1"/>
      <c r="E40" s="1"/>
      <c r="F40" s="1"/>
      <c r="G40" s="1"/>
      <c r="H40" s="1"/>
      <c r="I40" s="1"/>
      <c r="J40" s="1"/>
      <c r="K40" s="1"/>
      <c r="L40" s="1"/>
      <c r="M40" s="1"/>
      <c r="N40" s="1"/>
      <c r="O40" s="1"/>
      <c r="P40" s="1"/>
      <c r="Q40" s="1"/>
    </row>
    <row r="41" spans="1:17" ht="14.25" customHeight="1" x14ac:dyDescent="0.2">
      <c r="A41" s="1672" t="s">
        <v>964</v>
      </c>
      <c r="B41" s="1672"/>
      <c r="C41" s="1672"/>
      <c r="D41" s="1672"/>
      <c r="E41" s="1672"/>
      <c r="F41" s="1672"/>
      <c r="G41" s="1672"/>
      <c r="H41" s="1672"/>
      <c r="I41" s="1672"/>
      <c r="J41" s="1672"/>
      <c r="K41" s="1672"/>
      <c r="L41" s="1672"/>
      <c r="M41" s="1672"/>
      <c r="N41" s="1672"/>
      <c r="O41" s="1672"/>
      <c r="P41" s="1672"/>
      <c r="Q41" s="1672"/>
    </row>
    <row r="42" spans="1:17" ht="13.5" customHeight="1" x14ac:dyDescent="0.2">
      <c r="D42" s="1"/>
      <c r="E42" s="1"/>
      <c r="F42" s="1"/>
      <c r="G42" s="1"/>
      <c r="H42" s="1"/>
      <c r="I42" s="1"/>
      <c r="J42" s="1"/>
      <c r="K42" s="1"/>
      <c r="L42" s="1"/>
      <c r="M42" s="1"/>
      <c r="N42" s="1"/>
      <c r="O42" s="1"/>
      <c r="P42" s="1"/>
      <c r="Q42" s="1"/>
    </row>
    <row r="43" spans="1:17" x14ac:dyDescent="0.2">
      <c r="A43" s="386" t="s">
        <v>169</v>
      </c>
    </row>
  </sheetData>
  <sheetProtection algorithmName="SHA-512" hashValue="K4Ir29jC/gHVtoejCT0EKYbVprtjkh1X0XAqvuj1kVbT9QKEukDnp9DNkfiz1YxZLZhOMOn4P8+XkCx+11rcdg==" saltValue="ZvhXL/tU++bxO1+iU7k9KA==" spinCount="100000" sheet="1" objects="1" scenarios="1"/>
  <mergeCells count="11">
    <mergeCell ref="A41:Q41"/>
    <mergeCell ref="A1:P1"/>
    <mergeCell ref="K3:K4"/>
    <mergeCell ref="P24:P25"/>
    <mergeCell ref="A24:A25"/>
    <mergeCell ref="I24:N24"/>
    <mergeCell ref="B3:G3"/>
    <mergeCell ref="B24:G24"/>
    <mergeCell ref="A3:A4"/>
    <mergeCell ref="A22:P22"/>
    <mergeCell ref="A20:L20"/>
  </mergeCells>
  <hyperlinks>
    <hyperlink ref="A43" location="Contents!A1" display="Return to contents" xr:uid="{00000000-0004-0000-4B00-000000000000}"/>
  </hyperlinks>
  <pageMargins left="0.7" right="0.7" top="0.75" bottom="0.75" header="0.3" footer="0.3"/>
  <pageSetup paperSize="9" scale="72" orientation="landscape" r:id="rId1"/>
  <colBreaks count="1" manualBreakCount="1">
    <brk id="16"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4">
    <tabColor theme="4"/>
    <pageSetUpPr fitToPage="1"/>
  </sheetPr>
  <dimension ref="A1:Z53"/>
  <sheetViews>
    <sheetView showGridLines="0" zoomScaleNormal="100" workbookViewId="0">
      <selection sqref="A1:D1"/>
    </sheetView>
  </sheetViews>
  <sheetFormatPr defaultRowHeight="12.75" x14ac:dyDescent="0.2"/>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4.5703125" customWidth="1"/>
    <col min="9" max="9" width="16.42578125" customWidth="1"/>
    <col min="10" max="10" width="13.7109375" customWidth="1"/>
    <col min="11" max="11" width="14.28515625" customWidth="1"/>
    <col min="12" max="12" width="12" customWidth="1"/>
    <col min="13" max="13" width="14.28515625" customWidth="1"/>
    <col min="14" max="14" width="10.85546875" customWidth="1"/>
    <col min="15" max="15" width="4.42578125" customWidth="1"/>
    <col min="16" max="16" width="16.5703125" customWidth="1"/>
    <col min="17" max="17" width="4.140625" customWidth="1"/>
  </cols>
  <sheetData>
    <row r="1" spans="1:17" ht="38.25" customHeight="1" x14ac:dyDescent="0.2">
      <c r="A1" s="1748" t="s">
        <v>816</v>
      </c>
      <c r="B1" s="1748"/>
      <c r="C1" s="1748"/>
      <c r="D1" s="1748"/>
      <c r="E1" s="1319"/>
      <c r="F1" s="1319"/>
      <c r="G1" s="1319"/>
      <c r="H1" s="1319"/>
      <c r="I1" s="1319"/>
      <c r="J1" s="1319"/>
      <c r="K1" s="1319"/>
      <c r="L1" s="516"/>
      <c r="M1" s="516"/>
      <c r="N1" s="516"/>
      <c r="O1" s="516"/>
      <c r="P1" s="516"/>
      <c r="Q1" s="516"/>
    </row>
    <row r="2" spans="1:17" ht="13.5" customHeight="1" x14ac:dyDescent="0.2">
      <c r="A2" s="516"/>
      <c r="B2" s="516"/>
      <c r="C2" s="516"/>
      <c r="D2" s="516"/>
      <c r="E2" s="516"/>
      <c r="F2" s="516"/>
      <c r="G2" s="516"/>
      <c r="H2" s="516"/>
      <c r="I2" s="516"/>
      <c r="J2" s="516"/>
      <c r="K2" s="561" t="s">
        <v>0</v>
      </c>
      <c r="L2" s="516"/>
      <c r="M2" s="516"/>
      <c r="N2" s="516"/>
      <c r="O2" s="516"/>
      <c r="P2" s="516"/>
      <c r="Q2" s="516"/>
    </row>
    <row r="3" spans="1:17" x14ac:dyDescent="0.2">
      <c r="A3" s="1629" t="s">
        <v>198</v>
      </c>
      <c r="B3" s="1650" t="s">
        <v>880</v>
      </c>
      <c r="C3" s="1677"/>
      <c r="D3" s="1677"/>
      <c r="E3" s="1677"/>
      <c r="F3" s="1677"/>
      <c r="G3" s="1662"/>
      <c r="H3" s="101"/>
      <c r="I3" s="791" t="s">
        <v>185</v>
      </c>
      <c r="J3" s="105"/>
      <c r="K3" s="1637" t="s">
        <v>54</v>
      </c>
      <c r="L3" s="564"/>
      <c r="M3" s="564"/>
      <c r="N3" s="564"/>
      <c r="O3" s="564"/>
      <c r="P3" s="564"/>
      <c r="Q3" s="1"/>
    </row>
    <row r="4" spans="1:17" ht="26.25" customHeight="1" x14ac:dyDescent="0.2">
      <c r="A4" s="1630"/>
      <c r="B4" s="1116" t="s">
        <v>200</v>
      </c>
      <c r="C4" s="1119" t="s">
        <v>201</v>
      </c>
      <c r="D4" s="1119" t="s">
        <v>202</v>
      </c>
      <c r="E4" s="1119" t="s">
        <v>203</v>
      </c>
      <c r="F4" s="229" t="s">
        <v>183</v>
      </c>
      <c r="G4" s="779" t="s">
        <v>11</v>
      </c>
      <c r="H4" s="101"/>
      <c r="I4" s="102" t="s">
        <v>11</v>
      </c>
      <c r="J4" s="101"/>
      <c r="K4" s="1729"/>
      <c r="L4" s="564"/>
      <c r="M4" s="564"/>
      <c r="N4" s="564"/>
      <c r="O4" s="564"/>
      <c r="P4" s="564"/>
      <c r="Q4" s="1"/>
    </row>
    <row r="5" spans="1:17" ht="18.75" customHeight="1" x14ac:dyDescent="0.2">
      <c r="A5" s="1113" t="s">
        <v>184</v>
      </c>
      <c r="B5" s="504">
        <f>IFERROR(GETPIVOTDATA("Sum of 0-16",T_16!$A$4,"Who","Non FRS personnel","Pub_fataldescription","Burns"),0)</f>
        <v>0</v>
      </c>
      <c r="C5" s="507">
        <f>GETPIVOTDATA("Sum of 17-29",T_16!$A$4,"Who","Non FRS personnel","Pub_fataldescription","Burns")</f>
        <v>1</v>
      </c>
      <c r="D5" s="520">
        <f>GETPIVOTDATA("Sum of 30-59",T_16!$A$4,"Who","Non FRS personnel","Pub_fataldescription","Burns")</f>
        <v>4</v>
      </c>
      <c r="E5" s="520">
        <f>GETPIVOTDATA("Sum of 60+",T_16!$A$4,"Who","Non FRS personnel","Pub_fataldescription","Burns")</f>
        <v>10</v>
      </c>
      <c r="F5" s="480">
        <f>GETPIVOTDATA("Sum of Unknown",T_16!$A$4,"Who","Non FRS personnel","Pub_fataldescription","Burns")</f>
        <v>0</v>
      </c>
      <c r="G5" s="562">
        <f>SUM(B5:F5)</f>
        <v>15</v>
      </c>
      <c r="H5" s="33"/>
      <c r="I5" s="656">
        <v>0</v>
      </c>
      <c r="J5" s="33"/>
      <c r="K5" s="509">
        <f>G5+I5</f>
        <v>15</v>
      </c>
      <c r="L5" s="3"/>
      <c r="M5" s="3"/>
      <c r="N5" s="3"/>
      <c r="O5" s="3"/>
      <c r="P5" s="3"/>
      <c r="Q5" s="1"/>
    </row>
    <row r="6" spans="1:17" ht="13.5" customHeight="1" x14ac:dyDescent="0.2">
      <c r="A6" s="639" t="s">
        <v>1019</v>
      </c>
      <c r="B6" s="504">
        <f>IFERROR(GETPIVOTDATA("Sum of 0-16",T_16!$A$4,"Who","Non FRS personnel","Pub_fataldescription","Combination of burns and overcome by gas/smoke"),0)</f>
        <v>0</v>
      </c>
      <c r="C6" s="507">
        <f>GETPIVOTDATA("Sum of 17-29",T_16!$A$4,"Who","Non FRS personnel","Pub_fataldescription","Combination of burns and overcome by gas/smoke")</f>
        <v>0</v>
      </c>
      <c r="D6" s="520">
        <f>GETPIVOTDATA("Sum of 30-59",T_16!$A$4,"Who","Non FRS personnel","Pub_fataldescription","Combination of burns and overcome by gas/smoke")</f>
        <v>0</v>
      </c>
      <c r="E6" s="520">
        <f>GETPIVOTDATA("Sum of 60+",T_16!$A$4,"Who","Non FRS personnel","Pub_fataldescription","Combination of burns and overcome by gas/smoke")</f>
        <v>2</v>
      </c>
      <c r="F6" s="480">
        <f>GETPIVOTDATA("Sum of Unknown",T_16!$A$4,"Who","Non FRS personnel","Pub_fataldescription","Combination of burns and overcome by gas/smoke")</f>
        <v>0</v>
      </c>
      <c r="G6" s="562">
        <f t="shared" ref="G6:G10" si="0">SUM(B6:F6)</f>
        <v>2</v>
      </c>
      <c r="H6" s="33"/>
      <c r="I6" s="656">
        <v>0</v>
      </c>
      <c r="J6" s="33"/>
      <c r="K6" s="509">
        <f t="shared" ref="K6:K10" si="1">G6+I6</f>
        <v>2</v>
      </c>
      <c r="L6" s="3"/>
      <c r="M6" s="3"/>
      <c r="N6" s="3"/>
      <c r="O6" s="3"/>
      <c r="P6" s="3"/>
      <c r="Q6" s="1"/>
    </row>
    <row r="7" spans="1:17" ht="13.5" customHeight="1" x14ac:dyDescent="0.2">
      <c r="A7" s="9" t="s">
        <v>1020</v>
      </c>
      <c r="B7" s="504">
        <f>IFERROR(GETPIVOTDATA("Sum of 0-16",T_16!$A$4,"Who","Non FRS personnel","Pub_fataldescription","Overcome by gas, smoke or toxic fumes"),0)</f>
        <v>0</v>
      </c>
      <c r="C7" s="508">
        <f>GETPIVOTDATA("Sum of 17-29",T_16!$A$4,"Who","Non FRS personnel","Pub_fataldescription","Overcome by gas, smoke or toxic fumes")</f>
        <v>2</v>
      </c>
      <c r="D7" s="508">
        <f>GETPIVOTDATA("Sum of 30-59",T_16!$A$4,"Who","Non FRS personnel","Pub_fataldescription","Overcome by gas, smoke or toxic fumes")</f>
        <v>6</v>
      </c>
      <c r="E7" s="508">
        <f>GETPIVOTDATA("Sum of 60+",T_16!$A$4,"Who","Non FRS personnel","Pub_fataldescription","Overcome by gas, smoke or toxic fumes")</f>
        <v>8</v>
      </c>
      <c r="F7" s="480">
        <f>GETPIVOTDATA("Sum of Unknown",T_16!$A$4,"Who","Non FRS personnel","Pub_fataldescription","Overcome by gas, smoke or toxic fumes")</f>
        <v>0</v>
      </c>
      <c r="G7" s="562">
        <f t="shared" si="0"/>
        <v>16</v>
      </c>
      <c r="H7" s="33"/>
      <c r="I7" s="656">
        <v>0</v>
      </c>
      <c r="J7" s="33"/>
      <c r="K7" s="509">
        <f t="shared" si="1"/>
        <v>16</v>
      </c>
      <c r="L7" s="3"/>
      <c r="M7" s="3"/>
      <c r="N7" s="3"/>
      <c r="O7" s="3"/>
      <c r="P7" s="3"/>
      <c r="Q7" s="1"/>
    </row>
    <row r="8" spans="1:17" ht="13.5" customHeight="1" x14ac:dyDescent="0.2">
      <c r="A8" s="1176" t="s">
        <v>1021</v>
      </c>
      <c r="B8" s="504">
        <f>IFERROR(GETPIVOTDATA("Sum of 0-16",T_16!$A$4,"Who","Non FRS personnel","Pub_fataldescription","Physical injuries"),0)</f>
        <v>0</v>
      </c>
      <c r="C8" s="508">
        <f>IFERROR(GETPIVOTDATA("Sum of 17-29",T_16!$A$4,"Who","Non FRS personnel","Pub_fataldescription","Physical injuries"),0)</f>
        <v>0</v>
      </c>
      <c r="D8" s="508">
        <f>IFERROR(GETPIVOTDATA("Sum of 30-59",T_16!$A$4,"Who","Non FRS personnel","Pub_fataldescription","Physical injuries"),0)</f>
        <v>1</v>
      </c>
      <c r="E8" s="508">
        <f>IFERROR(GETPIVOTDATA("Sum of 60+",T_16!$A$4,"Who","Non FRS personnel","Pub_fataldescription","Physical injuries"),0)</f>
        <v>0</v>
      </c>
      <c r="F8" s="480">
        <f>IFERROR(GETPIVOTDATA("Sum of Unknown",T_16!$A$4,"Who","Non FRS personnel","Pub_fataldescription","Physical injuries"),0)</f>
        <v>0</v>
      </c>
      <c r="G8" s="562">
        <f t="shared" si="0"/>
        <v>1</v>
      </c>
      <c r="H8" s="33"/>
      <c r="I8" s="656">
        <v>0</v>
      </c>
      <c r="J8" s="33"/>
      <c r="K8" s="509">
        <f t="shared" si="1"/>
        <v>1</v>
      </c>
      <c r="L8" s="3"/>
      <c r="M8" s="3"/>
      <c r="N8" s="3"/>
      <c r="O8" s="3"/>
      <c r="P8" s="3"/>
      <c r="Q8" s="1"/>
    </row>
    <row r="9" spans="1:17" ht="13.5" customHeight="1" x14ac:dyDescent="0.2">
      <c r="A9" s="1485" t="s">
        <v>1022</v>
      </c>
      <c r="B9" s="504">
        <f>IFERROR(GETPIVOTDATA("Sum of 0-16",T_16!$A$4,"Who","Non FRS personnel","Pub_fataldescription","Other specified"),0)</f>
        <v>0</v>
      </c>
      <c r="C9" s="508">
        <f>IFERROR(GETPIVOTDATA("Sum of 17-29",T_16!$A$4,"Who","Non FRS personnel","Pub_fataldescription","Other specified"),0)</f>
        <v>0</v>
      </c>
      <c r="D9" s="508">
        <f>IFERROR(GETPIVOTDATA("Sum of 30-59",T_16!$A$4,"Who","Non FRS personnel","Pub_fataldescription","Other specified"),0)</f>
        <v>0</v>
      </c>
      <c r="E9" s="508">
        <f>IFERROR(GETPIVOTDATA("Sum of 60+",T_16!$A$4,"Who","Non FRS personnel","Pub_fataldescription","Other specified"),0)</f>
        <v>0</v>
      </c>
      <c r="F9" s="480">
        <f>IFERROR(GETPIVOTDATA("Sum of Unknown",T_16!$A$4,"Who","Non FRS personnel","Pub_fataldescription","Other specified"),0)</f>
        <v>0</v>
      </c>
      <c r="G9" s="562">
        <f t="shared" si="0"/>
        <v>0</v>
      </c>
      <c r="H9" s="33"/>
      <c r="I9" s="656">
        <v>0</v>
      </c>
      <c r="J9" s="33"/>
      <c r="K9" s="509">
        <f t="shared" si="1"/>
        <v>0</v>
      </c>
      <c r="L9" s="3"/>
      <c r="M9" s="3"/>
      <c r="N9" s="3"/>
      <c r="O9" s="3"/>
      <c r="P9" s="3"/>
      <c r="Q9" s="1"/>
    </row>
    <row r="10" spans="1:17" ht="13.5" customHeight="1" x14ac:dyDescent="0.2">
      <c r="A10" s="1486" t="s">
        <v>1023</v>
      </c>
      <c r="B10" s="504">
        <f>IFERROR(GETPIVOTDATA("Sum of 0-16",T_16!$A$4,"Who","Non FRS personnel","Pub_fataldescription","Unspecified"),0)</f>
        <v>0</v>
      </c>
      <c r="C10" s="507">
        <f>GETPIVOTDATA("Sum of 17-29",T_16!$A$4,"Who","Non FRS personnel","Pub_fataldescription","Unspecified")</f>
        <v>0</v>
      </c>
      <c r="D10" s="507">
        <f>GETPIVOTDATA("Sum of 30-59",T_16!$A$4,"Who","Non FRS personnel","Pub_fataldescription","Unspecified")</f>
        <v>7</v>
      </c>
      <c r="E10" s="507">
        <f>GETPIVOTDATA("Sum of 60+",T_16!$A$4,"Who","Non FRS personnel","Pub_fataldescription","Unspecified")</f>
        <v>3</v>
      </c>
      <c r="F10" s="480">
        <f>GETPIVOTDATA("Sum of Unknown",T_16!$A$4,"Who","Non FRS personnel","Pub_fataldescription","Unspecified")</f>
        <v>0</v>
      </c>
      <c r="G10" s="562">
        <f t="shared" si="0"/>
        <v>10</v>
      </c>
      <c r="H10" s="33"/>
      <c r="I10" s="656">
        <v>0</v>
      </c>
      <c r="J10" s="33"/>
      <c r="K10" s="509">
        <f t="shared" si="1"/>
        <v>10</v>
      </c>
      <c r="L10" s="3"/>
      <c r="M10" s="3"/>
      <c r="N10" s="3"/>
      <c r="O10" s="3"/>
      <c r="P10" s="3"/>
      <c r="Q10" s="1"/>
    </row>
    <row r="11" spans="1:17" x14ac:dyDescent="0.2">
      <c r="A11" s="499"/>
      <c r="B11" s="504"/>
      <c r="C11" s="520"/>
      <c r="D11" s="520"/>
      <c r="E11" s="520"/>
      <c r="F11" s="483"/>
      <c r="G11" s="562"/>
      <c r="H11" s="33"/>
      <c r="I11" s="1066"/>
      <c r="J11" s="33"/>
      <c r="K11" s="509"/>
      <c r="L11" s="3"/>
      <c r="M11" s="3"/>
      <c r="N11" s="3"/>
      <c r="O11" s="3"/>
      <c r="P11" s="3"/>
      <c r="Q11" s="1"/>
    </row>
    <row r="12" spans="1:17" ht="30" customHeight="1" x14ac:dyDescent="0.2">
      <c r="A12" s="941" t="s">
        <v>11</v>
      </c>
      <c r="B12" s="563">
        <f t="shared" ref="B12:G12" si="2">SUM(B5:B11)</f>
        <v>0</v>
      </c>
      <c r="C12" s="988">
        <f t="shared" si="2"/>
        <v>3</v>
      </c>
      <c r="D12" s="988">
        <f t="shared" si="2"/>
        <v>18</v>
      </c>
      <c r="E12" s="988">
        <f t="shared" si="2"/>
        <v>23</v>
      </c>
      <c r="F12" s="512">
        <f t="shared" si="2"/>
        <v>0</v>
      </c>
      <c r="G12" s="514">
        <f t="shared" si="2"/>
        <v>44</v>
      </c>
      <c r="H12" s="560"/>
      <c r="I12" s="1065">
        <f>SUM(I5:I10)</f>
        <v>0</v>
      </c>
      <c r="J12" s="560"/>
      <c r="K12" s="529">
        <f>SUM(K5:K11)</f>
        <v>44</v>
      </c>
      <c r="L12" s="123"/>
      <c r="M12" s="123"/>
      <c r="N12" s="123"/>
      <c r="O12" s="123"/>
      <c r="P12" s="123"/>
      <c r="Q12" s="1"/>
    </row>
    <row r="13" spans="1:17" x14ac:dyDescent="0.2">
      <c r="A13" s="1"/>
      <c r="B13" s="1"/>
      <c r="C13" s="1"/>
      <c r="D13" s="1"/>
      <c r="E13" s="1"/>
      <c r="F13" s="1"/>
      <c r="G13" s="1"/>
      <c r="H13" s="1"/>
      <c r="I13" s="1"/>
      <c r="J13" s="1"/>
      <c r="K13" s="1"/>
      <c r="L13" s="1"/>
      <c r="M13" s="1"/>
      <c r="N13" s="1"/>
      <c r="O13" s="1"/>
      <c r="P13" s="1"/>
      <c r="Q13" s="1"/>
    </row>
    <row r="14" spans="1:17" x14ac:dyDescent="0.2">
      <c r="A14" s="472" t="s">
        <v>162</v>
      </c>
      <c r="L14" s="256"/>
      <c r="M14" s="256"/>
      <c r="N14" s="256"/>
      <c r="O14" s="256"/>
      <c r="P14" s="574"/>
      <c r="Q14" s="1"/>
    </row>
    <row r="15" spans="1:17" x14ac:dyDescent="0.2">
      <c r="A15" s="122" t="s">
        <v>963</v>
      </c>
      <c r="L15" s="256"/>
      <c r="M15" s="256"/>
      <c r="N15" s="256"/>
      <c r="O15" s="256"/>
      <c r="P15" s="574"/>
      <c r="Q15" s="1"/>
    </row>
    <row r="16" spans="1:17" x14ac:dyDescent="0.2">
      <c r="A16" s="1745" t="s">
        <v>802</v>
      </c>
      <c r="B16" s="1745"/>
      <c r="C16" s="1745"/>
      <c r="D16" s="1745"/>
      <c r="E16" s="1745"/>
      <c r="F16" s="1745"/>
      <c r="G16" s="1745"/>
      <c r="H16" s="1745"/>
      <c r="I16" s="1745"/>
      <c r="J16" s="1745"/>
      <c r="K16" s="1745"/>
      <c r="L16" s="1745"/>
      <c r="M16" s="1745"/>
      <c r="N16" s="498"/>
      <c r="O16" s="256"/>
      <c r="P16" s="574"/>
      <c r="Q16" s="1"/>
    </row>
    <row r="17" spans="1:17" ht="12.75" customHeight="1" x14ac:dyDescent="0.2">
      <c r="A17" s="1746" t="s">
        <v>1025</v>
      </c>
      <c r="B17" s="1746"/>
      <c r="C17" s="1746"/>
      <c r="D17" s="1746"/>
      <c r="E17" s="1746"/>
      <c r="F17" s="1746"/>
      <c r="G17" s="1746"/>
      <c r="H17" s="1746"/>
      <c r="I17" s="1746"/>
      <c r="J17" s="1746"/>
      <c r="K17" s="1746"/>
      <c r="L17" s="1746"/>
      <c r="M17" s="1746"/>
      <c r="N17" s="695"/>
      <c r="O17" s="256"/>
      <c r="P17" s="574"/>
      <c r="Q17" s="1"/>
    </row>
    <row r="18" spans="1:17" x14ac:dyDescent="0.2">
      <c r="A18" s="695"/>
      <c r="B18" s="695"/>
      <c r="C18" s="695"/>
      <c r="D18" s="256"/>
      <c r="E18" s="256"/>
      <c r="F18" s="256"/>
      <c r="G18" s="256"/>
      <c r="H18" s="256"/>
      <c r="I18" s="256"/>
      <c r="J18" s="256"/>
      <c r="K18" s="256"/>
      <c r="L18" s="256"/>
      <c r="M18" s="256"/>
      <c r="N18" s="256"/>
      <c r="O18" s="293"/>
      <c r="P18" s="574"/>
      <c r="Q18" s="1"/>
    </row>
    <row r="19" spans="1:17" ht="38.25" customHeight="1" x14ac:dyDescent="0.2">
      <c r="A19" s="1653" t="s">
        <v>818</v>
      </c>
      <c r="B19" s="1653"/>
      <c r="C19" s="1653"/>
      <c r="D19" s="1653"/>
      <c r="E19" s="1653"/>
      <c r="F19" s="467"/>
      <c r="G19" s="467"/>
      <c r="H19" s="467"/>
      <c r="I19" s="467"/>
      <c r="J19" s="467"/>
      <c r="K19" s="467"/>
      <c r="L19" s="1"/>
      <c r="M19" s="1"/>
      <c r="N19" s="1"/>
      <c r="O19" s="1"/>
      <c r="P19" s="1"/>
      <c r="Q19" s="1"/>
    </row>
    <row r="20" spans="1:17" ht="15" x14ac:dyDescent="0.25">
      <c r="A20" s="2"/>
      <c r="B20" s="1"/>
      <c r="C20" s="1"/>
      <c r="D20" s="1"/>
      <c r="E20" s="1"/>
      <c r="F20" s="2"/>
      <c r="G20" s="1"/>
      <c r="H20" s="558"/>
      <c r="I20" s="1"/>
      <c r="J20" s="1"/>
      <c r="K20" s="234"/>
      <c r="L20" s="234"/>
      <c r="M20" s="234"/>
      <c r="N20" s="234"/>
      <c r="O20" s="234"/>
      <c r="P20" s="234" t="s">
        <v>0</v>
      </c>
      <c r="Q20" s="1"/>
    </row>
    <row r="21" spans="1:17" x14ac:dyDescent="0.2">
      <c r="A21" s="1629" t="s">
        <v>199</v>
      </c>
      <c r="B21" s="1650" t="s">
        <v>880</v>
      </c>
      <c r="C21" s="1677"/>
      <c r="D21" s="1677"/>
      <c r="E21" s="1677"/>
      <c r="F21" s="1677"/>
      <c r="G21" s="1662"/>
      <c r="H21" s="790"/>
      <c r="I21" s="1730" t="s">
        <v>185</v>
      </c>
      <c r="J21" s="1731"/>
      <c r="K21" s="1731"/>
      <c r="L21" s="1731"/>
      <c r="M21" s="1731"/>
      <c r="N21" s="1732"/>
      <c r="O21" s="1"/>
      <c r="P21" s="1637" t="s">
        <v>55</v>
      </c>
      <c r="Q21" s="228"/>
    </row>
    <row r="22" spans="1:17" ht="25.5" x14ac:dyDescent="0.2">
      <c r="A22" s="1630"/>
      <c r="B22" s="1116" t="s">
        <v>200</v>
      </c>
      <c r="C22" s="1119" t="s">
        <v>201</v>
      </c>
      <c r="D22" s="1119" t="s">
        <v>202</v>
      </c>
      <c r="E22" s="1119" t="s">
        <v>203</v>
      </c>
      <c r="F22" s="229" t="s">
        <v>191</v>
      </c>
      <c r="G22" s="779" t="s">
        <v>11</v>
      </c>
      <c r="H22" s="790"/>
      <c r="I22" s="1116" t="s">
        <v>200</v>
      </c>
      <c r="J22" s="1119" t="s">
        <v>201</v>
      </c>
      <c r="K22" s="1119" t="s">
        <v>202</v>
      </c>
      <c r="L22" s="1119" t="s">
        <v>203</v>
      </c>
      <c r="M22" s="1238" t="s">
        <v>191</v>
      </c>
      <c r="N22" s="781" t="s">
        <v>11</v>
      </c>
      <c r="O22" s="1"/>
      <c r="P22" s="1729"/>
      <c r="Q22" s="228"/>
    </row>
    <row r="23" spans="1:17" ht="18.75" customHeight="1" x14ac:dyDescent="0.2">
      <c r="A23" s="1113" t="s">
        <v>184</v>
      </c>
      <c r="B23" s="519">
        <f>T_16!G23</f>
        <v>5</v>
      </c>
      <c r="C23" s="520">
        <f>T_16!H23</f>
        <v>29</v>
      </c>
      <c r="D23" s="520">
        <f>T_16!I23</f>
        <v>61</v>
      </c>
      <c r="E23" s="520">
        <f>T_16!J23</f>
        <v>14</v>
      </c>
      <c r="F23" s="483">
        <f>T_16!K23</f>
        <v>5</v>
      </c>
      <c r="G23" s="562">
        <f>SUM(B23:F23)</f>
        <v>114</v>
      </c>
      <c r="H23" s="179"/>
      <c r="I23" s="565">
        <f>T_16!B23</f>
        <v>0</v>
      </c>
      <c r="J23" s="553">
        <f>T_16!C23</f>
        <v>2</v>
      </c>
      <c r="K23" s="553">
        <f>T_16!D23</f>
        <v>1</v>
      </c>
      <c r="L23" s="553">
        <f>T_16!E23</f>
        <v>0</v>
      </c>
      <c r="M23" s="566">
        <f>T_16!F23</f>
        <v>1</v>
      </c>
      <c r="N23" s="570">
        <f>SUM(I23:M23)</f>
        <v>4</v>
      </c>
      <c r="O23" s="33"/>
      <c r="P23" s="29">
        <f>G23+N23</f>
        <v>118</v>
      </c>
      <c r="Q23" s="55"/>
    </row>
    <row r="24" spans="1:17" ht="13.5" customHeight="1" x14ac:dyDescent="0.2">
      <c r="A24" s="639" t="s">
        <v>1019</v>
      </c>
      <c r="B24" s="519">
        <f>T_16!G24</f>
        <v>1</v>
      </c>
      <c r="C24" s="520">
        <f>T_16!H24</f>
        <v>1</v>
      </c>
      <c r="D24" s="520">
        <f>T_16!I24</f>
        <v>8</v>
      </c>
      <c r="E24" s="520">
        <f>T_16!J24</f>
        <v>6</v>
      </c>
      <c r="F24" s="483">
        <f>T_16!K24</f>
        <v>0</v>
      </c>
      <c r="G24" s="562">
        <f t="shared" ref="G24:G29" si="3">SUM(B24:F24)</f>
        <v>16</v>
      </c>
      <c r="H24" s="179"/>
      <c r="I24" s="541">
        <f>T_16!B24</f>
        <v>0</v>
      </c>
      <c r="J24" s="179">
        <f>T_16!C24</f>
        <v>0</v>
      </c>
      <c r="K24" s="179">
        <f>T_16!D24</f>
        <v>0</v>
      </c>
      <c r="L24" s="179">
        <f>T_16!E24</f>
        <v>0</v>
      </c>
      <c r="M24" s="483">
        <f>T_16!F24</f>
        <v>0</v>
      </c>
      <c r="N24" s="570">
        <f t="shared" ref="N24:N28" si="4">SUM(I24:M24)</f>
        <v>0</v>
      </c>
      <c r="O24" s="33"/>
      <c r="P24" s="29">
        <f t="shared" ref="P24:P28" si="5">G24+N24</f>
        <v>16</v>
      </c>
      <c r="Q24" s="55"/>
    </row>
    <row r="25" spans="1:17" ht="13.5" customHeight="1" x14ac:dyDescent="0.2">
      <c r="A25" s="9" t="s">
        <v>1020</v>
      </c>
      <c r="B25" s="519">
        <f>T_16!G25</f>
        <v>61</v>
      </c>
      <c r="C25" s="520">
        <f>T_16!H25</f>
        <v>102</v>
      </c>
      <c r="D25" s="520">
        <f>T_16!I25</f>
        <v>278</v>
      </c>
      <c r="E25" s="520">
        <f>T_16!J25</f>
        <v>164</v>
      </c>
      <c r="F25" s="483">
        <f>T_16!K25</f>
        <v>54</v>
      </c>
      <c r="G25" s="562">
        <f t="shared" si="3"/>
        <v>659</v>
      </c>
      <c r="H25" s="179"/>
      <c r="I25" s="541">
        <f>T_16!B25</f>
        <v>0</v>
      </c>
      <c r="J25" s="179">
        <f>T_16!C25</f>
        <v>0</v>
      </c>
      <c r="K25" s="179">
        <f>T_16!D25</f>
        <v>0</v>
      </c>
      <c r="L25" s="179">
        <f>T_16!E25</f>
        <v>0</v>
      </c>
      <c r="M25" s="483">
        <f>T_16!F25</f>
        <v>0</v>
      </c>
      <c r="N25" s="570">
        <f t="shared" si="4"/>
        <v>0</v>
      </c>
      <c r="O25" s="33"/>
      <c r="P25" s="29">
        <f t="shared" si="5"/>
        <v>659</v>
      </c>
      <c r="Q25" s="55"/>
    </row>
    <row r="26" spans="1:17" ht="13.5" customHeight="1" x14ac:dyDescent="0.2">
      <c r="A26" s="1176" t="s">
        <v>1021</v>
      </c>
      <c r="B26" s="504">
        <f>T_16!G26</f>
        <v>2</v>
      </c>
      <c r="C26" s="507">
        <f>T_16!H26</f>
        <v>10</v>
      </c>
      <c r="D26" s="507">
        <f>T_16!I26</f>
        <v>16</v>
      </c>
      <c r="E26" s="507">
        <f>T_16!J26</f>
        <v>7</v>
      </c>
      <c r="F26" s="480">
        <f>T_16!K26</f>
        <v>0</v>
      </c>
      <c r="G26" s="562">
        <f t="shared" si="3"/>
        <v>35</v>
      </c>
      <c r="H26" s="179"/>
      <c r="I26" s="541">
        <f>T_16!B26</f>
        <v>0</v>
      </c>
      <c r="J26" s="179">
        <f>T_16!C26</f>
        <v>1</v>
      </c>
      <c r="K26" s="179">
        <f>T_16!D26</f>
        <v>6</v>
      </c>
      <c r="L26" s="179">
        <f>T_16!E26</f>
        <v>1</v>
      </c>
      <c r="M26" s="483">
        <f>T_16!F26</f>
        <v>5</v>
      </c>
      <c r="N26" s="570">
        <f t="shared" si="4"/>
        <v>13</v>
      </c>
      <c r="O26" s="33"/>
      <c r="P26" s="29">
        <f t="shared" si="5"/>
        <v>48</v>
      </c>
      <c r="Q26" s="55"/>
    </row>
    <row r="27" spans="1:17" ht="13.5" customHeight="1" x14ac:dyDescent="0.2">
      <c r="A27" s="764" t="s">
        <v>1024</v>
      </c>
      <c r="B27" s="519">
        <f>T_16!G27</f>
        <v>0</v>
      </c>
      <c r="C27" s="520">
        <f>T_16!H27</f>
        <v>4</v>
      </c>
      <c r="D27" s="520">
        <f>T_16!I27</f>
        <v>7</v>
      </c>
      <c r="E27" s="520">
        <f>T_16!J27</f>
        <v>4</v>
      </c>
      <c r="F27" s="483">
        <f>T_16!K27</f>
        <v>2</v>
      </c>
      <c r="G27" s="562">
        <f t="shared" si="3"/>
        <v>17</v>
      </c>
      <c r="H27" s="179"/>
      <c r="I27" s="541">
        <f>T_16!B27</f>
        <v>0</v>
      </c>
      <c r="J27" s="179">
        <f>T_16!C27</f>
        <v>0</v>
      </c>
      <c r="K27" s="179">
        <f>T_16!D27</f>
        <v>0</v>
      </c>
      <c r="L27" s="179">
        <f>T_16!E27</f>
        <v>0</v>
      </c>
      <c r="M27" s="483">
        <f>T_16!F27</f>
        <v>0</v>
      </c>
      <c r="N27" s="570">
        <f t="shared" si="4"/>
        <v>0</v>
      </c>
      <c r="O27" s="33"/>
      <c r="P27" s="29">
        <f t="shared" si="5"/>
        <v>17</v>
      </c>
      <c r="Q27" s="55"/>
    </row>
    <row r="28" spans="1:17" ht="13.5" customHeight="1" x14ac:dyDescent="0.2">
      <c r="A28" s="764" t="s">
        <v>1022</v>
      </c>
      <c r="B28" s="519">
        <f>T_16!G28</f>
        <v>4</v>
      </c>
      <c r="C28" s="520">
        <f>T_16!H28</f>
        <v>19</v>
      </c>
      <c r="D28" s="520">
        <f>T_16!I28</f>
        <v>63</v>
      </c>
      <c r="E28" s="520">
        <f>T_16!J28</f>
        <v>47</v>
      </c>
      <c r="F28" s="483">
        <f>T_16!K28</f>
        <v>8</v>
      </c>
      <c r="G28" s="562">
        <f t="shared" si="3"/>
        <v>141</v>
      </c>
      <c r="H28" s="179"/>
      <c r="I28" s="541">
        <f>T_16!B28</f>
        <v>0</v>
      </c>
      <c r="J28" s="179">
        <f>T_16!C28</f>
        <v>1</v>
      </c>
      <c r="K28" s="179">
        <f>T_16!D28</f>
        <v>5</v>
      </c>
      <c r="L28" s="179">
        <f>T_16!E28</f>
        <v>0</v>
      </c>
      <c r="M28" s="483">
        <f>T_16!F28</f>
        <v>1</v>
      </c>
      <c r="N28" s="570">
        <f t="shared" si="4"/>
        <v>7</v>
      </c>
      <c r="O28" s="33"/>
      <c r="P28" s="29">
        <f t="shared" si="5"/>
        <v>148</v>
      </c>
      <c r="Q28" s="55"/>
    </row>
    <row r="29" spans="1:17" ht="13.5" customHeight="1" x14ac:dyDescent="0.2">
      <c r="A29" s="1486" t="s">
        <v>1023</v>
      </c>
      <c r="B29" s="519">
        <f>T_16!G29</f>
        <v>14</v>
      </c>
      <c r="C29" s="520">
        <f>T_16!H29</f>
        <v>17</v>
      </c>
      <c r="D29" s="520">
        <f>T_16!I29</f>
        <v>42</v>
      </c>
      <c r="E29" s="520">
        <f>T_16!J29</f>
        <v>28</v>
      </c>
      <c r="F29" s="483">
        <f>T_16!K29</f>
        <v>3</v>
      </c>
      <c r="G29" s="562">
        <f t="shared" si="3"/>
        <v>104</v>
      </c>
      <c r="H29" s="179"/>
      <c r="I29" s="541">
        <f>T_16!B29</f>
        <v>0</v>
      </c>
      <c r="J29" s="179">
        <f>T_16!C29</f>
        <v>0</v>
      </c>
      <c r="K29" s="179">
        <f>T_16!D29</f>
        <v>1</v>
      </c>
      <c r="L29" s="179">
        <f>T_16!E29</f>
        <v>0</v>
      </c>
      <c r="M29" s="483">
        <f>T_16!F29</f>
        <v>2</v>
      </c>
      <c r="N29" s="570">
        <f>SUM(I29:M29)</f>
        <v>3</v>
      </c>
      <c r="O29" s="33"/>
      <c r="P29" s="29">
        <f>G29+N29</f>
        <v>107</v>
      </c>
      <c r="Q29" s="55"/>
    </row>
    <row r="30" spans="1:17" x14ac:dyDescent="0.2">
      <c r="A30" s="499"/>
      <c r="B30" s="519"/>
      <c r="C30" s="520"/>
      <c r="D30" s="520"/>
      <c r="E30" s="520"/>
      <c r="F30" s="483"/>
      <c r="G30" s="562"/>
      <c r="H30" s="567"/>
      <c r="I30" s="568"/>
      <c r="J30" s="567"/>
      <c r="K30" s="567"/>
      <c r="L30" s="567"/>
      <c r="M30" s="483"/>
      <c r="N30" s="489"/>
      <c r="O30" s="33"/>
      <c r="P30" s="557"/>
      <c r="Q30" s="3"/>
    </row>
    <row r="31" spans="1:17" ht="30" customHeight="1" x14ac:dyDescent="0.2">
      <c r="A31" s="204" t="s">
        <v>11</v>
      </c>
      <c r="B31" s="526">
        <f>SUM(B23:B29)</f>
        <v>87</v>
      </c>
      <c r="C31" s="527">
        <f t="shared" ref="C31:F31" si="6">SUM(C23:C29)</f>
        <v>182</v>
      </c>
      <c r="D31" s="527">
        <f t="shared" si="6"/>
        <v>475</v>
      </c>
      <c r="E31" s="527">
        <f t="shared" si="6"/>
        <v>270</v>
      </c>
      <c r="F31" s="528">
        <f t="shared" si="6"/>
        <v>72</v>
      </c>
      <c r="G31" s="529">
        <f>SUM(G23:G29)</f>
        <v>1086</v>
      </c>
      <c r="H31" s="569"/>
      <c r="I31" s="526">
        <f t="shared" ref="I31:M31" si="7">SUM(I23:I29)</f>
        <v>0</v>
      </c>
      <c r="J31" s="527">
        <f t="shared" si="7"/>
        <v>4</v>
      </c>
      <c r="K31" s="527">
        <f t="shared" si="7"/>
        <v>13</v>
      </c>
      <c r="L31" s="527">
        <f t="shared" si="7"/>
        <v>1</v>
      </c>
      <c r="M31" s="528">
        <f t="shared" si="7"/>
        <v>9</v>
      </c>
      <c r="N31" s="529">
        <f>SUM(N23:N29)</f>
        <v>27</v>
      </c>
      <c r="O31" s="123"/>
      <c r="P31" s="219">
        <f>SUM(P23:P29)</f>
        <v>1113</v>
      </c>
      <c r="Q31" s="123"/>
    </row>
    <row r="32" spans="1:17" x14ac:dyDescent="0.2">
      <c r="D32" s="1"/>
      <c r="E32" s="1"/>
      <c r="F32" s="1"/>
      <c r="G32" s="1"/>
      <c r="H32" s="1"/>
      <c r="I32" s="1"/>
      <c r="J32" s="1"/>
      <c r="K32" s="1"/>
      <c r="L32" s="1"/>
      <c r="M32" s="1"/>
      <c r="N32" s="1"/>
      <c r="O32" s="1"/>
      <c r="P32" s="1"/>
      <c r="Q32" s="1"/>
    </row>
    <row r="33" spans="1:26" x14ac:dyDescent="0.2">
      <c r="A33" s="13" t="s">
        <v>162</v>
      </c>
      <c r="B33" s="1"/>
      <c r="C33" s="1"/>
      <c r="D33" s="1"/>
      <c r="E33" s="1"/>
      <c r="F33" s="1"/>
      <c r="G33" s="1"/>
      <c r="H33" s="1"/>
      <c r="Q33" s="1"/>
    </row>
    <row r="34" spans="1:26" x14ac:dyDescent="0.2">
      <c r="A34" s="122" t="s">
        <v>963</v>
      </c>
      <c r="B34" s="122"/>
      <c r="C34" s="122"/>
      <c r="D34" s="122"/>
      <c r="E34" s="122"/>
      <c r="F34" s="122"/>
      <c r="G34" s="122"/>
      <c r="H34" s="122"/>
      <c r="Q34" s="1"/>
    </row>
    <row r="35" spans="1:26" ht="12.75" customHeight="1" x14ac:dyDescent="0.2">
      <c r="A35" s="1747" t="s">
        <v>802</v>
      </c>
      <c r="B35" s="1747"/>
      <c r="C35" s="1747"/>
      <c r="D35" s="1747"/>
      <c r="E35" s="1747"/>
      <c r="F35" s="1747"/>
      <c r="G35" s="1747"/>
      <c r="H35" s="1747"/>
      <c r="I35" s="1747"/>
      <c r="J35" s="1747"/>
      <c r="K35" s="1747"/>
      <c r="L35" s="1747"/>
      <c r="M35" s="1747"/>
      <c r="N35" s="1747"/>
      <c r="O35" s="1747"/>
      <c r="P35" s="1747"/>
      <c r="Q35" s="1"/>
    </row>
    <row r="36" spans="1:26" ht="15" customHeight="1" x14ac:dyDescent="0.25">
      <c r="A36" s="1672" t="s">
        <v>964</v>
      </c>
      <c r="B36" s="1672"/>
      <c r="C36" s="1672"/>
      <c r="D36" s="1672"/>
      <c r="E36" s="1672"/>
      <c r="F36" s="1672"/>
      <c r="G36" s="1672"/>
      <c r="H36" s="1672"/>
      <c r="I36" s="1672"/>
      <c r="J36" s="1672"/>
      <c r="K36" s="1672"/>
      <c r="L36" s="1672"/>
      <c r="M36" s="1672"/>
      <c r="N36" s="1672"/>
      <c r="O36" s="1672"/>
      <c r="P36" s="1672"/>
      <c r="Q36" s="1"/>
      <c r="R36" s="571"/>
      <c r="S36" s="571"/>
      <c r="T36" s="571"/>
      <c r="U36" s="572"/>
      <c r="V36" s="572"/>
      <c r="W36" s="572"/>
      <c r="X36" s="572"/>
      <c r="Y36" s="572"/>
      <c r="Z36" s="572"/>
    </row>
    <row r="37" spans="1:26" ht="25.5" customHeight="1" x14ac:dyDescent="0.2">
      <c r="A37" s="1654" t="s">
        <v>1034</v>
      </c>
      <c r="B37" s="1654"/>
      <c r="C37" s="1654"/>
      <c r="D37" s="1654"/>
      <c r="E37" s="1654"/>
      <c r="F37" s="1654"/>
      <c r="G37" s="1654"/>
      <c r="H37" s="1654"/>
      <c r="I37" s="1654"/>
      <c r="J37" s="1654"/>
      <c r="K37" s="1654"/>
      <c r="L37" s="1654"/>
      <c r="M37" s="1654"/>
      <c r="N37" s="1654"/>
      <c r="O37" s="1654"/>
      <c r="P37" s="1654"/>
      <c r="Q37" s="1"/>
    </row>
    <row r="38" spans="1:26" ht="12.75" customHeight="1" x14ac:dyDescent="0.2">
      <c r="Q38" s="1"/>
    </row>
    <row r="39" spans="1:26" ht="38.25" customHeight="1" x14ac:dyDescent="0.2">
      <c r="A39" s="1653" t="s">
        <v>817</v>
      </c>
      <c r="B39" s="1653"/>
      <c r="C39" s="1653"/>
      <c r="D39" s="1653"/>
      <c r="E39" s="1653"/>
      <c r="F39" s="1653"/>
      <c r="G39" s="467"/>
      <c r="H39" s="467"/>
      <c r="I39" s="467"/>
      <c r="J39" s="467"/>
      <c r="K39" s="467"/>
      <c r="L39" s="467"/>
      <c r="M39" s="467"/>
      <c r="N39" s="467"/>
      <c r="O39" s="467"/>
      <c r="P39" s="467"/>
      <c r="Q39" s="1"/>
    </row>
    <row r="40" spans="1:26" ht="15" x14ac:dyDescent="0.25">
      <c r="A40" s="1"/>
      <c r="B40" s="1"/>
      <c r="C40" s="1"/>
      <c r="D40" s="1"/>
      <c r="E40" s="1"/>
      <c r="F40" s="1"/>
      <c r="G40" s="1"/>
      <c r="H40" s="1"/>
      <c r="I40" s="1"/>
      <c r="J40" s="1"/>
      <c r="K40" s="234"/>
      <c r="L40" s="234"/>
      <c r="M40" s="234"/>
      <c r="N40" s="234"/>
      <c r="O40" s="234"/>
      <c r="P40" s="234" t="s">
        <v>0</v>
      </c>
      <c r="Q40" s="1"/>
    </row>
    <row r="41" spans="1:26" x14ac:dyDescent="0.2">
      <c r="A41" s="1629" t="s">
        <v>187</v>
      </c>
      <c r="B41" s="1650" t="s">
        <v>880</v>
      </c>
      <c r="C41" s="1677"/>
      <c r="D41" s="1677"/>
      <c r="E41" s="1677"/>
      <c r="F41" s="1677"/>
      <c r="G41" s="1662"/>
      <c r="H41" s="790"/>
      <c r="I41" s="1730" t="s">
        <v>185</v>
      </c>
      <c r="J41" s="1731"/>
      <c r="K41" s="1731"/>
      <c r="L41" s="1731"/>
      <c r="M41" s="1731"/>
      <c r="N41" s="1732"/>
      <c r="O41" s="101"/>
      <c r="P41" s="1637" t="s">
        <v>55</v>
      </c>
      <c r="Q41" s="228"/>
    </row>
    <row r="42" spans="1:26" ht="26.25" customHeight="1" x14ac:dyDescent="0.2">
      <c r="A42" s="1630"/>
      <c r="B42" s="779" t="s">
        <v>200</v>
      </c>
      <c r="C42" s="779" t="s">
        <v>201</v>
      </c>
      <c r="D42" s="779" t="s">
        <v>202</v>
      </c>
      <c r="E42" s="779" t="s">
        <v>203</v>
      </c>
      <c r="F42" s="102" t="s">
        <v>191</v>
      </c>
      <c r="G42" s="779" t="s">
        <v>11</v>
      </c>
      <c r="H42" s="790"/>
      <c r="I42" s="779" t="s">
        <v>200</v>
      </c>
      <c r="J42" s="779" t="s">
        <v>201</v>
      </c>
      <c r="K42" s="779" t="s">
        <v>202</v>
      </c>
      <c r="L42" s="779" t="s">
        <v>203</v>
      </c>
      <c r="M42" s="778" t="s">
        <v>191</v>
      </c>
      <c r="N42" s="781" t="s">
        <v>11</v>
      </c>
      <c r="O42" s="101"/>
      <c r="P42" s="1729"/>
      <c r="Q42" s="228"/>
    </row>
    <row r="43" spans="1:26" ht="18.75" customHeight="1" x14ac:dyDescent="0.2">
      <c r="A43" s="501" t="s">
        <v>1026</v>
      </c>
      <c r="B43" s="519">
        <f>T_16!B41</f>
        <v>31</v>
      </c>
      <c r="C43" s="520">
        <f>T_16!C41</f>
        <v>33</v>
      </c>
      <c r="D43" s="520">
        <f>T_16!D41</f>
        <v>85</v>
      </c>
      <c r="E43" s="520">
        <f>T_16!E41</f>
        <v>64</v>
      </c>
      <c r="F43" s="480">
        <f>T_16!F41</f>
        <v>12</v>
      </c>
      <c r="G43" s="562">
        <f>SUM(B43:F43)</f>
        <v>225</v>
      </c>
      <c r="H43" s="179"/>
      <c r="I43" s="565">
        <v>0</v>
      </c>
      <c r="J43" s="553">
        <f>T_16!G41</f>
        <v>0</v>
      </c>
      <c r="K43" s="553">
        <f>T_16!H41</f>
        <v>2</v>
      </c>
      <c r="L43" s="553">
        <f>T_16!I41</f>
        <v>1</v>
      </c>
      <c r="M43" s="566">
        <f>T_16!J41</f>
        <v>6</v>
      </c>
      <c r="N43" s="573">
        <f>SUM(I43:M43)</f>
        <v>9</v>
      </c>
      <c r="O43" s="33"/>
      <c r="P43" s="29">
        <f>G43+N43</f>
        <v>234</v>
      </c>
      <c r="Q43" s="55"/>
    </row>
    <row r="44" spans="1:26" ht="13.5" customHeight="1" x14ac:dyDescent="0.2">
      <c r="A44" s="501" t="s">
        <v>1027</v>
      </c>
      <c r="B44" s="519">
        <f>T_16!B42</f>
        <v>17</v>
      </c>
      <c r="C44" s="520">
        <f>T_16!C42</f>
        <v>69</v>
      </c>
      <c r="D44" s="520">
        <f>T_16!D42</f>
        <v>205</v>
      </c>
      <c r="E44" s="520">
        <f>T_16!E42</f>
        <v>120</v>
      </c>
      <c r="F44" s="480">
        <f>T_16!F42</f>
        <v>44</v>
      </c>
      <c r="G44" s="562">
        <f t="shared" ref="G44:G46" si="8">SUM(B44:F44)</f>
        <v>455</v>
      </c>
      <c r="H44" s="179"/>
      <c r="I44" s="541">
        <v>0</v>
      </c>
      <c r="J44" s="179">
        <f>T_16!G42</f>
        <v>2</v>
      </c>
      <c r="K44" s="179">
        <f>T_16!H42</f>
        <v>3</v>
      </c>
      <c r="L44" s="179">
        <f>T_16!I42</f>
        <v>0</v>
      </c>
      <c r="M44" s="483">
        <f>T_16!J42</f>
        <v>2</v>
      </c>
      <c r="N44" s="573">
        <f t="shared" ref="N44:N46" si="9">SUM(I44:M44)</f>
        <v>7</v>
      </c>
      <c r="O44" s="33"/>
      <c r="P44" s="29">
        <f t="shared" ref="P44:P46" si="10">G44+N44</f>
        <v>462</v>
      </c>
      <c r="Q44" s="55"/>
    </row>
    <row r="45" spans="1:26" ht="13.5" customHeight="1" x14ac:dyDescent="0.2">
      <c r="A45" s="499" t="s">
        <v>1028</v>
      </c>
      <c r="B45" s="519">
        <f>T_16!B43</f>
        <v>37</v>
      </c>
      <c r="C45" s="520">
        <f>T_16!C43</f>
        <v>67</v>
      </c>
      <c r="D45" s="520">
        <f>T_16!D43</f>
        <v>154</v>
      </c>
      <c r="E45" s="520">
        <f>T_16!E43</f>
        <v>73</v>
      </c>
      <c r="F45" s="480">
        <f>T_16!F43</f>
        <v>13</v>
      </c>
      <c r="G45" s="562">
        <f t="shared" si="8"/>
        <v>344</v>
      </c>
      <c r="H45" s="179"/>
      <c r="I45" s="541">
        <v>0</v>
      </c>
      <c r="J45" s="179">
        <f>T_16!G43</f>
        <v>2</v>
      </c>
      <c r="K45" s="179">
        <f>T_16!H43</f>
        <v>7</v>
      </c>
      <c r="L45" s="179">
        <f>T_16!I43</f>
        <v>0</v>
      </c>
      <c r="M45" s="483">
        <f>T_16!J43</f>
        <v>1</v>
      </c>
      <c r="N45" s="573">
        <f t="shared" si="9"/>
        <v>10</v>
      </c>
      <c r="O45" s="33"/>
      <c r="P45" s="29">
        <f t="shared" si="10"/>
        <v>354</v>
      </c>
      <c r="Q45" s="55"/>
    </row>
    <row r="46" spans="1:26" ht="13.5" customHeight="1" x14ac:dyDescent="0.2">
      <c r="A46" s="499" t="s">
        <v>1029</v>
      </c>
      <c r="B46" s="504">
        <f>T_16!B44</f>
        <v>2</v>
      </c>
      <c r="C46" s="520">
        <f>T_16!C44</f>
        <v>13</v>
      </c>
      <c r="D46" s="520">
        <f>T_16!D44</f>
        <v>31</v>
      </c>
      <c r="E46" s="520">
        <f>T_16!E44</f>
        <v>13</v>
      </c>
      <c r="F46" s="480">
        <f>T_16!F44</f>
        <v>3</v>
      </c>
      <c r="G46" s="562">
        <f t="shared" si="8"/>
        <v>62</v>
      </c>
      <c r="H46" s="179"/>
      <c r="I46" s="541">
        <v>0</v>
      </c>
      <c r="J46" s="179">
        <f>T_16!G44</f>
        <v>0</v>
      </c>
      <c r="K46" s="179">
        <f>T_16!H44</f>
        <v>1</v>
      </c>
      <c r="L46" s="179">
        <f>T_16!I44</f>
        <v>0</v>
      </c>
      <c r="M46" s="483">
        <f>T_16!J44</f>
        <v>0</v>
      </c>
      <c r="N46" s="573">
        <f t="shared" si="9"/>
        <v>1</v>
      </c>
      <c r="O46" s="33"/>
      <c r="P46" s="29">
        <f t="shared" si="10"/>
        <v>63</v>
      </c>
      <c r="Q46" s="55"/>
    </row>
    <row r="47" spans="1:26" ht="13.5" customHeight="1" x14ac:dyDescent="0.2">
      <c r="A47" s="499"/>
      <c r="B47" s="519"/>
      <c r="C47" s="520"/>
      <c r="D47" s="520"/>
      <c r="E47" s="520"/>
      <c r="F47" s="483"/>
      <c r="G47" s="562"/>
      <c r="H47" s="567"/>
      <c r="I47" s="568"/>
      <c r="J47" s="567"/>
      <c r="K47" s="567"/>
      <c r="L47" s="567"/>
      <c r="M47" s="483"/>
      <c r="N47" s="489"/>
      <c r="O47" s="33"/>
      <c r="P47" s="557"/>
      <c r="Q47" s="3"/>
    </row>
    <row r="48" spans="1:26" ht="30" customHeight="1" x14ac:dyDescent="0.2">
      <c r="A48" s="204" t="s">
        <v>11</v>
      </c>
      <c r="B48" s="526">
        <f>SUM(B43:B46)</f>
        <v>87</v>
      </c>
      <c r="C48" s="527">
        <f t="shared" ref="C48:E48" si="11">SUM(C43:C46)</f>
        <v>182</v>
      </c>
      <c r="D48" s="527">
        <f t="shared" si="11"/>
        <v>475</v>
      </c>
      <c r="E48" s="527">
        <f t="shared" si="11"/>
        <v>270</v>
      </c>
      <c r="F48" s="528">
        <f>SUM(F43:F46)</f>
        <v>72</v>
      </c>
      <c r="G48" s="529">
        <f>SUM(G43:G46)</f>
        <v>1086</v>
      </c>
      <c r="H48" s="569"/>
      <c r="I48" s="526">
        <f>SUM(I43:I46)</f>
        <v>0</v>
      </c>
      <c r="J48" s="527">
        <f t="shared" ref="J48:N48" si="12">SUM(J43:J46)</f>
        <v>4</v>
      </c>
      <c r="K48" s="527">
        <f t="shared" si="12"/>
        <v>13</v>
      </c>
      <c r="L48" s="527">
        <f t="shared" si="12"/>
        <v>1</v>
      </c>
      <c r="M48" s="528">
        <f t="shared" si="12"/>
        <v>9</v>
      </c>
      <c r="N48" s="529">
        <f t="shared" si="12"/>
        <v>27</v>
      </c>
      <c r="O48" s="560"/>
      <c r="P48" s="219">
        <f>SUM(P43:P46)</f>
        <v>1113</v>
      </c>
      <c r="Q48" s="123"/>
    </row>
    <row r="49" spans="1:17" x14ac:dyDescent="0.2">
      <c r="A49" s="559"/>
      <c r="B49" s="54"/>
      <c r="C49" s="54"/>
      <c r="D49" s="54"/>
      <c r="E49" s="54"/>
      <c r="F49" s="54"/>
      <c r="G49" s="54"/>
      <c r="H49" s="54"/>
      <c r="I49" s="54"/>
      <c r="J49" s="54"/>
      <c r="K49" s="54"/>
      <c r="L49" s="54"/>
      <c r="M49" s="54"/>
      <c r="N49" s="54"/>
      <c r="O49" s="54"/>
      <c r="P49" s="54"/>
      <c r="Q49" s="54"/>
    </row>
    <row r="50" spans="1:17" x14ac:dyDescent="0.2">
      <c r="A50" s="549" t="s">
        <v>162</v>
      </c>
      <c r="B50" s="256"/>
      <c r="C50" s="256"/>
      <c r="D50" s="256"/>
      <c r="E50" s="256"/>
      <c r="F50" s="256"/>
      <c r="G50" s="256"/>
      <c r="H50" s="256"/>
      <c r="I50" s="256"/>
      <c r="J50" s="1"/>
      <c r="L50" s="256"/>
      <c r="M50" s="256"/>
      <c r="N50" s="256"/>
      <c r="O50" s="256"/>
      <c r="P50" s="574"/>
      <c r="Q50" s="1"/>
    </row>
    <row r="51" spans="1:17" x14ac:dyDescent="0.2">
      <c r="A51" s="1649" t="s">
        <v>963</v>
      </c>
      <c r="B51" s="1649"/>
      <c r="C51" s="1649"/>
      <c r="D51" s="1649"/>
      <c r="E51" s="1649"/>
      <c r="F51" s="1649"/>
      <c r="G51" s="1649"/>
      <c r="H51" s="1649"/>
      <c r="I51" s="1649"/>
      <c r="J51" s="1649"/>
      <c r="K51" s="1649"/>
      <c r="L51" s="256"/>
      <c r="M51" s="256"/>
      <c r="N51" s="256"/>
      <c r="O51" s="256"/>
      <c r="P51" s="574"/>
      <c r="Q51" s="1"/>
    </row>
    <row r="52" spans="1:17" x14ac:dyDescent="0.2">
      <c r="A52" s="1"/>
      <c r="B52" s="1"/>
      <c r="C52" s="1"/>
      <c r="D52" s="1"/>
      <c r="E52" s="1"/>
      <c r="F52" s="1"/>
      <c r="G52" s="1"/>
      <c r="H52" s="1"/>
      <c r="I52" s="1"/>
      <c r="J52" s="1"/>
      <c r="K52" s="1"/>
      <c r="L52" s="1"/>
      <c r="M52" s="1"/>
      <c r="N52" s="1"/>
      <c r="O52" s="1"/>
      <c r="P52" s="1"/>
      <c r="Q52" s="1"/>
    </row>
    <row r="53" spans="1:17" x14ac:dyDescent="0.2">
      <c r="A53" s="386" t="s">
        <v>169</v>
      </c>
    </row>
  </sheetData>
  <sheetProtection algorithmName="SHA-512" hashValue="4g7hRaBxbd1XS6ZIif5Irj/YFbHbKQMca0KT6fDnbP5DJ902TSyornUvSNkiXExo2kLXxAtoIL0mAzsS6pFOgw==" saltValue="0KdCSry3A5TBsT60uzEcAA==" spinCount="100000" sheet="1" objects="1" scenarios="1"/>
  <mergeCells count="20">
    <mergeCell ref="A1:D1"/>
    <mergeCell ref="A19:E19"/>
    <mergeCell ref="A3:A4"/>
    <mergeCell ref="K3:K4"/>
    <mergeCell ref="B3:G3"/>
    <mergeCell ref="A35:P35"/>
    <mergeCell ref="A37:P37"/>
    <mergeCell ref="A16:M16"/>
    <mergeCell ref="A17:M17"/>
    <mergeCell ref="A51:K51"/>
    <mergeCell ref="I41:N41"/>
    <mergeCell ref="A21:A22"/>
    <mergeCell ref="P21:P22"/>
    <mergeCell ref="A41:A42"/>
    <mergeCell ref="P41:P42"/>
    <mergeCell ref="B21:G21"/>
    <mergeCell ref="B41:G41"/>
    <mergeCell ref="A36:P36"/>
    <mergeCell ref="A39:F39"/>
    <mergeCell ref="I21:N21"/>
  </mergeCells>
  <hyperlinks>
    <hyperlink ref="A53" location="Contents!A1" display="Return to contents" xr:uid="{00000000-0004-0000-4C00-000000000000}"/>
  </hyperlinks>
  <pageMargins left="0.7" right="0.7" top="0.75" bottom="0.75" header="0.3" footer="0.3"/>
  <pageSetup paperSize="9" scale="56" orientation="landscape" r:id="rId1"/>
  <drawing r:id="rId2"/>
  <extLst>
    <ext xmlns:x14="http://schemas.microsoft.com/office/spreadsheetml/2009/9/main" uri="{A8765BA9-456A-4dab-B4F3-ACF838C121DE}">
      <x14:slicerList>
        <x14:slicer r:id="rId3"/>
      </x14:slicerList>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4"/>
  <dimension ref="A2:K45"/>
  <sheetViews>
    <sheetView workbookViewId="0">
      <selection activeCell="A2" sqref="A2"/>
    </sheetView>
  </sheetViews>
  <sheetFormatPr defaultRowHeight="12.75" x14ac:dyDescent="0.2"/>
  <cols>
    <col min="1" max="1" width="46.85546875" customWidth="1"/>
    <col min="2" max="2" width="29.7109375" customWidth="1"/>
    <col min="3" max="4" width="30.7109375" customWidth="1"/>
    <col min="5" max="5" width="29.140625" customWidth="1"/>
    <col min="6" max="6" width="34.7109375" customWidth="1"/>
    <col min="7" max="8" width="26.42578125" customWidth="1"/>
    <col min="9" max="9" width="24.85546875" customWidth="1"/>
    <col min="10" max="10" width="30.42578125" customWidth="1"/>
    <col min="11" max="11" width="16.5703125" bestFit="1" customWidth="1"/>
    <col min="12" max="12" width="16.85546875" bestFit="1" customWidth="1"/>
    <col min="13" max="14" width="18" bestFit="1" customWidth="1"/>
    <col min="15" max="15" width="16.42578125" bestFit="1" customWidth="1"/>
    <col min="16" max="16" width="22" bestFit="1" customWidth="1"/>
  </cols>
  <sheetData>
    <row r="2" spans="1:9" x14ac:dyDescent="0.2">
      <c r="A2" s="1300" t="s">
        <v>4</v>
      </c>
      <c r="B2" t="s">
        <v>603</v>
      </c>
    </row>
    <row r="4" spans="1:9" x14ac:dyDescent="0.2">
      <c r="B4" s="1300" t="s">
        <v>670</v>
      </c>
    </row>
    <row r="5" spans="1:9" x14ac:dyDescent="0.2">
      <c r="B5" t="s">
        <v>785</v>
      </c>
      <c r="F5" t="s">
        <v>820</v>
      </c>
      <c r="G5" t="s">
        <v>821</v>
      </c>
      <c r="H5" t="s">
        <v>823</v>
      </c>
      <c r="I5" t="s">
        <v>825</v>
      </c>
    </row>
    <row r="6" spans="1:9" x14ac:dyDescent="0.2">
      <c r="A6" s="1300" t="s">
        <v>658</v>
      </c>
      <c r="B6" t="s">
        <v>819</v>
      </c>
      <c r="C6" t="s">
        <v>822</v>
      </c>
      <c r="D6" t="s">
        <v>824</v>
      </c>
      <c r="E6" t="s">
        <v>826</v>
      </c>
    </row>
    <row r="7" spans="1:9" x14ac:dyDescent="0.2">
      <c r="A7" s="1301" t="s">
        <v>184</v>
      </c>
      <c r="B7">
        <v>1</v>
      </c>
      <c r="C7">
        <v>4</v>
      </c>
      <c r="D7">
        <v>10</v>
      </c>
      <c r="F7">
        <v>1</v>
      </c>
      <c r="G7">
        <v>4</v>
      </c>
      <c r="H7">
        <v>10</v>
      </c>
    </row>
    <row r="8" spans="1:9" x14ac:dyDescent="0.2">
      <c r="A8" s="1301" t="s">
        <v>788</v>
      </c>
      <c r="D8">
        <v>2</v>
      </c>
      <c r="H8">
        <v>2</v>
      </c>
    </row>
    <row r="9" spans="1:9" x14ac:dyDescent="0.2">
      <c r="A9" s="1301" t="s">
        <v>789</v>
      </c>
      <c r="B9">
        <v>2</v>
      </c>
      <c r="C9">
        <v>6</v>
      </c>
      <c r="D9">
        <v>8</v>
      </c>
      <c r="F9">
        <v>2</v>
      </c>
      <c r="G9">
        <v>6</v>
      </c>
      <c r="H9">
        <v>8</v>
      </c>
    </row>
    <row r="10" spans="1:9" x14ac:dyDescent="0.2">
      <c r="A10" s="1301" t="s">
        <v>194</v>
      </c>
      <c r="C10">
        <v>1</v>
      </c>
      <c r="G10">
        <v>1</v>
      </c>
    </row>
    <row r="11" spans="1:9" x14ac:dyDescent="0.2">
      <c r="A11" s="1301" t="s">
        <v>228</v>
      </c>
      <c r="C11">
        <v>7</v>
      </c>
      <c r="D11">
        <v>3</v>
      </c>
      <c r="G11">
        <v>7</v>
      </c>
      <c r="H11">
        <v>3</v>
      </c>
    </row>
    <row r="12" spans="1:9" x14ac:dyDescent="0.2">
      <c r="A12" s="1301" t="s">
        <v>666</v>
      </c>
      <c r="B12">
        <v>3</v>
      </c>
      <c r="C12">
        <v>18</v>
      </c>
      <c r="D12">
        <v>23</v>
      </c>
      <c r="F12">
        <v>3</v>
      </c>
      <c r="G12">
        <v>18</v>
      </c>
      <c r="H12">
        <v>23</v>
      </c>
    </row>
    <row r="18" spans="1:11" x14ac:dyDescent="0.2">
      <c r="A18" s="1300" t="s">
        <v>4</v>
      </c>
      <c r="B18" t="s">
        <v>603</v>
      </c>
    </row>
    <row r="20" spans="1:11" x14ac:dyDescent="0.2">
      <c r="B20" s="1300" t="s">
        <v>670</v>
      </c>
    </row>
    <row r="21" spans="1:11" x14ac:dyDescent="0.2">
      <c r="B21" t="s">
        <v>792</v>
      </c>
      <c r="G21" t="s">
        <v>785</v>
      </c>
    </row>
    <row r="22" spans="1:11" x14ac:dyDescent="0.2">
      <c r="A22" s="1300" t="s">
        <v>658</v>
      </c>
      <c r="B22" t="s">
        <v>827</v>
      </c>
      <c r="C22" t="s">
        <v>819</v>
      </c>
      <c r="D22" t="s">
        <v>822</v>
      </c>
      <c r="E22" t="s">
        <v>824</v>
      </c>
      <c r="F22" t="s">
        <v>826</v>
      </c>
      <c r="G22" t="s">
        <v>827</v>
      </c>
      <c r="H22" t="s">
        <v>819</v>
      </c>
      <c r="I22" t="s">
        <v>822</v>
      </c>
      <c r="J22" t="s">
        <v>824</v>
      </c>
      <c r="K22" t="s">
        <v>826</v>
      </c>
    </row>
    <row r="23" spans="1:11" x14ac:dyDescent="0.2">
      <c r="A23" s="1301" t="s">
        <v>795</v>
      </c>
      <c r="C23">
        <v>2</v>
      </c>
      <c r="D23">
        <v>1</v>
      </c>
      <c r="F23">
        <v>1</v>
      </c>
      <c r="G23">
        <v>5</v>
      </c>
      <c r="H23">
        <v>29</v>
      </c>
      <c r="I23">
        <v>61</v>
      </c>
      <c r="J23">
        <v>14</v>
      </c>
      <c r="K23">
        <v>5</v>
      </c>
    </row>
    <row r="24" spans="1:11" x14ac:dyDescent="0.2">
      <c r="A24" s="1301" t="s">
        <v>796</v>
      </c>
      <c r="G24">
        <v>1</v>
      </c>
      <c r="H24">
        <v>1</v>
      </c>
      <c r="I24">
        <v>8</v>
      </c>
      <c r="J24">
        <v>6</v>
      </c>
    </row>
    <row r="25" spans="1:11" x14ac:dyDescent="0.2">
      <c r="A25" s="1301" t="s">
        <v>797</v>
      </c>
      <c r="G25">
        <v>61</v>
      </c>
      <c r="H25">
        <v>102</v>
      </c>
      <c r="I25">
        <v>278</v>
      </c>
      <c r="J25">
        <v>164</v>
      </c>
      <c r="K25">
        <v>54</v>
      </c>
    </row>
    <row r="26" spans="1:11" x14ac:dyDescent="0.2">
      <c r="A26" s="1301" t="s">
        <v>798</v>
      </c>
      <c r="C26">
        <v>1</v>
      </c>
      <c r="D26">
        <v>6</v>
      </c>
      <c r="E26">
        <v>1</v>
      </c>
      <c r="F26">
        <v>5</v>
      </c>
      <c r="G26">
        <v>2</v>
      </c>
      <c r="H26">
        <v>10</v>
      </c>
      <c r="I26">
        <v>16</v>
      </c>
      <c r="J26">
        <v>7</v>
      </c>
    </row>
    <row r="27" spans="1:11" x14ac:dyDescent="0.2">
      <c r="A27" s="1301" t="s">
        <v>799</v>
      </c>
      <c r="H27">
        <v>4</v>
      </c>
      <c r="I27">
        <v>7</v>
      </c>
      <c r="J27">
        <v>4</v>
      </c>
      <c r="K27">
        <v>2</v>
      </c>
    </row>
    <row r="28" spans="1:11" x14ac:dyDescent="0.2">
      <c r="A28" s="1301" t="s">
        <v>800</v>
      </c>
      <c r="C28">
        <v>1</v>
      </c>
      <c r="D28">
        <v>5</v>
      </c>
      <c r="F28">
        <v>1</v>
      </c>
      <c r="G28">
        <v>4</v>
      </c>
      <c r="H28">
        <v>19</v>
      </c>
      <c r="I28">
        <v>63</v>
      </c>
      <c r="J28">
        <v>47</v>
      </c>
      <c r="K28">
        <v>8</v>
      </c>
    </row>
    <row r="29" spans="1:11" x14ac:dyDescent="0.2">
      <c r="A29" s="1301" t="s">
        <v>801</v>
      </c>
      <c r="D29">
        <v>1</v>
      </c>
      <c r="F29">
        <v>2</v>
      </c>
      <c r="G29">
        <v>14</v>
      </c>
      <c r="H29">
        <v>17</v>
      </c>
      <c r="I29">
        <v>42</v>
      </c>
      <c r="J29">
        <v>28</v>
      </c>
      <c r="K29">
        <v>3</v>
      </c>
    </row>
    <row r="30" spans="1:11" x14ac:dyDescent="0.2">
      <c r="A30" s="1301" t="s">
        <v>666</v>
      </c>
      <c r="C30">
        <v>4</v>
      </c>
      <c r="D30">
        <v>13</v>
      </c>
      <c r="E30">
        <v>1</v>
      </c>
      <c r="F30">
        <v>9</v>
      </c>
      <c r="G30">
        <v>87</v>
      </c>
      <c r="H30">
        <v>182</v>
      </c>
      <c r="I30">
        <v>475</v>
      </c>
      <c r="J30">
        <v>270</v>
      </c>
      <c r="K30">
        <v>72</v>
      </c>
    </row>
    <row r="38" spans="1:10" x14ac:dyDescent="0.2">
      <c r="A38" s="1300" t="s">
        <v>4</v>
      </c>
      <c r="B38" t="s">
        <v>603</v>
      </c>
    </row>
    <row r="40" spans="1:10" x14ac:dyDescent="0.2">
      <c r="A40" s="1300" t="s">
        <v>658</v>
      </c>
      <c r="B40" t="s">
        <v>828</v>
      </c>
      <c r="C40" t="s">
        <v>829</v>
      </c>
      <c r="D40" t="s">
        <v>830</v>
      </c>
      <c r="E40" t="s">
        <v>831</v>
      </c>
      <c r="F40" t="s">
        <v>832</v>
      </c>
      <c r="G40" t="s">
        <v>833</v>
      </c>
      <c r="H40" t="s">
        <v>834</v>
      </c>
      <c r="I40" t="s">
        <v>835</v>
      </c>
      <c r="J40" t="s">
        <v>836</v>
      </c>
    </row>
    <row r="41" spans="1:10" x14ac:dyDescent="0.2">
      <c r="A41" s="1301" t="s">
        <v>803</v>
      </c>
      <c r="B41">
        <v>31</v>
      </c>
      <c r="C41">
        <v>33</v>
      </c>
      <c r="D41">
        <v>85</v>
      </c>
      <c r="E41">
        <v>64</v>
      </c>
      <c r="F41">
        <v>12</v>
      </c>
      <c r="H41">
        <v>2</v>
      </c>
      <c r="I41">
        <v>1</v>
      </c>
      <c r="J41">
        <v>6</v>
      </c>
    </row>
    <row r="42" spans="1:10" x14ac:dyDescent="0.2">
      <c r="A42" s="1301" t="s">
        <v>804</v>
      </c>
      <c r="B42">
        <v>17</v>
      </c>
      <c r="C42">
        <v>69</v>
      </c>
      <c r="D42">
        <v>205</v>
      </c>
      <c r="E42">
        <v>120</v>
      </c>
      <c r="F42">
        <v>44</v>
      </c>
      <c r="G42">
        <v>2</v>
      </c>
      <c r="H42">
        <v>3</v>
      </c>
      <c r="J42">
        <v>2</v>
      </c>
    </row>
    <row r="43" spans="1:10" x14ac:dyDescent="0.2">
      <c r="A43" s="1301" t="s">
        <v>805</v>
      </c>
      <c r="B43">
        <v>37</v>
      </c>
      <c r="C43">
        <v>67</v>
      </c>
      <c r="D43">
        <v>154</v>
      </c>
      <c r="E43">
        <v>73</v>
      </c>
      <c r="F43">
        <v>13</v>
      </c>
      <c r="G43">
        <v>2</v>
      </c>
      <c r="H43">
        <v>7</v>
      </c>
      <c r="J43">
        <v>1</v>
      </c>
    </row>
    <row r="44" spans="1:10" x14ac:dyDescent="0.2">
      <c r="A44" s="1301" t="s">
        <v>806</v>
      </c>
      <c r="B44">
        <v>2</v>
      </c>
      <c r="C44">
        <v>13</v>
      </c>
      <c r="D44">
        <v>31</v>
      </c>
      <c r="E44">
        <v>13</v>
      </c>
      <c r="F44">
        <v>3</v>
      </c>
      <c r="H44">
        <v>1</v>
      </c>
    </row>
    <row r="45" spans="1:10" x14ac:dyDescent="0.2">
      <c r="A45" s="1301" t="s">
        <v>666</v>
      </c>
      <c r="B45">
        <v>87</v>
      </c>
      <c r="C45">
        <v>182</v>
      </c>
      <c r="D45">
        <v>475</v>
      </c>
      <c r="E45">
        <v>270</v>
      </c>
      <c r="F45">
        <v>72</v>
      </c>
      <c r="G45">
        <v>4</v>
      </c>
      <c r="H45">
        <v>13</v>
      </c>
      <c r="I45">
        <v>1</v>
      </c>
      <c r="J45">
        <v>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5">
    <tabColor theme="4"/>
    <pageSetUpPr fitToPage="1"/>
  </sheetPr>
  <dimension ref="A1:S47"/>
  <sheetViews>
    <sheetView showGridLines="0" zoomScaleNormal="100" workbookViewId="0">
      <selection sqref="A1:N1"/>
    </sheetView>
  </sheetViews>
  <sheetFormatPr defaultRowHeight="12.75" x14ac:dyDescent="0.2"/>
  <cols>
    <col min="1" max="1" width="11.140625" customWidth="1"/>
    <col min="2" max="2" width="10.42578125" customWidth="1"/>
    <col min="3" max="3" width="11.140625" customWidth="1"/>
    <col min="4" max="4" width="10.140625" customWidth="1"/>
    <col min="5" max="6" width="10.7109375" customWidth="1"/>
    <col min="7" max="7" width="9" customWidth="1"/>
    <col min="8" max="8" width="10.7109375" customWidth="1"/>
    <col min="9" max="9" width="10.42578125" customWidth="1"/>
    <col min="10" max="10" width="11.42578125" customWidth="1"/>
    <col min="11" max="11" width="12.140625" customWidth="1"/>
    <col min="12" max="12" width="13.42578125" customWidth="1"/>
    <col min="13" max="13" width="10.5703125" customWidth="1"/>
  </cols>
  <sheetData>
    <row r="1" spans="1:14" ht="38.25" customHeight="1" x14ac:dyDescent="0.2">
      <c r="A1" s="1671" t="s">
        <v>888</v>
      </c>
      <c r="B1" s="1671"/>
      <c r="C1" s="1671"/>
      <c r="D1" s="1671"/>
      <c r="E1" s="1671"/>
      <c r="F1" s="1671"/>
      <c r="G1" s="1671"/>
      <c r="H1" s="1671"/>
      <c r="I1" s="1671"/>
      <c r="J1" s="1671"/>
      <c r="K1" s="1671"/>
      <c r="L1" s="1671"/>
      <c r="M1" s="1671"/>
      <c r="N1" s="1671"/>
    </row>
    <row r="2" spans="1:14" ht="15" x14ac:dyDescent="0.25">
      <c r="A2" s="1"/>
      <c r="B2" s="1"/>
      <c r="C2" s="1"/>
      <c r="D2" s="1"/>
      <c r="E2" s="1"/>
      <c r="F2" s="145" t="s">
        <v>58</v>
      </c>
      <c r="G2" s="1"/>
      <c r="H2" s="1"/>
      <c r="I2" s="1"/>
      <c r="J2" s="1"/>
      <c r="K2" s="1"/>
      <c r="L2" s="1"/>
      <c r="M2" s="253" t="s">
        <v>0</v>
      </c>
    </row>
    <row r="3" spans="1:14" ht="14.25" customHeight="1" x14ac:dyDescent="0.2">
      <c r="A3" s="1629" t="s">
        <v>4</v>
      </c>
      <c r="B3" s="1741" t="s">
        <v>338</v>
      </c>
      <c r="C3" s="1742"/>
      <c r="D3" s="1742"/>
      <c r="E3" s="1742"/>
      <c r="F3" s="1743"/>
      <c r="G3" s="518"/>
      <c r="H3" s="1750" t="s">
        <v>4</v>
      </c>
      <c r="I3" s="1695" t="s">
        <v>204</v>
      </c>
      <c r="J3" s="1749"/>
      <c r="K3" s="1749"/>
      <c r="L3" s="1749"/>
      <c r="M3" s="1696"/>
    </row>
    <row r="4" spans="1:14" ht="14.25" customHeight="1" x14ac:dyDescent="0.2">
      <c r="A4" s="1687"/>
      <c r="B4" s="1121" t="s">
        <v>200</v>
      </c>
      <c r="C4" s="1122" t="s">
        <v>201</v>
      </c>
      <c r="D4" s="1122" t="s">
        <v>202</v>
      </c>
      <c r="E4" s="1123" t="s">
        <v>203</v>
      </c>
      <c r="F4" s="670" t="s">
        <v>11</v>
      </c>
      <c r="G4" s="1"/>
      <c r="H4" s="1751"/>
      <c r="I4" s="1495" t="s">
        <v>200</v>
      </c>
      <c r="J4" s="1496" t="s">
        <v>201</v>
      </c>
      <c r="K4" s="1497" t="s">
        <v>202</v>
      </c>
      <c r="L4" s="1498" t="s">
        <v>203</v>
      </c>
      <c r="M4" s="1499" t="s">
        <v>11</v>
      </c>
    </row>
    <row r="5" spans="1:14" ht="18.75" customHeight="1" x14ac:dyDescent="0.2">
      <c r="A5" s="17" t="s">
        <v>16</v>
      </c>
      <c r="B5" s="709">
        <f>'16 16a'!B5/'17 17a'!I5*1000000</f>
        <v>0</v>
      </c>
      <c r="C5" s="709">
        <f>'16 16a'!C5/'17 17a'!J5*1000000</f>
        <v>9.2266349885532062</v>
      </c>
      <c r="D5" s="709">
        <f>'16 16a'!D5/'17 17a'!K5*1000000</f>
        <v>15.238271148873292</v>
      </c>
      <c r="E5" s="709">
        <f>'16 16a'!E5/'17 17a'!L5*1000000</f>
        <v>26.114888097704501</v>
      </c>
      <c r="F5" s="1067">
        <f>('16 16a'!G5)/'17 17a'!M5*1000000</f>
        <v>13.733075435203094</v>
      </c>
      <c r="G5" s="1"/>
      <c r="H5" s="1481" t="s">
        <v>16</v>
      </c>
      <c r="I5" s="1500">
        <f>Tref!C31</f>
        <v>988575</v>
      </c>
      <c r="J5" s="1500">
        <f>Tref!D31</f>
        <v>867055</v>
      </c>
      <c r="K5" s="1500">
        <f>Tref!E31</f>
        <v>2165600</v>
      </c>
      <c r="L5" s="1500">
        <f>Tref!F31</f>
        <v>1148770</v>
      </c>
      <c r="M5" s="1501">
        <f>Tref!$B31</f>
        <v>5170000</v>
      </c>
      <c r="N5" t="s">
        <v>145</v>
      </c>
    </row>
    <row r="6" spans="1:14" ht="13.5" customHeight="1" x14ac:dyDescent="0.2">
      <c r="A6" s="5" t="s">
        <v>18</v>
      </c>
      <c r="B6" s="710">
        <f>'16 16a'!B6/'17 17a'!I6*1000000</f>
        <v>2.0262049080761488</v>
      </c>
      <c r="C6" s="710">
        <f>'16 16a'!C6/'17 17a'!J6*1000000</f>
        <v>5.660546106846204</v>
      </c>
      <c r="D6" s="710">
        <f>'16 16a'!D6/'17 17a'!K6*1000000</f>
        <v>12.964199363457812</v>
      </c>
      <c r="E6" s="710">
        <f>'16 16a'!E6/'17 17a'!L6*1000000</f>
        <v>24.728582489434924</v>
      </c>
      <c r="F6" s="330">
        <f>('16 16a'!G6)/'17 17a'!M6*1000000</f>
        <v>12.300832228180438</v>
      </c>
      <c r="G6" s="1" t="s">
        <v>145</v>
      </c>
      <c r="H6" s="435" t="s">
        <v>18</v>
      </c>
      <c r="I6" s="940">
        <f>Tref!C32</f>
        <v>987067</v>
      </c>
      <c r="J6" s="940">
        <f>Tref!D32</f>
        <v>883307</v>
      </c>
      <c r="K6" s="940">
        <f>Tref!E32</f>
        <v>2159794</v>
      </c>
      <c r="L6" s="940">
        <f>Tref!F32</f>
        <v>1172732</v>
      </c>
      <c r="M6" s="1502">
        <f>Tref!$B32</f>
        <v>5202900</v>
      </c>
      <c r="N6" t="s">
        <v>145</v>
      </c>
    </row>
    <row r="7" spans="1:14" ht="13.5" customHeight="1" x14ac:dyDescent="0.2">
      <c r="A7" s="5" t="s">
        <v>19</v>
      </c>
      <c r="B7" s="710">
        <f>'16 16a'!B7/'17 17a'!I7*1000000</f>
        <v>2.0318822646140591</v>
      </c>
      <c r="C7" s="710">
        <f>'16 16a'!C7/'17 17a'!J7*1000000</f>
        <v>4.4746933716367083</v>
      </c>
      <c r="D7" s="710">
        <f>'16 16a'!D7/'17 17a'!K7*1000000</f>
        <v>12.501226972276909</v>
      </c>
      <c r="E7" s="710">
        <f>'16 16a'!E7/'17 17a'!L7*1000000</f>
        <v>23.45280583505809</v>
      </c>
      <c r="F7" s="330">
        <f>('16 16a'!G7)/'17 17a'!M7*1000000</f>
        <v>11.659244251610314</v>
      </c>
      <c r="G7" s="1" t="s">
        <v>145</v>
      </c>
      <c r="H7" s="435" t="s">
        <v>19</v>
      </c>
      <c r="I7" s="940">
        <f>Tref!C33</f>
        <v>984309</v>
      </c>
      <c r="J7" s="940">
        <f>Tref!D33</f>
        <v>893916</v>
      </c>
      <c r="K7" s="940">
        <f>Tref!E33</f>
        <v>2159788</v>
      </c>
      <c r="L7" s="940">
        <f>Tref!F33</f>
        <v>1193887</v>
      </c>
      <c r="M7" s="1502">
        <f>Tref!$B33</f>
        <v>5231900</v>
      </c>
      <c r="N7" t="s">
        <v>145</v>
      </c>
    </row>
    <row r="8" spans="1:14" ht="13.5" customHeight="1" x14ac:dyDescent="0.2">
      <c r="A8" s="30" t="s">
        <v>20</v>
      </c>
      <c r="B8" s="710">
        <f>'16 16a'!B8/'17 17a'!I8*1000000</f>
        <v>0</v>
      </c>
      <c r="C8" s="710">
        <f>'16 16a'!C8/'17 17a'!J8*1000000</f>
        <v>6.6403046571776709</v>
      </c>
      <c r="D8" s="710">
        <f>'16 16a'!D8/'17 17a'!K8*1000000</f>
        <v>10.62849036157662</v>
      </c>
      <c r="E8" s="710">
        <f>'16 16a'!E8/'17 17a'!L8*1000000</f>
        <v>18.952878200564303</v>
      </c>
      <c r="F8" s="330">
        <f>('16 16a'!G8)/'17 17a'!M8*1000000</f>
        <v>9.8817984873246925</v>
      </c>
      <c r="G8" s="1" t="s">
        <v>145</v>
      </c>
      <c r="H8" s="218" t="s">
        <v>20</v>
      </c>
      <c r="I8" s="940">
        <f>Tref!C34</f>
        <v>981096</v>
      </c>
      <c r="J8" s="940">
        <f>Tref!D34</f>
        <v>903573</v>
      </c>
      <c r="K8" s="940">
        <f>Tref!E34</f>
        <v>2163995</v>
      </c>
      <c r="L8" s="940">
        <f>Tref!F34</f>
        <v>1213536</v>
      </c>
      <c r="M8" s="1502">
        <f>Tref!$B34</f>
        <v>5262200</v>
      </c>
      <c r="N8" t="s">
        <v>145</v>
      </c>
    </row>
    <row r="9" spans="1:14" ht="13.5" customHeight="1" x14ac:dyDescent="0.2">
      <c r="A9" s="30" t="s">
        <v>13</v>
      </c>
      <c r="B9" s="710">
        <f>'16 16a'!B9/'17 17a'!I9*1000000</f>
        <v>3.0672494440610385</v>
      </c>
      <c r="C9" s="710">
        <f>'16 16a'!C9/'17 17a'!J9*1000000</f>
        <v>3.2771233847878118</v>
      </c>
      <c r="D9" s="710">
        <f>'16 16a'!D9/'17 17a'!K9*1000000</f>
        <v>10.581713602700821</v>
      </c>
      <c r="E9" s="710">
        <f>'16 16a'!E9/'17 17a'!L9*1000000</f>
        <v>24.334314546972124</v>
      </c>
      <c r="F9" s="330">
        <f>('16 16a'!G9)/'17 17a'!M9*1000000</f>
        <v>11.132285514821033</v>
      </c>
      <c r="G9" s="1" t="s">
        <v>145</v>
      </c>
      <c r="H9" s="218" t="s">
        <v>13</v>
      </c>
      <c r="I9" s="940">
        <f>Tref!C35</f>
        <v>978075</v>
      </c>
      <c r="J9" s="940">
        <f>Tref!D35</f>
        <v>915437</v>
      </c>
      <c r="K9" s="940">
        <f>Tref!E35</f>
        <v>2173561</v>
      </c>
      <c r="L9" s="940">
        <f>Tref!F35</f>
        <v>1232827</v>
      </c>
      <c r="M9" s="1502">
        <f>Tref!$B35</f>
        <v>5299900</v>
      </c>
    </row>
    <row r="10" spans="1:14" ht="13.5" customHeight="1" x14ac:dyDescent="0.2">
      <c r="A10" s="30" t="s">
        <v>15</v>
      </c>
      <c r="B10" s="710">
        <f>'16 16a'!B10/'17 17a'!I10*1000000</f>
        <v>0</v>
      </c>
      <c r="C10" s="710">
        <f>'16 16a'!C10/'17 17a'!J10*1000000</f>
        <v>1.0934757767778549</v>
      </c>
      <c r="D10" s="710">
        <f>'16 16a'!D10/'17 17a'!K10*1000000</f>
        <v>8.7369738617332509</v>
      </c>
      <c r="E10" s="710">
        <f>'16 16a'!E10/'17 17a'!L10*1000000</f>
        <v>20.827258716207773</v>
      </c>
      <c r="F10" s="330">
        <f>('16 16a'!G10)/'17 17a'!M10*1000000</f>
        <v>8.6570310147545921</v>
      </c>
      <c r="G10" s="1" t="s">
        <v>145</v>
      </c>
      <c r="H10" s="218" t="s">
        <v>15</v>
      </c>
      <c r="I10" s="940">
        <f>Tref!C36</f>
        <v>976055</v>
      </c>
      <c r="J10" s="940">
        <f>Tref!D36</f>
        <v>914515</v>
      </c>
      <c r="K10" s="940">
        <f>Tref!E36</f>
        <v>2174666</v>
      </c>
      <c r="L10" s="940">
        <f>Tref!F36</f>
        <v>1248364</v>
      </c>
      <c r="M10" s="1502">
        <f>Tref!$B36</f>
        <v>5313600</v>
      </c>
    </row>
    <row r="11" spans="1:14" ht="13.5" customHeight="1" x14ac:dyDescent="0.2">
      <c r="A11" s="30" t="s">
        <v>17</v>
      </c>
      <c r="B11" s="710">
        <f>'16 16a'!B11/'17 17a'!I11*1000000</f>
        <v>0</v>
      </c>
      <c r="C11" s="710">
        <f>'16 16a'!C11/'17 17a'!J11*1000000</f>
        <v>0</v>
      </c>
      <c r="D11" s="710">
        <f>'16 16a'!D11/'17 17a'!K11*1000000</f>
        <v>6.8941110503407996</v>
      </c>
      <c r="E11" s="710">
        <f>'16 16a'!E11/'17 17a'!L11*1000000</f>
        <v>12.656155202431249</v>
      </c>
      <c r="F11" s="330">
        <f>('16 16a'!G11)/'17 17a'!M11*1000000</f>
        <v>5.8186459447791732</v>
      </c>
      <c r="G11" s="1" t="s">
        <v>145</v>
      </c>
      <c r="H11" s="218" t="s">
        <v>17</v>
      </c>
      <c r="I11" s="940">
        <f>Tref!C37</f>
        <v>973340</v>
      </c>
      <c r="J11" s="940">
        <f>Tref!D37</f>
        <v>914383</v>
      </c>
      <c r="K11" s="940">
        <f>Tref!E37</f>
        <v>2175770</v>
      </c>
      <c r="L11" s="940">
        <f>Tref!F37</f>
        <v>1264207</v>
      </c>
      <c r="M11" s="1502">
        <f>Tref!$B37</f>
        <v>5327700</v>
      </c>
    </row>
    <row r="12" spans="1:14" ht="13.5" customHeight="1" x14ac:dyDescent="0.2">
      <c r="A12" s="30" t="s">
        <v>147</v>
      </c>
      <c r="B12" s="710">
        <f>'16 16a'!B12/'17 17a'!I12*1000000</f>
        <v>1.0299987125016095</v>
      </c>
      <c r="C12" s="710">
        <f>'16 16a'!C12/'17 17a'!J12*1000000</f>
        <v>2.1834728572489115</v>
      </c>
      <c r="D12" s="710">
        <f>'16 16a'!D12/'17 17a'!K12*1000000</f>
        <v>6.4323661964453827</v>
      </c>
      <c r="E12" s="710">
        <f>'16 16a'!E12/'17 17a'!L12*1000000</f>
        <v>17.909146123059195</v>
      </c>
      <c r="F12" s="330">
        <f>('16 16a'!G12)/'17 17a'!M12*1000000</f>
        <v>7.4799910240107712</v>
      </c>
      <c r="G12" t="s">
        <v>145</v>
      </c>
      <c r="H12" s="218" t="s">
        <v>147</v>
      </c>
      <c r="I12" s="940">
        <f>Tref!C38</f>
        <v>970875</v>
      </c>
      <c r="J12" s="940">
        <f>Tref!D38</f>
        <v>915972</v>
      </c>
      <c r="K12" s="940">
        <f>Tref!E38</f>
        <v>2176493</v>
      </c>
      <c r="L12" s="940">
        <f>Tref!F38</f>
        <v>1284260</v>
      </c>
      <c r="M12" s="1502">
        <f>Tref!$B38</f>
        <v>5347600</v>
      </c>
    </row>
    <row r="13" spans="1:14" ht="13.5" customHeight="1" x14ac:dyDescent="0.2">
      <c r="A13" s="30" t="s">
        <v>160</v>
      </c>
      <c r="B13" s="710">
        <f>'16 16a'!B13/'17 17a'!I13*1000000</f>
        <v>0</v>
      </c>
      <c r="C13" s="710">
        <f>'16 16a'!C13/'17 17a'!J13*1000000</f>
        <v>3.2601998067788247</v>
      </c>
      <c r="D13" s="710">
        <f>'16 16a'!D13/'17 17a'!K13*1000000</f>
        <v>8.2500952198489959</v>
      </c>
      <c r="E13" s="710">
        <f>'16 16a'!E13/'17 17a'!L13*1000000</f>
        <v>17.692362130345018</v>
      </c>
      <c r="F13" s="330">
        <f>('16 16a'!G13)/'17 17a'!M13*1000000</f>
        <v>8.3752093802345069</v>
      </c>
      <c r="G13" s="1" t="s">
        <v>145</v>
      </c>
      <c r="H13" s="218" t="s">
        <v>160</v>
      </c>
      <c r="I13" s="940">
        <f>Tref!C39</f>
        <v>971022</v>
      </c>
      <c r="J13" s="940">
        <f>Tref!D39</f>
        <v>920189</v>
      </c>
      <c r="K13" s="940">
        <f>Tref!E39</f>
        <v>2181793</v>
      </c>
      <c r="L13" s="940">
        <f>Tref!F39</f>
        <v>1299996</v>
      </c>
      <c r="M13" s="1502">
        <f>Tref!$B39</f>
        <v>5373000</v>
      </c>
    </row>
    <row r="14" spans="1:14" ht="13.5" customHeight="1" x14ac:dyDescent="0.2">
      <c r="A14" s="30" t="s">
        <v>379</v>
      </c>
      <c r="B14" s="710">
        <f>'16 16a'!B14/'17 17a'!I14*1000000</f>
        <v>0</v>
      </c>
      <c r="C14" s="710">
        <f>'16 16a'!C14/'17 17a'!J14*1000000</f>
        <v>4.3269017544504891</v>
      </c>
      <c r="D14" s="710">
        <f>'16 16a'!D14/'17 17a'!K14*1000000</f>
        <v>10.059133990865391</v>
      </c>
      <c r="E14" s="710">
        <f>'16 16a'!E14/'17 17a'!L14*1000000</f>
        <v>13.632191359614179</v>
      </c>
      <c r="F14" s="330">
        <f>('16 16a'!G14)/'17 17a'!M14*1000000</f>
        <v>8.1410624086443288</v>
      </c>
      <c r="G14" s="1" t="s">
        <v>145</v>
      </c>
      <c r="H14" s="218" t="s">
        <v>379</v>
      </c>
      <c r="I14" s="940">
        <f>Tref!C40</f>
        <v>972780</v>
      </c>
      <c r="J14" s="940">
        <f>Tref!D40</f>
        <v>924449</v>
      </c>
      <c r="K14" s="940">
        <f>Tref!E40</f>
        <v>2187067</v>
      </c>
      <c r="L14" s="940">
        <f>Tref!F40</f>
        <v>1320404</v>
      </c>
      <c r="M14" s="1502">
        <f>Tref!$B40</f>
        <v>5404700</v>
      </c>
    </row>
    <row r="15" spans="1:14" ht="13.5" customHeight="1" x14ac:dyDescent="0.2">
      <c r="A15" s="1261" t="s">
        <v>603</v>
      </c>
      <c r="B15" s="711">
        <f>'16 16a'!B15/'17 17a'!I15*1000000</f>
        <v>0</v>
      </c>
      <c r="C15" s="711">
        <f>'16 16a'!C15/'17 17a'!J15*1000000</f>
        <v>3.2608163997326134</v>
      </c>
      <c r="D15" s="711">
        <f>'16 16a'!D15/'17 17a'!K15*1000000</f>
        <v>8.2185363608594937</v>
      </c>
      <c r="E15" s="711">
        <f>'16 16a'!E15/'17 17a'!L15*1000000</f>
        <v>17.143990136987934</v>
      </c>
      <c r="F15" s="682">
        <f>('16 16a'!G15)/'17 17a'!M15*1000000</f>
        <v>8.1108980976257197</v>
      </c>
      <c r="G15" s="1" t="s">
        <v>143</v>
      </c>
      <c r="H15" s="1503" t="s">
        <v>603</v>
      </c>
      <c r="I15" s="1504">
        <f>Tref!C41</f>
        <v>973036</v>
      </c>
      <c r="J15" s="1504">
        <f>Tref!D41</f>
        <v>920015</v>
      </c>
      <c r="K15" s="1504">
        <f>Tref!E41</f>
        <v>2190171</v>
      </c>
      <c r="L15" s="1504">
        <f>Tref!F41</f>
        <v>1341578</v>
      </c>
      <c r="M15" s="1505">
        <f>Tref!$B41</f>
        <v>5424800</v>
      </c>
      <c r="N15" t="s">
        <v>143</v>
      </c>
    </row>
    <row r="16" spans="1:14" x14ac:dyDescent="0.2">
      <c r="A16" s="1"/>
      <c r="B16" s="1"/>
      <c r="C16" s="1"/>
      <c r="D16" s="1"/>
      <c r="E16" s="1"/>
      <c r="F16" s="1"/>
      <c r="G16" s="1"/>
      <c r="H16" s="1"/>
      <c r="I16" s="7"/>
      <c r="J16" s="7"/>
      <c r="K16" s="7"/>
      <c r="L16" s="7"/>
      <c r="M16" s="7"/>
    </row>
    <row r="17" spans="1:19" x14ac:dyDescent="0.2">
      <c r="A17" s="2" t="s">
        <v>162</v>
      </c>
      <c r="B17" s="1"/>
      <c r="C17" s="1"/>
      <c r="D17" s="1"/>
      <c r="E17" s="1"/>
      <c r="F17" s="1"/>
      <c r="G17" s="1"/>
      <c r="H17" s="1"/>
      <c r="I17" s="1"/>
      <c r="J17" s="1"/>
      <c r="K17" s="1"/>
      <c r="L17" s="1"/>
      <c r="M17" s="1"/>
    </row>
    <row r="18" spans="1:19" x14ac:dyDescent="0.2">
      <c r="A18" s="71" t="s">
        <v>975</v>
      </c>
      <c r="B18" s="1"/>
      <c r="D18" s="1"/>
      <c r="E18" s="1"/>
      <c r="F18" s="1"/>
      <c r="G18" s="1"/>
      <c r="H18" s="1"/>
      <c r="I18" s="1"/>
      <c r="J18" s="1"/>
      <c r="K18" s="1"/>
      <c r="L18" s="1"/>
      <c r="M18" s="1"/>
    </row>
    <row r="19" spans="1:19" x14ac:dyDescent="0.2">
      <c r="A19" s="71" t="s">
        <v>968</v>
      </c>
      <c r="B19" s="1"/>
      <c r="C19" s="1"/>
      <c r="D19" s="1"/>
      <c r="E19" s="1"/>
      <c r="F19" s="1"/>
      <c r="G19" s="1"/>
      <c r="H19" s="1"/>
      <c r="I19" s="1"/>
      <c r="J19" s="1"/>
      <c r="K19" s="1697"/>
      <c r="L19" s="1697"/>
      <c r="M19" s="1697"/>
      <c r="N19" s="1697"/>
      <c r="O19" s="1697"/>
      <c r="P19" s="1697"/>
      <c r="Q19" s="1697"/>
      <c r="R19" s="1697"/>
      <c r="S19" s="1697"/>
    </row>
    <row r="20" spans="1:19" ht="25.5" customHeight="1" x14ac:dyDescent="0.2">
      <c r="A20" s="1654" t="s">
        <v>966</v>
      </c>
      <c r="B20" s="1654"/>
      <c r="C20" s="1654"/>
      <c r="D20" s="1654"/>
      <c r="E20" s="1654"/>
      <c r="F20" s="1654"/>
      <c r="G20" s="1654"/>
      <c r="H20" s="1654"/>
      <c r="I20" s="1654"/>
      <c r="J20" s="1654"/>
      <c r="K20" s="1654"/>
      <c r="L20" s="1654"/>
      <c r="M20" s="1654"/>
    </row>
    <row r="21" spans="1:19" ht="25.5" customHeight="1" x14ac:dyDescent="0.2">
      <c r="A21" s="1697" t="s">
        <v>1037</v>
      </c>
      <c r="B21" s="1697"/>
      <c r="C21" s="1697"/>
      <c r="D21" s="1697"/>
      <c r="E21" s="1697"/>
      <c r="F21" s="1697"/>
      <c r="G21" s="1697"/>
      <c r="H21" s="1697"/>
      <c r="I21" s="1697"/>
      <c r="J21" s="1697"/>
      <c r="K21" s="1697"/>
      <c r="L21" s="1697"/>
      <c r="M21" s="1697"/>
    </row>
    <row r="22" spans="1:19" ht="25.5" customHeight="1" x14ac:dyDescent="0.2">
      <c r="A22" s="1744" t="s">
        <v>1036</v>
      </c>
      <c r="B22" s="1744"/>
      <c r="C22" s="1744"/>
      <c r="D22" s="1744"/>
      <c r="E22" s="1744"/>
      <c r="F22" s="1744"/>
      <c r="G22" s="1744"/>
      <c r="H22" s="1744"/>
      <c r="I22" s="1744"/>
      <c r="J22" s="1744"/>
      <c r="K22" s="1744"/>
      <c r="L22" s="1744"/>
      <c r="M22" s="1744"/>
    </row>
    <row r="23" spans="1:19" x14ac:dyDescent="0.2">
      <c r="A23" s="1569"/>
      <c r="B23" s="1569"/>
      <c r="C23" s="1569"/>
      <c r="D23" s="1569"/>
      <c r="E23" s="1569"/>
      <c r="F23" s="1569"/>
      <c r="G23" s="1569"/>
      <c r="H23" s="1569"/>
      <c r="I23" s="1569"/>
      <c r="J23" s="1569"/>
      <c r="K23" s="1569"/>
      <c r="L23" s="1569"/>
      <c r="M23" s="1569"/>
    </row>
    <row r="24" spans="1:19" ht="38.25" customHeight="1" x14ac:dyDescent="0.2">
      <c r="A24" s="1671" t="s">
        <v>889</v>
      </c>
      <c r="B24" s="1671"/>
      <c r="C24" s="1671"/>
      <c r="D24" s="1671"/>
      <c r="E24" s="1671"/>
      <c r="F24" s="1671"/>
      <c r="G24" s="1671"/>
      <c r="H24" s="1671"/>
      <c r="I24" s="1671"/>
      <c r="J24" s="1671"/>
      <c r="K24" s="1671"/>
      <c r="L24" s="1671"/>
      <c r="M24" s="1671"/>
      <c r="N24" s="1671"/>
    </row>
    <row r="25" spans="1:19" ht="15" x14ac:dyDescent="0.25">
      <c r="A25" s="1"/>
      <c r="B25" s="1"/>
      <c r="C25" s="1"/>
      <c r="D25" s="1"/>
      <c r="E25" s="1"/>
      <c r="F25" s="145" t="s">
        <v>58</v>
      </c>
      <c r="G25" s="1"/>
      <c r="H25" s="1"/>
      <c r="I25" s="1"/>
      <c r="J25" s="1"/>
      <c r="K25" s="90"/>
      <c r="L25" s="1"/>
      <c r="M25" s="253" t="s">
        <v>0</v>
      </c>
    </row>
    <row r="26" spans="1:19" ht="15" customHeight="1" x14ac:dyDescent="0.2">
      <c r="A26" s="1"/>
      <c r="B26" s="1741" t="s">
        <v>340</v>
      </c>
      <c r="C26" s="1742"/>
      <c r="D26" s="1742"/>
      <c r="E26" s="1742"/>
      <c r="F26" s="1743"/>
      <c r="G26" s="518"/>
      <c r="H26" s="1750" t="s">
        <v>4</v>
      </c>
      <c r="I26" s="1695" t="s">
        <v>339</v>
      </c>
      <c r="J26" s="1749"/>
      <c r="K26" s="1749"/>
      <c r="L26" s="1749"/>
      <c r="M26" s="1696"/>
    </row>
    <row r="27" spans="1:19" x14ac:dyDescent="0.2">
      <c r="A27" s="4" t="s">
        <v>4</v>
      </c>
      <c r="B27" s="1121" t="s">
        <v>200</v>
      </c>
      <c r="C27" s="1122" t="s">
        <v>201</v>
      </c>
      <c r="D27" s="1122" t="s">
        <v>202</v>
      </c>
      <c r="E27" s="1123" t="s">
        <v>203</v>
      </c>
      <c r="F27" s="670" t="s">
        <v>11</v>
      </c>
      <c r="G27" s="1"/>
      <c r="H27" s="1751"/>
      <c r="I27" s="1495" t="s">
        <v>200</v>
      </c>
      <c r="J27" s="1496" t="s">
        <v>201</v>
      </c>
      <c r="K27" s="1496" t="s">
        <v>202</v>
      </c>
      <c r="L27" s="1498" t="s">
        <v>203</v>
      </c>
      <c r="M27" s="1499" t="s">
        <v>11</v>
      </c>
    </row>
    <row r="28" spans="1:19" ht="18.75" customHeight="1" x14ac:dyDescent="0.2">
      <c r="A28" s="597" t="s">
        <v>16</v>
      </c>
      <c r="B28" s="676">
        <f>'16 16a'!B26/'17 17a'!I28*1000000</f>
        <v>159.82601218926234</v>
      </c>
      <c r="C28" s="709">
        <f>'16 16a'!C26/'17 17a'!J28*1000000</f>
        <v>408.27859824347939</v>
      </c>
      <c r="D28" s="709">
        <f>'16 16a'!D26/'17 17a'!K28*1000000</f>
        <v>355.55966014037682</v>
      </c>
      <c r="E28" s="709">
        <f>'16 16a'!E26/'17 17a'!L28*1000000</f>
        <v>350.80999677916384</v>
      </c>
      <c r="F28" s="989">
        <f>('16 16a'!G26)/'17 17a'!M28*1000000</f>
        <v>329.59381044487429</v>
      </c>
      <c r="G28" s="1"/>
      <c r="H28" s="1506" t="str">
        <f>H5</f>
        <v>2007-08</v>
      </c>
      <c r="I28" s="1507">
        <f>I5</f>
        <v>988575</v>
      </c>
      <c r="J28" s="1500">
        <f t="shared" ref="J28:L28" si="0">J5</f>
        <v>867055</v>
      </c>
      <c r="K28" s="1500">
        <f t="shared" si="0"/>
        <v>2165600</v>
      </c>
      <c r="L28" s="1500">
        <f t="shared" si="0"/>
        <v>1148770</v>
      </c>
      <c r="M28" s="1501">
        <f t="shared" ref="M28:M38" si="1">SUM(I28:L28)</f>
        <v>5170000</v>
      </c>
      <c r="N28" t="s">
        <v>145</v>
      </c>
    </row>
    <row r="29" spans="1:19" ht="13.5" customHeight="1" thickBot="1" x14ac:dyDescent="0.25">
      <c r="A29" s="46" t="s">
        <v>18</v>
      </c>
      <c r="B29" s="1099">
        <f>'16 16a'!B27/'17 17a'!I29*1000000</f>
        <v>164.12259755416807</v>
      </c>
      <c r="C29" s="1100">
        <f>'16 16a'!C27/'17 17a'!J29*1000000</f>
        <v>422.27673957072682</v>
      </c>
      <c r="D29" s="1100">
        <f>'16 16a'!D27/'17 17a'!K29*1000000</f>
        <v>327.34603392730975</v>
      </c>
      <c r="E29" s="1100">
        <f>'16 16a'!E27/'17 17a'!L29*1000000</f>
        <v>312.09176521148908</v>
      </c>
      <c r="F29" s="1101">
        <f>('16 16a'!G27)/'17 17a'!M29*1000000</f>
        <v>311.55701627938265</v>
      </c>
      <c r="G29" s="1" t="s">
        <v>145</v>
      </c>
      <c r="H29" s="375" t="str">
        <f t="shared" ref="H29:H38" si="2">H6</f>
        <v>2008-09</v>
      </c>
      <c r="I29" s="1037">
        <f t="shared" ref="I29:L29" si="3">I6</f>
        <v>987067</v>
      </c>
      <c r="J29" s="940">
        <f t="shared" si="3"/>
        <v>883307</v>
      </c>
      <c r="K29" s="940">
        <f t="shared" si="3"/>
        <v>2159794</v>
      </c>
      <c r="L29" s="940">
        <f t="shared" si="3"/>
        <v>1172732</v>
      </c>
      <c r="M29" s="1502">
        <f t="shared" si="1"/>
        <v>5202900</v>
      </c>
      <c r="N29" t="s">
        <v>145</v>
      </c>
    </row>
    <row r="30" spans="1:19" ht="13.5" customHeight="1" x14ac:dyDescent="0.2">
      <c r="A30" s="46" t="s">
        <v>19</v>
      </c>
      <c r="B30" s="1098">
        <f>'16 16a'!B28/'17 17a'!I30*1000000</f>
        <v>107.68976002454514</v>
      </c>
      <c r="C30" s="84">
        <f>'16 16a'!C28/'17 17a'!J30*1000000</f>
        <v>266.24425561238417</v>
      </c>
      <c r="D30" s="84">
        <f>'16 16a'!D28/'17 17a'!K30*1000000</f>
        <v>253.26559829020255</v>
      </c>
      <c r="E30" s="84">
        <f>'16 16a'!E28/'17 17a'!L30*1000000</f>
        <v>256.30566376884917</v>
      </c>
      <c r="F30" s="175">
        <f>('16 16a'!G28)/'17 17a'!M30*1000000</f>
        <v>228.78877654389419</v>
      </c>
      <c r="G30" s="151"/>
      <c r="H30" s="375" t="str">
        <f t="shared" si="2"/>
        <v>2009-10</v>
      </c>
      <c r="I30" s="1037">
        <f t="shared" ref="I30:L30" si="4">I7</f>
        <v>984309</v>
      </c>
      <c r="J30" s="940">
        <f>J7</f>
        <v>893916</v>
      </c>
      <c r="K30" s="940">
        <f t="shared" si="4"/>
        <v>2159788</v>
      </c>
      <c r="L30" s="940">
        <f t="shared" si="4"/>
        <v>1193887</v>
      </c>
      <c r="M30" s="1502">
        <f t="shared" si="1"/>
        <v>5231900</v>
      </c>
      <c r="N30" t="s">
        <v>145</v>
      </c>
    </row>
    <row r="31" spans="1:19" ht="13.5" customHeight="1" x14ac:dyDescent="0.2">
      <c r="A31" s="10" t="s">
        <v>20</v>
      </c>
      <c r="B31" s="680">
        <f>'16 16a'!B29/'17 17a'!I31*1000000</f>
        <v>114.15804365729755</v>
      </c>
      <c r="C31" s="710">
        <f>'16 16a'!C29/'17 17a'!J31*1000000</f>
        <v>310.98760144448761</v>
      </c>
      <c r="D31" s="710">
        <f>'16 16a'!D29/'17 17a'!K31*1000000</f>
        <v>269.40912525213781</v>
      </c>
      <c r="E31" s="710">
        <f>'16 16a'!E29/'17 17a'!L31*1000000</f>
        <v>266.16433299053347</v>
      </c>
      <c r="F31" s="990">
        <f>('16 16a'!G29)/'17 17a'!M31*1000000</f>
        <v>247.04496218311735</v>
      </c>
      <c r="G31" s="1"/>
      <c r="H31" s="379" t="str">
        <f t="shared" si="2"/>
        <v>2010-11</v>
      </c>
      <c r="I31" s="1037">
        <f t="shared" ref="I31:L31" si="5">I8</f>
        <v>981096</v>
      </c>
      <c r="J31" s="940">
        <f t="shared" si="5"/>
        <v>903573</v>
      </c>
      <c r="K31" s="940">
        <f t="shared" si="5"/>
        <v>2163995</v>
      </c>
      <c r="L31" s="940">
        <f t="shared" si="5"/>
        <v>1213536</v>
      </c>
      <c r="M31" s="1502">
        <f t="shared" si="1"/>
        <v>5262200</v>
      </c>
      <c r="N31" t="s">
        <v>145</v>
      </c>
    </row>
    <row r="32" spans="1:19" ht="13.5" customHeight="1" x14ac:dyDescent="0.2">
      <c r="A32" s="10" t="s">
        <v>13</v>
      </c>
      <c r="B32" s="680">
        <f>'16 16a'!B30/'17 17a'!I32*1000000</f>
        <v>121.66756128108786</v>
      </c>
      <c r="C32" s="710">
        <f>'16 16a'!C30/'17 17a'!J32*1000000</f>
        <v>292.75635570771118</v>
      </c>
      <c r="D32" s="710">
        <f>'16 16a'!D30/'17 17a'!K32*1000000</f>
        <v>296.74805538008826</v>
      </c>
      <c r="E32" s="710">
        <f>'16 16a'!E30/'17 17a'!L32*1000000</f>
        <v>284.71148019957383</v>
      </c>
      <c r="F32" s="990">
        <f>('16 16a'!G30)/'17 17a'!M32*1000000</f>
        <v>261.89173380629819</v>
      </c>
      <c r="G32" s="1"/>
      <c r="H32" s="379" t="str">
        <f t="shared" si="2"/>
        <v>2011-12</v>
      </c>
      <c r="I32" s="1037">
        <f t="shared" ref="I32:L32" si="6">I9</f>
        <v>978075</v>
      </c>
      <c r="J32" s="940">
        <f t="shared" si="6"/>
        <v>915437</v>
      </c>
      <c r="K32" s="940">
        <f t="shared" si="6"/>
        <v>2173561</v>
      </c>
      <c r="L32" s="940">
        <f t="shared" si="6"/>
        <v>1232827</v>
      </c>
      <c r="M32" s="1502">
        <f t="shared" si="1"/>
        <v>5299900</v>
      </c>
    </row>
    <row r="33" spans="1:16" ht="13.5" customHeight="1" x14ac:dyDescent="0.2">
      <c r="A33" s="10" t="s">
        <v>15</v>
      </c>
      <c r="B33" s="680">
        <f>'16 16a'!B31/'17 17a'!I33*1000000</f>
        <v>91.18338618213113</v>
      </c>
      <c r="C33" s="710">
        <f>'16 16a'!C31/'17 17a'!J33*1000000</f>
        <v>275.55589574801945</v>
      </c>
      <c r="D33" s="710">
        <f>'16 16a'!D31/'17 17a'!K33*1000000</f>
        <v>236.35813499636265</v>
      </c>
      <c r="E33" s="710">
        <f>'16 16a'!E31/'17 17a'!L33*1000000</f>
        <v>311.60783233095475</v>
      </c>
      <c r="F33" s="990">
        <f>('16 16a'!G31)/'17 17a'!M33*1000000</f>
        <v>244.8434206564288</v>
      </c>
      <c r="G33" s="1"/>
      <c r="H33" s="379" t="str">
        <f t="shared" si="2"/>
        <v>2012-13</v>
      </c>
      <c r="I33" s="1037">
        <f t="shared" ref="I33:L33" si="7">I10</f>
        <v>976055</v>
      </c>
      <c r="J33" s="940">
        <f t="shared" si="7"/>
        <v>914515</v>
      </c>
      <c r="K33" s="940">
        <f t="shared" si="7"/>
        <v>2174666</v>
      </c>
      <c r="L33" s="940">
        <f t="shared" si="7"/>
        <v>1248364</v>
      </c>
      <c r="M33" s="1502">
        <f t="shared" si="1"/>
        <v>5313600</v>
      </c>
    </row>
    <row r="34" spans="1:16" ht="13.5" customHeight="1" x14ac:dyDescent="0.2">
      <c r="A34" s="10" t="s">
        <v>17</v>
      </c>
      <c r="B34" s="680">
        <f>'16 16a'!B32/'17 17a'!I34*1000000</f>
        <v>92.465120101917122</v>
      </c>
      <c r="C34" s="710">
        <f>'16 16a'!C32/'17 17a'!J34*1000000</f>
        <v>248.25483413405544</v>
      </c>
      <c r="D34" s="710">
        <f>'16 16a'!D32/'17 17a'!K34*1000000</f>
        <v>263.35504212301851</v>
      </c>
      <c r="E34" s="710">
        <f>'16 16a'!E32/'17 17a'!L34*1000000</f>
        <v>268.15228835151208</v>
      </c>
      <c r="F34" s="990">
        <f>('16 16a'!G32)/'17 17a'!M34*1000000</f>
        <v>243.25694014302607</v>
      </c>
      <c r="G34" s="1"/>
      <c r="H34" s="379" t="str">
        <f t="shared" si="2"/>
        <v>2013-14</v>
      </c>
      <c r="I34" s="1037">
        <f t="shared" ref="I34:L34" si="8">I11</f>
        <v>973340</v>
      </c>
      <c r="J34" s="940">
        <f t="shared" si="8"/>
        <v>914383</v>
      </c>
      <c r="K34" s="940">
        <f t="shared" si="8"/>
        <v>2175770</v>
      </c>
      <c r="L34" s="940">
        <f t="shared" si="8"/>
        <v>1264207</v>
      </c>
      <c r="M34" s="1502">
        <f t="shared" si="1"/>
        <v>5327700</v>
      </c>
    </row>
    <row r="35" spans="1:16" ht="13.5" customHeight="1" x14ac:dyDescent="0.2">
      <c r="A35" s="10" t="s">
        <v>147</v>
      </c>
      <c r="B35" s="680">
        <f>'16 16a'!B33/'17 17a'!I35*1000000</f>
        <v>90.639886700141631</v>
      </c>
      <c r="C35" s="710">
        <f>'16 16a'!C33/'17 17a'!J35*1000000</f>
        <v>203.06297572414877</v>
      </c>
      <c r="D35" s="710">
        <f>'16 16a'!D33/'17 17a'!K35*1000000</f>
        <v>198.4844426331718</v>
      </c>
      <c r="E35" s="710">
        <f>'16 16a'!E33/'17 17a'!L35*1000000</f>
        <v>244.49877750611245</v>
      </c>
      <c r="F35" s="990">
        <f>('16 16a'!G33)/'17 17a'!M35*1000000</f>
        <v>203.64275562869324</v>
      </c>
      <c r="G35" s="1"/>
      <c r="H35" s="379" t="str">
        <f t="shared" si="2"/>
        <v>2014-15</v>
      </c>
      <c r="I35" s="1037">
        <f t="shared" ref="I35:L35" si="9">I12</f>
        <v>970875</v>
      </c>
      <c r="J35" s="940">
        <f t="shared" si="9"/>
        <v>915972</v>
      </c>
      <c r="K35" s="940">
        <f t="shared" si="9"/>
        <v>2176493</v>
      </c>
      <c r="L35" s="940">
        <f t="shared" si="9"/>
        <v>1284260</v>
      </c>
      <c r="M35" s="1502">
        <f t="shared" si="1"/>
        <v>5347600</v>
      </c>
    </row>
    <row r="36" spans="1:16" ht="13.5" customHeight="1" x14ac:dyDescent="0.2">
      <c r="A36" s="10" t="s">
        <v>160</v>
      </c>
      <c r="B36" s="680">
        <f>'16 16a'!B34/'17 17a'!I36*1000000</f>
        <v>79.297894383443435</v>
      </c>
      <c r="C36" s="710">
        <f>'16 16a'!C34/'17 17a'!J36*1000000</f>
        <v>221.69358686096007</v>
      </c>
      <c r="D36" s="710">
        <f>'16 16a'!D34/'17 17a'!K36*1000000</f>
        <v>248.41953384211976</v>
      </c>
      <c r="E36" s="710">
        <f>'16 16a'!E34/'17 17a'!L36*1000000</f>
        <v>293.07782485484569</v>
      </c>
      <c r="F36" s="990">
        <f>('16 16a'!G34)/'17 17a'!M36*1000000</f>
        <v>235.62255723059744</v>
      </c>
      <c r="G36" s="1"/>
      <c r="H36" s="379" t="str">
        <f t="shared" si="2"/>
        <v>2015-16</v>
      </c>
      <c r="I36" s="1037">
        <f t="shared" ref="I36:L36" si="10">I13</f>
        <v>971022</v>
      </c>
      <c r="J36" s="940">
        <f t="shared" si="10"/>
        <v>920189</v>
      </c>
      <c r="K36" s="940">
        <f t="shared" si="10"/>
        <v>2181793</v>
      </c>
      <c r="L36" s="940">
        <f t="shared" si="10"/>
        <v>1299996</v>
      </c>
      <c r="M36" s="1502">
        <f t="shared" si="1"/>
        <v>5373000</v>
      </c>
    </row>
    <row r="37" spans="1:16" ht="13.5" customHeight="1" x14ac:dyDescent="0.2">
      <c r="A37" s="10" t="s">
        <v>379</v>
      </c>
      <c r="B37" s="680">
        <f>'16 16a'!B35/'17 17a'!I37*1000000</f>
        <v>80.182569542959357</v>
      </c>
      <c r="C37" s="710">
        <f>'16 16a'!C35/'17 17a'!J37*1000000</f>
        <v>217.42681316113706</v>
      </c>
      <c r="D37" s="710">
        <f>'16 16a'!D35/'17 17a'!K37*1000000</f>
        <v>262.45195048894254</v>
      </c>
      <c r="E37" s="710">
        <f>'16 16a'!E35/'17 17a'!L37*1000000</f>
        <v>252.95288411728532</v>
      </c>
      <c r="F37" s="990">
        <f>('16 16a'!G35)/'17 17a'!M37*1000000</f>
        <v>230.9101337724573</v>
      </c>
      <c r="G37" s="1" t="s">
        <v>145</v>
      </c>
      <c r="H37" s="379" t="str">
        <f t="shared" si="2"/>
        <v>2016-17</v>
      </c>
      <c r="I37" s="1037">
        <f t="shared" ref="I37:L37" si="11">I14</f>
        <v>972780</v>
      </c>
      <c r="J37" s="940">
        <f t="shared" si="11"/>
        <v>924449</v>
      </c>
      <c r="K37" s="940">
        <f t="shared" si="11"/>
        <v>2187067</v>
      </c>
      <c r="L37" s="940">
        <f t="shared" si="11"/>
        <v>1320404</v>
      </c>
      <c r="M37" s="1502">
        <f t="shared" si="1"/>
        <v>5404700</v>
      </c>
    </row>
    <row r="38" spans="1:16" ht="13.5" customHeight="1" x14ac:dyDescent="0.2">
      <c r="A38" s="1261" t="s">
        <v>603</v>
      </c>
      <c r="B38" s="681">
        <f>'16 16a'!B36/'17 17a'!I38*1000000</f>
        <v>89.410874828886094</v>
      </c>
      <c r="C38" s="711">
        <f>'16 16a'!C36/'17 17a'!J38*1000000</f>
        <v>197.82286158377852</v>
      </c>
      <c r="D38" s="711">
        <f>'16 16a'!D36/'17 17a'!K38*1000000</f>
        <v>216.87804285601445</v>
      </c>
      <c r="E38" s="711">
        <f>'16 16a'!E36/'17 17a'!L38*1000000</f>
        <v>201.25553639072794</v>
      </c>
      <c r="F38" s="991">
        <f>('16 16a'!G36)/'17 17a'!M38*1000000</f>
        <v>200.19171213685297</v>
      </c>
      <c r="G38" s="1" t="s">
        <v>143</v>
      </c>
      <c r="H38" s="1508" t="str">
        <f t="shared" si="2"/>
        <v>2017-18</v>
      </c>
      <c r="I38" s="1509">
        <f t="shared" ref="I38:L38" si="12">I15</f>
        <v>973036</v>
      </c>
      <c r="J38" s="1504">
        <f t="shared" si="12"/>
        <v>920015</v>
      </c>
      <c r="K38" s="1504">
        <f t="shared" si="12"/>
        <v>2190171</v>
      </c>
      <c r="L38" s="1510">
        <f t="shared" si="12"/>
        <v>1341578</v>
      </c>
      <c r="M38" s="1505">
        <f t="shared" si="1"/>
        <v>5424800</v>
      </c>
      <c r="N38" t="s">
        <v>143</v>
      </c>
    </row>
    <row r="39" spans="1:16" x14ac:dyDescent="0.2">
      <c r="A39" s="1"/>
      <c r="B39" s="1"/>
      <c r="C39" s="1"/>
      <c r="D39" s="1"/>
      <c r="E39" s="1"/>
      <c r="F39" s="1"/>
      <c r="G39" s="1"/>
      <c r="H39" s="1"/>
      <c r="I39" s="1"/>
      <c r="J39" s="1"/>
      <c r="K39" s="1"/>
      <c r="L39" s="1"/>
      <c r="M39" s="1"/>
    </row>
    <row r="40" spans="1:16" x14ac:dyDescent="0.2">
      <c r="A40" s="293" t="s">
        <v>162</v>
      </c>
      <c r="B40" s="256"/>
      <c r="C40" s="577"/>
      <c r="D40" s="256"/>
      <c r="E40" s="256"/>
      <c r="F40" s="256"/>
      <c r="G40" s="256"/>
      <c r="H40" s="1"/>
      <c r="I40" s="1"/>
      <c r="J40" s="1"/>
      <c r="K40" s="1"/>
      <c r="L40" s="1"/>
      <c r="M40" s="1"/>
    </row>
    <row r="41" spans="1:16" x14ac:dyDescent="0.2">
      <c r="A41" s="1673" t="s">
        <v>164</v>
      </c>
      <c r="B41" s="1673"/>
      <c r="C41" s="256"/>
      <c r="D41" s="256"/>
      <c r="E41" s="256"/>
      <c r="F41" s="256"/>
      <c r="G41" s="256"/>
      <c r="H41" s="1"/>
      <c r="I41" s="1"/>
      <c r="J41" s="1"/>
      <c r="K41" s="1"/>
      <c r="L41" s="1"/>
      <c r="M41" s="1"/>
    </row>
    <row r="42" spans="1:16" x14ac:dyDescent="0.2">
      <c r="A42" s="292" t="s">
        <v>168</v>
      </c>
      <c r="B42" s="256"/>
      <c r="C42" s="256"/>
      <c r="D42" s="256"/>
      <c r="E42" s="256"/>
      <c r="F42" s="256"/>
      <c r="G42" s="256"/>
      <c r="H42" s="1"/>
      <c r="I42" s="1"/>
      <c r="J42" s="1"/>
      <c r="K42" s="1"/>
      <c r="L42" s="1"/>
      <c r="M42" s="1"/>
    </row>
    <row r="43" spans="1:16" ht="24.75" customHeight="1" x14ac:dyDescent="0.2">
      <c r="A43" s="1672" t="s">
        <v>964</v>
      </c>
      <c r="B43" s="1672"/>
      <c r="C43" s="1672"/>
      <c r="D43" s="1672"/>
      <c r="E43" s="1672"/>
      <c r="F43" s="1672"/>
      <c r="G43" s="1672"/>
      <c r="H43" s="1672"/>
      <c r="I43" s="1672"/>
      <c r="J43" s="1672"/>
      <c r="K43" s="1672"/>
      <c r="L43" s="1672"/>
      <c r="M43" s="1672"/>
      <c r="N43" s="1672"/>
      <c r="O43" s="1538"/>
      <c r="P43" s="1538"/>
    </row>
    <row r="44" spans="1:16" x14ac:dyDescent="0.2">
      <c r="A44" s="1697" t="s">
        <v>1038</v>
      </c>
      <c r="B44" s="1697"/>
      <c r="C44" s="1697"/>
      <c r="D44" s="1697"/>
      <c r="E44" s="1697"/>
      <c r="F44" s="1697"/>
      <c r="G44" s="1697"/>
      <c r="H44" s="1697"/>
      <c r="I44" s="1697"/>
      <c r="J44" s="1697"/>
      <c r="K44" s="1697"/>
      <c r="L44" s="1697"/>
      <c r="M44" s="1697"/>
    </row>
    <row r="45" spans="1:16" ht="25.5" customHeight="1" x14ac:dyDescent="0.2">
      <c r="A45" s="1744" t="s">
        <v>1036</v>
      </c>
      <c r="B45" s="1744"/>
      <c r="C45" s="1744"/>
      <c r="D45" s="1744"/>
      <c r="E45" s="1744"/>
      <c r="F45" s="1744"/>
      <c r="G45" s="1744"/>
      <c r="H45" s="1744"/>
      <c r="I45" s="1744"/>
      <c r="J45" s="1744"/>
      <c r="K45" s="1744"/>
      <c r="L45" s="1744"/>
      <c r="M45" s="1744"/>
    </row>
    <row r="47" spans="1:16" x14ac:dyDescent="0.2">
      <c r="A47" s="386" t="s">
        <v>169</v>
      </c>
    </row>
  </sheetData>
  <sheetProtection algorithmName="SHA-512" hashValue="oskXkRg39ImAv18xvbXp3jz3beZyPS/LuovGEcvXM9CGUCO1svIz3SOXqS9vyK4V2opBX5n5cQqJu2aykRpjCw==" saltValue="oFWZ1LTAAhPrvpwxoT+ONA==" spinCount="100000" sheet="1" objects="1" scenarios="1"/>
  <mergeCells count="17">
    <mergeCell ref="A21:M21"/>
    <mergeCell ref="A43:N43"/>
    <mergeCell ref="A45:M45"/>
    <mergeCell ref="A44:M44"/>
    <mergeCell ref="A1:N1"/>
    <mergeCell ref="I3:M3"/>
    <mergeCell ref="H3:H4"/>
    <mergeCell ref="A3:A4"/>
    <mergeCell ref="A41:B41"/>
    <mergeCell ref="H26:H27"/>
    <mergeCell ref="B3:F3"/>
    <mergeCell ref="B26:F26"/>
    <mergeCell ref="I26:M26"/>
    <mergeCell ref="A24:N24"/>
    <mergeCell ref="A22:M22"/>
    <mergeCell ref="K19:S19"/>
    <mergeCell ref="A20:M20"/>
  </mergeCells>
  <hyperlinks>
    <hyperlink ref="A47" location="Contents!A1" display="Return to contents" xr:uid="{00000000-0004-0000-4E00-000000000000}"/>
  </hyperlinks>
  <pageMargins left="0.7" right="0.7" top="0.75" bottom="0.75" header="0.3" footer="0.3"/>
  <pageSetup paperSize="9" scale="59" orientation="portrait" r:id="rId1"/>
  <colBreaks count="1" manualBreakCount="1">
    <brk id="1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1">
    <tabColor rgb="FF960000"/>
    <pageSetUpPr fitToPage="1"/>
  </sheetPr>
  <dimension ref="A1:P33"/>
  <sheetViews>
    <sheetView showGridLines="0" zoomScaleNormal="100" workbookViewId="0"/>
  </sheetViews>
  <sheetFormatPr defaultRowHeight="12.75" x14ac:dyDescent="0.2"/>
  <cols>
    <col min="2" max="2" width="16.140625" bestFit="1" customWidth="1"/>
  </cols>
  <sheetData>
    <row r="1" spans="1:16" ht="33.75" customHeight="1" x14ac:dyDescent="0.35">
      <c r="A1" s="1259" t="str">
        <f>"Percentage of All Incidents By Type"</f>
        <v>Percentage of All Incidents By Type</v>
      </c>
      <c r="N1" s="1259"/>
    </row>
    <row r="3" spans="1:16" x14ac:dyDescent="0.2">
      <c r="A3" s="386"/>
      <c r="N3" s="386"/>
    </row>
    <row r="8" spans="1:16" x14ac:dyDescent="0.2">
      <c r="C8" t="s">
        <v>603</v>
      </c>
      <c r="D8" t="s">
        <v>15</v>
      </c>
    </row>
    <row r="9" spans="1:16" x14ac:dyDescent="0.2">
      <c r="B9" t="s">
        <v>21</v>
      </c>
      <c r="C9" s="768">
        <f>'Long-Term Trend'!F32</f>
        <v>10654</v>
      </c>
      <c r="D9" s="768">
        <f>'Long-Term Trend'!F27</f>
        <v>11093</v>
      </c>
      <c r="E9" s="768"/>
      <c r="P9" s="768"/>
    </row>
    <row r="10" spans="1:16" x14ac:dyDescent="0.2">
      <c r="B10" t="s">
        <v>2</v>
      </c>
      <c r="C10" s="768">
        <f>'Long-Term Trend'!G32</f>
        <v>14698</v>
      </c>
      <c r="D10" s="768">
        <f>'Long-Term Trend'!G27</f>
        <v>14278</v>
      </c>
      <c r="E10" s="768"/>
      <c r="P10" s="768"/>
    </row>
    <row r="11" spans="1:16" x14ac:dyDescent="0.2">
      <c r="B11" t="s">
        <v>3</v>
      </c>
      <c r="C11" s="768">
        <f>'Long-Term Trend'!H32</f>
        <v>763</v>
      </c>
      <c r="D11" s="768">
        <f>'Long-Term Trend'!H27</f>
        <v>1375</v>
      </c>
      <c r="E11" s="768"/>
      <c r="P11" s="768"/>
    </row>
    <row r="12" spans="1:16" x14ac:dyDescent="0.2">
      <c r="B12" t="s">
        <v>397</v>
      </c>
      <c r="C12" s="768">
        <f>'Long-Term Trend'!U32</f>
        <v>13128</v>
      </c>
      <c r="D12" s="768">
        <f>'Long-Term Trend'!U27</f>
        <v>9158</v>
      </c>
      <c r="E12" s="768"/>
      <c r="P12" s="768"/>
    </row>
    <row r="13" spans="1:16" x14ac:dyDescent="0.2">
      <c r="B13" t="s">
        <v>365</v>
      </c>
      <c r="C13" s="768">
        <f>'Long-Term Trend'!S32</f>
        <v>52452</v>
      </c>
      <c r="D13" s="768">
        <f>'Long-Term Trend'!S27</f>
        <v>47926</v>
      </c>
      <c r="E13" s="768"/>
      <c r="P13" s="768"/>
    </row>
    <row r="14" spans="1:16" x14ac:dyDescent="0.2">
      <c r="D14" s="768">
        <f>SUM(D9:D13)</f>
        <v>83830</v>
      </c>
    </row>
    <row r="33" spans="1:1" ht="21" x14ac:dyDescent="0.35">
      <c r="A33" s="1259"/>
    </row>
  </sheetData>
  <sheetProtection algorithmName="SHA-512" hashValue="0tYp8d0/71oQm5Mxaad37ODAgQ4mXfo+pA/K9HnnrylPCdzSJZovKgVwzvqM2HTGkEwu1joqfZoLMdzx1Cptmw==" saltValue="34ZuMBy36W3FpTRlFptPaA==" spinCount="100000" sheet="1" objects="1" scenarios="1"/>
  <pageMargins left="0.25" right="0.25" top="0.75" bottom="0.75" header="0.3" footer="0.3"/>
  <pageSetup paperSize="9" scale="84"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5"/>
  <dimension ref="A2:B76"/>
  <sheetViews>
    <sheetView workbookViewId="0">
      <selection activeCell="B11" sqref="B11"/>
    </sheetView>
  </sheetViews>
  <sheetFormatPr defaultRowHeight="12.75" x14ac:dyDescent="0.2"/>
  <cols>
    <col min="1" max="1" width="20.28515625" customWidth="1"/>
    <col min="2" max="2" width="15" customWidth="1"/>
  </cols>
  <sheetData>
    <row r="2" spans="1:2" x14ac:dyDescent="0.2">
      <c r="A2" s="1300" t="s">
        <v>4</v>
      </c>
      <c r="B2" t="s">
        <v>603</v>
      </c>
    </row>
    <row r="4" spans="1:2" x14ac:dyDescent="0.2">
      <c r="A4" s="1300" t="s">
        <v>658</v>
      </c>
      <c r="B4" t="s">
        <v>875</v>
      </c>
    </row>
    <row r="5" spans="1:2" x14ac:dyDescent="0.2">
      <c r="A5" s="1301" t="s">
        <v>23</v>
      </c>
      <c r="B5">
        <v>228800</v>
      </c>
    </row>
    <row r="6" spans="1:2" x14ac:dyDescent="0.2">
      <c r="A6" s="1301" t="s">
        <v>24</v>
      </c>
      <c r="B6">
        <v>261800</v>
      </c>
    </row>
    <row r="7" spans="1:2" x14ac:dyDescent="0.2">
      <c r="A7" s="1301" t="s">
        <v>25</v>
      </c>
      <c r="B7">
        <v>116280</v>
      </c>
    </row>
    <row r="8" spans="1:2" x14ac:dyDescent="0.2">
      <c r="A8" s="1301" t="s">
        <v>26</v>
      </c>
      <c r="B8">
        <v>86810</v>
      </c>
    </row>
    <row r="9" spans="1:2" x14ac:dyDescent="0.2">
      <c r="A9" s="1301" t="s">
        <v>27</v>
      </c>
      <c r="B9">
        <v>51450</v>
      </c>
    </row>
    <row r="10" spans="1:2" x14ac:dyDescent="0.2">
      <c r="A10" s="1301" t="s">
        <v>28</v>
      </c>
      <c r="B10">
        <v>149200</v>
      </c>
    </row>
    <row r="11" spans="1:2" x14ac:dyDescent="0.2">
      <c r="A11" s="1301" t="s">
        <v>29</v>
      </c>
      <c r="B11">
        <v>148710</v>
      </c>
    </row>
    <row r="12" spans="1:2" x14ac:dyDescent="0.2">
      <c r="A12" s="1301" t="s">
        <v>30</v>
      </c>
      <c r="B12">
        <v>121940</v>
      </c>
    </row>
    <row r="13" spans="1:2" x14ac:dyDescent="0.2">
      <c r="A13" s="1301" t="s">
        <v>31</v>
      </c>
      <c r="B13">
        <v>108130</v>
      </c>
    </row>
    <row r="14" spans="1:2" x14ac:dyDescent="0.2">
      <c r="A14" s="1301" t="s">
        <v>32</v>
      </c>
      <c r="B14">
        <v>104840</v>
      </c>
    </row>
    <row r="15" spans="1:2" x14ac:dyDescent="0.2">
      <c r="A15" s="1301" t="s">
        <v>33</v>
      </c>
      <c r="B15">
        <v>94760</v>
      </c>
    </row>
    <row r="16" spans="1:2" x14ac:dyDescent="0.2">
      <c r="A16" s="1301" t="s">
        <v>665</v>
      </c>
      <c r="B16">
        <v>513210</v>
      </c>
    </row>
    <row r="17" spans="1:2" x14ac:dyDescent="0.2">
      <c r="A17" s="1301" t="s">
        <v>34</v>
      </c>
      <c r="B17">
        <v>160130</v>
      </c>
    </row>
    <row r="18" spans="1:2" x14ac:dyDescent="0.2">
      <c r="A18" s="1301" t="s">
        <v>35</v>
      </c>
      <c r="B18">
        <v>371410</v>
      </c>
    </row>
    <row r="19" spans="1:2" x14ac:dyDescent="0.2">
      <c r="A19" s="1301" t="s">
        <v>36</v>
      </c>
      <c r="B19">
        <v>621020</v>
      </c>
    </row>
    <row r="20" spans="1:2" x14ac:dyDescent="0.2">
      <c r="A20" s="1301" t="s">
        <v>37</v>
      </c>
      <c r="B20">
        <v>235180</v>
      </c>
    </row>
    <row r="21" spans="1:2" x14ac:dyDescent="0.2">
      <c r="A21" s="1301" t="s">
        <v>38</v>
      </c>
      <c r="B21">
        <v>78760</v>
      </c>
    </row>
    <row r="22" spans="1:2" x14ac:dyDescent="0.2">
      <c r="A22" s="1301" t="s">
        <v>39</v>
      </c>
      <c r="B22">
        <v>90090</v>
      </c>
    </row>
    <row r="23" spans="1:2" x14ac:dyDescent="0.2">
      <c r="A23" s="1301" t="s">
        <v>40</v>
      </c>
      <c r="B23">
        <v>95780</v>
      </c>
    </row>
    <row r="24" spans="1:2" x14ac:dyDescent="0.2">
      <c r="A24" s="1301" t="s">
        <v>393</v>
      </c>
      <c r="B24">
        <v>26950</v>
      </c>
    </row>
    <row r="25" spans="1:2" x14ac:dyDescent="0.2">
      <c r="A25" s="1301" t="s">
        <v>41</v>
      </c>
      <c r="B25">
        <v>135790</v>
      </c>
    </row>
    <row r="26" spans="1:2" x14ac:dyDescent="0.2">
      <c r="A26" s="1301" t="s">
        <v>42</v>
      </c>
      <c r="B26">
        <v>339960</v>
      </c>
    </row>
    <row r="27" spans="1:2" x14ac:dyDescent="0.2">
      <c r="A27" s="1301" t="s">
        <v>43</v>
      </c>
      <c r="B27">
        <v>22000</v>
      </c>
    </row>
    <row r="28" spans="1:2" x14ac:dyDescent="0.2">
      <c r="A28" s="1301" t="s">
        <v>44</v>
      </c>
      <c r="B28">
        <v>151100</v>
      </c>
    </row>
    <row r="29" spans="1:2" x14ac:dyDescent="0.2">
      <c r="A29" s="1301" t="s">
        <v>45</v>
      </c>
      <c r="B29">
        <v>176830</v>
      </c>
    </row>
    <row r="30" spans="1:2" x14ac:dyDescent="0.2">
      <c r="A30" s="1301" t="s">
        <v>46</v>
      </c>
      <c r="B30">
        <v>115020</v>
      </c>
    </row>
    <row r="31" spans="1:2" x14ac:dyDescent="0.2">
      <c r="A31" s="1301" t="s">
        <v>47</v>
      </c>
      <c r="B31">
        <v>23080</v>
      </c>
    </row>
    <row r="32" spans="1:2" x14ac:dyDescent="0.2">
      <c r="A32" s="1301" t="s">
        <v>48</v>
      </c>
      <c r="B32">
        <v>112680</v>
      </c>
    </row>
    <row r="33" spans="1:2" x14ac:dyDescent="0.2">
      <c r="A33" s="1301" t="s">
        <v>49</v>
      </c>
      <c r="B33">
        <v>318170</v>
      </c>
    </row>
    <row r="34" spans="1:2" x14ac:dyDescent="0.2">
      <c r="A34" s="1301" t="s">
        <v>50</v>
      </c>
      <c r="B34">
        <v>94000</v>
      </c>
    </row>
    <row r="35" spans="1:2" x14ac:dyDescent="0.2">
      <c r="A35" s="1301" t="s">
        <v>51</v>
      </c>
      <c r="B35">
        <v>89610</v>
      </c>
    </row>
    <row r="36" spans="1:2" x14ac:dyDescent="0.2">
      <c r="A36" s="1301" t="s">
        <v>52</v>
      </c>
      <c r="B36">
        <v>181310</v>
      </c>
    </row>
    <row r="37" spans="1:2" x14ac:dyDescent="0.2">
      <c r="A37" s="1301" t="s">
        <v>666</v>
      </c>
      <c r="B37">
        <v>169525</v>
      </c>
    </row>
    <row r="42" spans="1:2" x14ac:dyDescent="0.2">
      <c r="A42" s="1300" t="s">
        <v>4</v>
      </c>
      <c r="B42" t="s">
        <v>603</v>
      </c>
    </row>
    <row r="44" spans="1:2" x14ac:dyDescent="0.2">
      <c r="A44" s="1300" t="s">
        <v>658</v>
      </c>
      <c r="B44" t="s">
        <v>930</v>
      </c>
    </row>
    <row r="45" spans="1:2" x14ac:dyDescent="0.2">
      <c r="A45" s="1301" t="s">
        <v>23</v>
      </c>
      <c r="B45">
        <v>116821</v>
      </c>
    </row>
    <row r="46" spans="1:2" x14ac:dyDescent="0.2">
      <c r="A46" s="1301" t="s">
        <v>24</v>
      </c>
      <c r="B46">
        <v>117363</v>
      </c>
    </row>
    <row r="47" spans="1:2" x14ac:dyDescent="0.2">
      <c r="A47" s="1301" t="s">
        <v>25</v>
      </c>
      <c r="B47">
        <v>56135</v>
      </c>
    </row>
    <row r="48" spans="1:2" x14ac:dyDescent="0.2">
      <c r="A48" s="1301" t="s">
        <v>26</v>
      </c>
      <c r="B48">
        <v>47884</v>
      </c>
    </row>
    <row r="49" spans="1:2" x14ac:dyDescent="0.2">
      <c r="A49" s="1301" t="s">
        <v>27</v>
      </c>
      <c r="B49">
        <v>24377</v>
      </c>
    </row>
    <row r="50" spans="1:2" x14ac:dyDescent="0.2">
      <c r="A50" s="1301" t="s">
        <v>28</v>
      </c>
      <c r="B50">
        <v>74687</v>
      </c>
    </row>
    <row r="51" spans="1:2" x14ac:dyDescent="0.2">
      <c r="A51" s="1301" t="s">
        <v>29</v>
      </c>
      <c r="B51">
        <v>74354</v>
      </c>
    </row>
    <row r="52" spans="1:2" x14ac:dyDescent="0.2">
      <c r="A52" s="1301" t="s">
        <v>30</v>
      </c>
      <c r="B52">
        <v>58158</v>
      </c>
    </row>
    <row r="53" spans="1:2" x14ac:dyDescent="0.2">
      <c r="A53" s="1301" t="s">
        <v>31</v>
      </c>
      <c r="B53">
        <v>46430</v>
      </c>
    </row>
    <row r="54" spans="1:2" x14ac:dyDescent="0.2">
      <c r="A54" s="1301" t="s">
        <v>32</v>
      </c>
      <c r="B54">
        <v>47407</v>
      </c>
    </row>
    <row r="55" spans="1:2" x14ac:dyDescent="0.2">
      <c r="A55" s="1301" t="s">
        <v>33</v>
      </c>
      <c r="B55">
        <v>38677</v>
      </c>
    </row>
    <row r="56" spans="1:2" x14ac:dyDescent="0.2">
      <c r="A56" s="1301" t="s">
        <v>665</v>
      </c>
      <c r="B56">
        <v>246818</v>
      </c>
    </row>
    <row r="57" spans="1:2" x14ac:dyDescent="0.2">
      <c r="A57" s="1301" t="s">
        <v>34</v>
      </c>
      <c r="B57">
        <v>74361</v>
      </c>
    </row>
    <row r="58" spans="1:2" x14ac:dyDescent="0.2">
      <c r="A58" s="1301" t="s">
        <v>35</v>
      </c>
      <c r="B58">
        <v>175915</v>
      </c>
    </row>
    <row r="59" spans="1:2" x14ac:dyDescent="0.2">
      <c r="A59" s="1301" t="s">
        <v>36</v>
      </c>
      <c r="B59">
        <v>308293</v>
      </c>
    </row>
    <row r="60" spans="1:2" x14ac:dyDescent="0.2">
      <c r="A60" s="1301" t="s">
        <v>37</v>
      </c>
      <c r="B60">
        <v>117291</v>
      </c>
    </row>
    <row r="61" spans="1:2" x14ac:dyDescent="0.2">
      <c r="A61" s="1301" t="s">
        <v>38</v>
      </c>
      <c r="B61">
        <v>38848</v>
      </c>
    </row>
    <row r="62" spans="1:2" x14ac:dyDescent="0.2">
      <c r="A62" s="1301" t="s">
        <v>39</v>
      </c>
      <c r="B62">
        <v>39937</v>
      </c>
    </row>
    <row r="63" spans="1:2" x14ac:dyDescent="0.2">
      <c r="A63" s="1301" t="s">
        <v>40</v>
      </c>
      <c r="B63">
        <v>44838</v>
      </c>
    </row>
    <row r="64" spans="1:2" x14ac:dyDescent="0.2">
      <c r="A64" s="1301" t="s">
        <v>393</v>
      </c>
      <c r="B64">
        <v>14714</v>
      </c>
    </row>
    <row r="65" spans="1:2" x14ac:dyDescent="0.2">
      <c r="A65" s="1301" t="s">
        <v>41</v>
      </c>
      <c r="B65">
        <v>67960</v>
      </c>
    </row>
    <row r="66" spans="1:2" x14ac:dyDescent="0.2">
      <c r="A66" s="1301" t="s">
        <v>42</v>
      </c>
      <c r="B66">
        <v>154286</v>
      </c>
    </row>
    <row r="67" spans="1:2" x14ac:dyDescent="0.2">
      <c r="A67" s="1301" t="s">
        <v>43</v>
      </c>
      <c r="B67">
        <v>11192</v>
      </c>
    </row>
    <row r="68" spans="1:2" x14ac:dyDescent="0.2">
      <c r="A68" s="1301" t="s">
        <v>44</v>
      </c>
      <c r="B68">
        <v>71810</v>
      </c>
    </row>
    <row r="69" spans="1:2" x14ac:dyDescent="0.2">
      <c r="A69" s="1301" t="s">
        <v>45</v>
      </c>
      <c r="B69">
        <v>86449</v>
      </c>
    </row>
    <row r="70" spans="1:2" x14ac:dyDescent="0.2">
      <c r="A70" s="1301" t="s">
        <v>46</v>
      </c>
      <c r="B70">
        <v>58167</v>
      </c>
    </row>
    <row r="71" spans="1:2" x14ac:dyDescent="0.2">
      <c r="A71" s="1301" t="s">
        <v>47</v>
      </c>
      <c r="B71">
        <v>11180</v>
      </c>
    </row>
    <row r="72" spans="1:2" x14ac:dyDescent="0.2">
      <c r="A72" s="1301" t="s">
        <v>48</v>
      </c>
      <c r="B72">
        <v>55252</v>
      </c>
    </row>
    <row r="73" spans="1:2" x14ac:dyDescent="0.2">
      <c r="A73" s="1301" t="s">
        <v>49</v>
      </c>
      <c r="B73">
        <v>149972</v>
      </c>
    </row>
    <row r="74" spans="1:2" x14ac:dyDescent="0.2">
      <c r="A74" s="1301" t="s">
        <v>50</v>
      </c>
      <c r="B74">
        <v>41250</v>
      </c>
    </row>
    <row r="75" spans="1:2" x14ac:dyDescent="0.2">
      <c r="A75" s="1301" t="s">
        <v>51</v>
      </c>
      <c r="B75">
        <v>45093</v>
      </c>
    </row>
    <row r="76" spans="1:2" x14ac:dyDescent="0.2">
      <c r="A76" s="1301" t="s">
        <v>52</v>
      </c>
      <c r="B76">
        <v>79112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6">
    <tabColor theme="4"/>
    <pageSetUpPr fitToPage="1"/>
  </sheetPr>
  <dimension ref="A1:P62"/>
  <sheetViews>
    <sheetView showGridLines="0" zoomScaleNormal="100" workbookViewId="0">
      <selection sqref="A1:H1"/>
    </sheetView>
  </sheetViews>
  <sheetFormatPr defaultRowHeight="12.75" x14ac:dyDescent="0.2"/>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12" ht="38.25" customHeight="1" x14ac:dyDescent="0.25">
      <c r="A1" s="1671" t="s">
        <v>892</v>
      </c>
      <c r="B1" s="1671"/>
      <c r="C1" s="1671"/>
      <c r="D1" s="1671"/>
      <c r="E1" s="1671"/>
      <c r="F1" s="1671"/>
      <c r="G1" s="1671"/>
      <c r="H1" s="1671"/>
      <c r="I1" s="551"/>
      <c r="J1" s="551"/>
      <c r="K1" s="551"/>
      <c r="L1" s="551"/>
    </row>
    <row r="2" spans="1:12" ht="36" customHeight="1" x14ac:dyDescent="0.2">
      <c r="A2" s="1"/>
      <c r="B2" s="1"/>
      <c r="C2" s="1"/>
      <c r="D2" s="1"/>
      <c r="E2" s="1"/>
      <c r="F2" s="145" t="s">
        <v>58</v>
      </c>
      <c r="G2" s="1"/>
    </row>
    <row r="3" spans="1:12" ht="12.75" customHeight="1" x14ac:dyDescent="0.2">
      <c r="A3" s="1629" t="s">
        <v>198</v>
      </c>
      <c r="B3" s="1741" t="s">
        <v>884</v>
      </c>
      <c r="C3" s="1742"/>
      <c r="D3" s="1742"/>
      <c r="E3" s="1742"/>
      <c r="F3" s="1743"/>
      <c r="G3" s="1"/>
    </row>
    <row r="4" spans="1:12" x14ac:dyDescent="0.2">
      <c r="A4" s="1630"/>
      <c r="B4" s="1239" t="s">
        <v>200</v>
      </c>
      <c r="C4" s="1240" t="s">
        <v>201</v>
      </c>
      <c r="D4" s="1240" t="s">
        <v>202</v>
      </c>
      <c r="E4" s="1241" t="s">
        <v>203</v>
      </c>
      <c r="F4" s="517" t="s">
        <v>11</v>
      </c>
      <c r="G4" s="1"/>
    </row>
    <row r="5" spans="1:12" ht="18.75" customHeight="1" x14ac:dyDescent="0.2">
      <c r="A5" s="1113" t="s">
        <v>184</v>
      </c>
      <c r="B5" s="996">
        <f>GETPIVOTDATA("Sum of 0-16",T_17!$A$25,"Pub_fataldescription","Burns")/'17b 17c 17d'!B$15*1000000</f>
        <v>0</v>
      </c>
      <c r="C5" s="997">
        <f>GETPIVOTDATA("Sum of 17-29",T_17!$A$25,"Pub_fataldescription","Burns")/'17b 17c 17d'!C$15*1000000</f>
        <v>1.0869387999108711</v>
      </c>
      <c r="D5" s="997">
        <f>GETPIVOTDATA("Sum of 30-59",T_17!$A$25,"Pub_fataldescription","Burns")/'17b 17c 17d'!D$15*1000000</f>
        <v>1.8263414135243321</v>
      </c>
      <c r="E5" s="998">
        <f>GETPIVOTDATA("Sum of 60+",T_17!$A$25,"Pub_fataldescription","Burns")/'17b 17c 17d'!E$15*1000000</f>
        <v>7.4539087552121455</v>
      </c>
      <c r="F5" s="992">
        <f>(GETPIVOTDATA("Sum of Total_Fatal",T_17!$A$25,"Pub_fataldescription","Burns"))/'17b 17c 17d'!F$15*1000000</f>
        <v>2.7650788969178586</v>
      </c>
      <c r="G5" s="1"/>
    </row>
    <row r="6" spans="1:12" ht="13.5" customHeight="1" x14ac:dyDescent="0.2">
      <c r="A6" s="639" t="s">
        <v>1019</v>
      </c>
      <c r="B6" s="684">
        <f>GETPIVOTDATA("Sum of 0-16",T_17!$A$25,"Pub_fataldescription","Combination of burns and overcome by gas/smoke")/'17b 17c 17d'!B$15*1000000</f>
        <v>0</v>
      </c>
      <c r="C6" s="114">
        <f>GETPIVOTDATA("Sum of 17-29",T_17!$A$25,"Pub_fataldescription","Combination of burns and overcome by gas/smoke")/'17b 17c 17d'!C$15*1000000</f>
        <v>0</v>
      </c>
      <c r="D6" s="114">
        <f>GETPIVOTDATA("Sum of 30-59",T_17!$A$25,"Pub_fataldescription","Combination of burns and overcome by gas/smoke")/'17b 17c 17d'!D$15*1000000</f>
        <v>0</v>
      </c>
      <c r="E6" s="712">
        <f>GETPIVOTDATA("Sum of 60+",T_17!$A$25,"Pub_fataldescription","Combination of burns and overcome by gas/smoke")/'17b 17c 17d'!E$15*1000000</f>
        <v>1.490781751042429</v>
      </c>
      <c r="F6" s="992">
        <f>(GETPIVOTDATA("Sum of Total_Fatal",T_17!$A$25,"Pub_fataldescription","Combination of burns and overcome by gas/smoke"))/'17b 17c 17d'!F$15*1000000</f>
        <v>0.3686771862557145</v>
      </c>
      <c r="G6" s="1"/>
    </row>
    <row r="7" spans="1:12" ht="13.5" customHeight="1" x14ac:dyDescent="0.2">
      <c r="A7" s="9" t="s">
        <v>1020</v>
      </c>
      <c r="B7" s="684">
        <f>GETPIVOTDATA("Sum of 0-16",T_17!$A$25,"Pub_fataldescription","Overcome by gas, smoke or toxic fumes")/'17b 17c 17d'!B$15*1000000</f>
        <v>0</v>
      </c>
      <c r="C7" s="114">
        <f>GETPIVOTDATA("Sum of 17-29",T_17!$A$25,"Pub_fataldescription","Overcome by gas, smoke or toxic fumes")/'17b 17c 17d'!C$15*1000000</f>
        <v>2.1738775998217421</v>
      </c>
      <c r="D7" s="114">
        <f>GETPIVOTDATA("Sum of 30-59",T_17!$A$25,"Pub_fataldescription","Overcome by gas, smoke or toxic fumes")/'17b 17c 17d'!D$15*1000000</f>
        <v>2.739512120286498</v>
      </c>
      <c r="E7" s="712">
        <f>GETPIVOTDATA("Sum of 60+",T_17!$A$25,"Pub_fataldescription","Overcome by gas, smoke or toxic fumes")/'17b 17c 17d'!E$15*1000000</f>
        <v>5.9631270041697162</v>
      </c>
      <c r="F7" s="992">
        <f>(GETPIVOTDATA("Sum of Total_Fatal",T_17!$A$25,"Pub_fataldescription","Overcome by gas, smoke or toxic fumes"))/'17b 17c 17d'!F$15*1000000</f>
        <v>2.949417490045716</v>
      </c>
      <c r="G7" s="1"/>
    </row>
    <row r="8" spans="1:12" ht="13.5" customHeight="1" x14ac:dyDescent="0.2">
      <c r="A8" s="1176" t="s">
        <v>1021</v>
      </c>
      <c r="B8" s="684">
        <f>IFERROR(GETPIVOTDATA("Sum of 0-16",T_17!$A$25,"Pub_fataldescription","Physical injuries")/'17b 17c 17d'!B$15*1000000,0)</f>
        <v>0</v>
      </c>
      <c r="C8" s="114">
        <f>IFERROR(GETPIVOTDATA("Sum of 17-29",T_17!$A$25,"Pub_fataldescription","Physical injuries")/'17b 17c 17d'!C$15*1000000,0)</f>
        <v>0</v>
      </c>
      <c r="D8" s="114">
        <f>IFERROR(GETPIVOTDATA("Sum of 30-59",T_17!$A$25,"Pub_fataldescription","Physical injuries")/'17b 17c 17d'!D$15*1000000,0)</f>
        <v>0.45658535338108303</v>
      </c>
      <c r="E8" s="712">
        <f>IFERROR(GETPIVOTDATA("Sum of 60+",T_17!$A$25,"Pub_fataldescription","Physical injuries")/'17b 17c 17d'!E$15*1000000,0)</f>
        <v>0</v>
      </c>
      <c r="F8" s="992">
        <f>IFERROR((GETPIVOTDATA("Sum of Total_Fatal",T_17!$A$25,"Pub_fataldescription","Physical injuries"))/'17b 17c 17d'!F$15*1000000,0)</f>
        <v>0.18433859312785725</v>
      </c>
      <c r="G8" s="1"/>
    </row>
    <row r="9" spans="1:12" ht="13.5" customHeight="1" x14ac:dyDescent="0.2">
      <c r="A9" s="1485" t="s">
        <v>1022</v>
      </c>
      <c r="B9" s="684">
        <f>IFERROR(GETPIVOTDATA("Sum of 0-16",T_17!$A$25,"Pub_fataldescription","Other specified")/'17b 17c 17d'!B$15*1000000,0)</f>
        <v>0</v>
      </c>
      <c r="C9" s="114">
        <f>IFERROR(GETPIVOTDATA("Sum of 17-29",T_17!$A$25,"Pub_fataldescription","Other specified")/'17b 17c 17d'!C$15*1000000,0)</f>
        <v>0</v>
      </c>
      <c r="D9" s="114">
        <f>IFERROR(GETPIVOTDATA("Sum of 30-59",T_17!$A$25,"Pub_fataldescription","Other specified")/'17b 17c 17d'!D$15*1000000,0)</f>
        <v>0</v>
      </c>
      <c r="E9" s="712">
        <f>IFERROR(GETPIVOTDATA("Sum of 60+",T_17!$A$25,"Pub_fataldescription","Other specified")/'17b 17c 17d'!E$15*1000000,0)</f>
        <v>0</v>
      </c>
      <c r="F9" s="992">
        <f>IFERROR((GETPIVOTDATA("Sum of Total_Fatal",T_17!$A$25,"Pub_fataldescription","Other specified"))/'17b 17c 17d'!F$15*1000000,0)</f>
        <v>0</v>
      </c>
      <c r="G9" s="1"/>
    </row>
    <row r="10" spans="1:12" ht="13.5" customHeight="1" x14ac:dyDescent="0.2">
      <c r="A10" s="1486" t="s">
        <v>1023</v>
      </c>
      <c r="B10" s="684">
        <f>GETPIVOTDATA("Sum of 0-16",T_17!$A$25,"Pub_fataldescription","Unspecified")/'17b 17c 17d'!B$15*1000000</f>
        <v>0</v>
      </c>
      <c r="C10" s="114">
        <f>GETPIVOTDATA("Sum of 17-29",T_17!$A$25,"Pub_fataldescription","Unspecified")/'17b 17c 17d'!C$15*1000000</f>
        <v>0</v>
      </c>
      <c r="D10" s="114">
        <f>GETPIVOTDATA("Sum of 30-59",T_17!$A$25,"Pub_fataldescription","Unspecified")/'17b 17c 17d'!D$15*1000000</f>
        <v>3.1960974736675811</v>
      </c>
      <c r="E10" s="712">
        <f>GETPIVOTDATA("Sum of 60+",T_17!$A$25,"Pub_fataldescription","Unspecified")/'17b 17c 17d'!E$15*1000000</f>
        <v>2.2361726265636435</v>
      </c>
      <c r="F10" s="992">
        <f>(GETPIVOTDATA("Sum of Total_Fatal",T_17!$A$25,"Pub_fataldescription","Unspecified"))/'17b 17c 17d'!F$15*1000000</f>
        <v>1.8433859312785725</v>
      </c>
      <c r="G10" s="1"/>
    </row>
    <row r="11" spans="1:12" x14ac:dyDescent="0.2">
      <c r="A11" s="499"/>
      <c r="B11" s="999"/>
      <c r="C11" s="1000"/>
      <c r="D11" s="1000"/>
      <c r="E11" s="1001"/>
      <c r="F11" s="992"/>
      <c r="G11" s="1"/>
    </row>
    <row r="12" spans="1:12" ht="30" customHeight="1" x14ac:dyDescent="0.2">
      <c r="A12" s="503" t="s">
        <v>11</v>
      </c>
      <c r="B12" s="993">
        <f t="shared" ref="B12:D12" si="0">SUM(B5:B10)</f>
        <v>0</v>
      </c>
      <c r="C12" s="994">
        <f>SUM(C5:C10)</f>
        <v>3.2608163997326134</v>
      </c>
      <c r="D12" s="994">
        <f t="shared" si="0"/>
        <v>8.2185363608594937</v>
      </c>
      <c r="E12" s="995">
        <f>SUM(E5:E10)</f>
        <v>17.143990136987934</v>
      </c>
      <c r="F12" s="418">
        <f>SUM(F5:F10)</f>
        <v>8.1108980976257197</v>
      </c>
      <c r="G12" s="1"/>
    </row>
    <row r="13" spans="1:12" ht="13.5" customHeight="1" x14ac:dyDescent="0.2">
      <c r="A13" s="701"/>
      <c r="B13" s="702"/>
      <c r="C13" s="702"/>
      <c r="D13" s="702"/>
      <c r="E13" s="702"/>
      <c r="F13" s="713"/>
      <c r="G13" s="1"/>
    </row>
    <row r="14" spans="1:12" ht="13.5" customHeight="1" x14ac:dyDescent="0.2">
      <c r="A14" s="1"/>
      <c r="B14" s="1242" t="s">
        <v>200</v>
      </c>
      <c r="C14" s="1243" t="s">
        <v>201</v>
      </c>
      <c r="D14" s="1243" t="s">
        <v>202</v>
      </c>
      <c r="E14" s="1244" t="s">
        <v>203</v>
      </c>
      <c r="F14" s="715" t="s">
        <v>11</v>
      </c>
      <c r="G14" s="1"/>
    </row>
    <row r="15" spans="1:12" ht="22.5" customHeight="1" x14ac:dyDescent="0.2">
      <c r="A15" s="4" t="s">
        <v>339</v>
      </c>
      <c r="B15" s="128">
        <f>GETPIVOTDATA("Sum of 0-16",T_17!$A$25,"Pub_fataldescription","Population")</f>
        <v>973036</v>
      </c>
      <c r="C15" s="168">
        <f>GETPIVOTDATA("Sum of 17-29",T_17!$A$25,"Pub_fataldescription","Population")</f>
        <v>920015</v>
      </c>
      <c r="D15" s="168">
        <f>GETPIVOTDATA("Sum of 30-59",T_17!$A$25,"Pub_fataldescription","Population")</f>
        <v>2190171</v>
      </c>
      <c r="E15" s="235">
        <f>GETPIVOTDATA("Sum of 60+",T_17!$A$25,"Pub_fataldescription","Population")</f>
        <v>1341578</v>
      </c>
      <c r="F15" s="219">
        <f>SUM(B15:E15)</f>
        <v>5424800</v>
      </c>
      <c r="G15" s="1"/>
    </row>
    <row r="16" spans="1:12" ht="13.5" customHeight="1" x14ac:dyDescent="0.2">
      <c r="A16" s="701"/>
      <c r="B16" s="702"/>
      <c r="C16" s="702"/>
      <c r="D16" s="702"/>
      <c r="E16" s="702"/>
      <c r="F16" s="713"/>
      <c r="G16" s="1"/>
    </row>
    <row r="17" spans="1:13" ht="12.75" customHeight="1" x14ac:dyDescent="0.2">
      <c r="A17" s="472" t="s">
        <v>162</v>
      </c>
      <c r="L17" s="256"/>
      <c r="M17" s="256"/>
    </row>
    <row r="18" spans="1:13" x14ac:dyDescent="0.2">
      <c r="A18" s="122" t="s">
        <v>963</v>
      </c>
      <c r="L18" s="256"/>
      <c r="M18" s="256"/>
    </row>
    <row r="19" spans="1:13" ht="25.5" customHeight="1" x14ac:dyDescent="0.2">
      <c r="A19" s="1745" t="s">
        <v>802</v>
      </c>
      <c r="B19" s="1745"/>
      <c r="C19" s="1745"/>
      <c r="D19" s="1745"/>
      <c r="E19" s="1745"/>
      <c r="F19" s="1745"/>
      <c r="G19" s="1745"/>
      <c r="H19" s="1745"/>
      <c r="I19" s="638"/>
      <c r="J19" s="638"/>
      <c r="K19" s="638"/>
      <c r="L19" s="638"/>
      <c r="M19" s="638"/>
    </row>
    <row r="20" spans="1:13" ht="25.5" customHeight="1" x14ac:dyDescent="0.2">
      <c r="A20" s="1746" t="s">
        <v>1025</v>
      </c>
      <c r="B20" s="1746"/>
      <c r="C20" s="1746"/>
      <c r="D20" s="1746"/>
      <c r="E20" s="1746"/>
      <c r="F20" s="1746"/>
      <c r="G20" s="1746"/>
      <c r="H20" s="1746"/>
      <c r="I20" s="1567"/>
      <c r="J20" s="1567"/>
      <c r="K20" s="1567"/>
      <c r="L20" s="1567"/>
      <c r="M20" s="1567"/>
    </row>
    <row r="22" spans="1:13" ht="38.25" customHeight="1" x14ac:dyDescent="0.2">
      <c r="A22" s="1713" t="s">
        <v>890</v>
      </c>
      <c r="B22" s="1713"/>
      <c r="C22" s="1713"/>
      <c r="D22" s="1713"/>
      <c r="E22" s="1713"/>
      <c r="F22" s="1713"/>
      <c r="G22" s="1713"/>
      <c r="H22" s="201"/>
    </row>
    <row r="23" spans="1:13" ht="23.25" customHeight="1" x14ac:dyDescent="0.2">
      <c r="A23" s="549"/>
      <c r="B23" s="69"/>
      <c r="C23" s="69"/>
      <c r="D23" s="69"/>
      <c r="E23" s="69"/>
      <c r="F23" s="145" t="s">
        <v>58</v>
      </c>
      <c r="G23" s="558"/>
    </row>
    <row r="24" spans="1:13" ht="12.75" customHeight="1" x14ac:dyDescent="0.2">
      <c r="A24" s="1629" t="s">
        <v>199</v>
      </c>
      <c r="B24" s="1741" t="s">
        <v>891</v>
      </c>
      <c r="C24" s="1742"/>
      <c r="D24" s="1742"/>
      <c r="E24" s="1742"/>
      <c r="F24" s="1743"/>
      <c r="G24" s="1"/>
    </row>
    <row r="25" spans="1:13" x14ac:dyDescent="0.2">
      <c r="A25" s="1630"/>
      <c r="B25" s="1239" t="s">
        <v>200</v>
      </c>
      <c r="C25" s="1240" t="s">
        <v>201</v>
      </c>
      <c r="D25" s="1240" t="s">
        <v>202</v>
      </c>
      <c r="E25" s="1241" t="s">
        <v>203</v>
      </c>
      <c r="F25" s="517" t="s">
        <v>11</v>
      </c>
      <c r="G25" s="1"/>
    </row>
    <row r="26" spans="1:13" ht="18.75" customHeight="1" x14ac:dyDescent="0.2">
      <c r="A26" s="1113" t="s">
        <v>184</v>
      </c>
      <c r="B26" s="1002">
        <f>GETPIVOTDATA("Sum of 0-16",T_17!$A$80,"who","Non FRS personnel","Pub_injury_withchecks","1Burns")/'17b 17c 17d'!B37*1000000</f>
        <v>5.1385560246486257</v>
      </c>
      <c r="C26" s="1003">
        <f>GETPIVOTDATA("Sum of 17-29",T_17!$A$80,"who","Non FRS personnel","Pub_injury_withchecks","1Burns")/'17b 17c 17d'!C37*1000000</f>
        <v>31.521225197415259</v>
      </c>
      <c r="D26" s="1003">
        <f>GETPIVOTDATA("Sum of 30-59",T_17!$A$80,"who","Non FRS personnel","Pub_injury_withchecks","1Burns")/'17b 17c 17d'!D37*1000000</f>
        <v>27.851706556246064</v>
      </c>
      <c r="E26" s="1004">
        <f>GETPIVOTDATA("Sum of 60+",T_17!$A$80,"who","Non FRS personnel","Pub_injury_withchecks","1Burns")/'17b 17c 17d'!E37*1000000</f>
        <v>10.435472257297004</v>
      </c>
      <c r="F26" s="714">
        <f>GETPIVOTDATA("Sum of Total_Nonfatal",T_17!$A$80,"who","Non FRS personnel","Pub_injury_withchecks","1Burns")/'17b 17c 17d'!F37*1000000</f>
        <v>21.014599616575726</v>
      </c>
      <c r="G26" s="1"/>
    </row>
    <row r="27" spans="1:13" ht="13.5" customHeight="1" x14ac:dyDescent="0.2">
      <c r="A27" s="639" t="s">
        <v>1019</v>
      </c>
      <c r="B27" s="257">
        <f>GETPIVOTDATA("Sum of 0-16",T_17!$A$80,"who","Non FRS personnel","Pub_injury_withchecks","2Combination of burns and overcome by gas/smoke")/'17b 17c 17d'!B37*1000000</f>
        <v>1.027711204929725</v>
      </c>
      <c r="C27" s="258">
        <f>GETPIVOTDATA("Sum of 17-29",T_17!$A$80,"who","Non FRS personnel","Pub_injury_withchecks","2Combination of burns and overcome by gas/smoke")/'17b 17c 17d'!C37*1000000</f>
        <v>1.0869387999108711</v>
      </c>
      <c r="D27" s="258">
        <f>GETPIVOTDATA("Sum of 30-59",T_17!$A$80,"who","Non FRS personnel","Pub_injury_withchecks","2Combination of burns and overcome by gas/smoke")/'17b 17c 17d'!D37*1000000</f>
        <v>3.6526828270486642</v>
      </c>
      <c r="E27" s="259">
        <f>GETPIVOTDATA("Sum of 60+",T_17!$A$80,"who","Non FRS personnel","Pub_injury_withchecks","2Combination of burns and overcome by gas/smoke")/'17b 17c 17d'!E37*1000000</f>
        <v>4.4723452531272869</v>
      </c>
      <c r="F27" s="714">
        <f>GETPIVOTDATA("Sum of Total_Nonfatal",T_17!$A$80,"who","Non FRS personnel","Pub_injury_withchecks","2Combination of burns and overcome by gas/smoke")/'17b 17c 17d'!F37*1000000</f>
        <v>2.949417490045716</v>
      </c>
      <c r="G27" s="1"/>
    </row>
    <row r="28" spans="1:13" ht="13.5" customHeight="1" x14ac:dyDescent="0.2">
      <c r="A28" s="9" t="s">
        <v>1020</v>
      </c>
      <c r="B28" s="257">
        <f>GETPIVOTDATA("Sum of 0-16",T_17!$A$80,"who","Non FRS personnel","Pub_injury_withchecks","3Overcome by gas, smoke or toxic fumes")/'17b 17c 17d'!B37*1000000</f>
        <v>62.690383500713224</v>
      </c>
      <c r="C28" s="258">
        <f>GETPIVOTDATA("Sum of 17-29",T_17!$A$80,"who","Non FRS personnel","Pub_injury_withchecks","3Overcome by gas, smoke or toxic fumes")/'17b 17c 17d'!C37*1000000</f>
        <v>110.86775759090884</v>
      </c>
      <c r="D28" s="258">
        <f>GETPIVOTDATA("Sum of 30-59",T_17!$A$80,"who","Non FRS personnel","Pub_injury_withchecks","3Overcome by gas, smoke or toxic fumes")/'17b 17c 17d'!D37*1000000</f>
        <v>126.93072823994109</v>
      </c>
      <c r="E28" s="259">
        <f>GETPIVOTDATA("Sum of 60+",T_17!$A$80,"who","Non FRS personnel","Pub_injury_withchecks","3Overcome by gas, smoke or toxic fumes")/'17b 17c 17d'!E37*1000000</f>
        <v>122.24410358547919</v>
      </c>
      <c r="F28" s="714">
        <f>GETPIVOTDATA("Sum of Total_Nonfatal",T_17!$A$80,"who","Non FRS personnel","Pub_injury_withchecks","3Overcome by gas, smoke or toxic fumes")/'17b 17c 17d'!F37*1000000</f>
        <v>121.47913287125792</v>
      </c>
      <c r="G28" s="1"/>
    </row>
    <row r="29" spans="1:13" ht="13.5" customHeight="1" x14ac:dyDescent="0.2">
      <c r="A29" s="1176" t="s">
        <v>1021</v>
      </c>
      <c r="B29" s="257">
        <f>GETPIVOTDATA("Sum of 0-16",T_17!$A$80,"who","Non FRS personnel","Pub_injury_withchecks","4Physical injuries")/'17b 17c 17d'!B37*1000000</f>
        <v>2.05542240985945</v>
      </c>
      <c r="C29" s="258">
        <f>GETPIVOTDATA("Sum of 17-29",T_17!$A$80,"who","Non FRS personnel","Pub_injury_withchecks","4Physical injuries")/'17b 17c 17d'!C37*1000000</f>
        <v>10.86938799910871</v>
      </c>
      <c r="D29" s="258">
        <f>GETPIVOTDATA("Sum of 30-59",T_17!$A$80,"who","Non FRS personnel","Pub_injury_withchecks","4Physical injuries")/'17b 17c 17d'!D37*1000000</f>
        <v>7.3053656540973284</v>
      </c>
      <c r="E29" s="259">
        <f>GETPIVOTDATA("Sum of 60+",T_17!$A$80,"who","Non FRS personnel","Pub_injury_withchecks","4Physical injuries")/'17b 17c 17d'!E37*1000000</f>
        <v>5.217736128648502</v>
      </c>
      <c r="F29" s="714">
        <f>GETPIVOTDATA("Sum of Total_Nonfatal",T_17!$A$80,"who","Non FRS personnel","Pub_injury_withchecks","4Physical injuries")/'17b 17c 17d'!F37*1000000</f>
        <v>6.4518507594750041</v>
      </c>
      <c r="G29" s="1"/>
    </row>
    <row r="30" spans="1:13" ht="13.5" customHeight="1" x14ac:dyDescent="0.2">
      <c r="A30" s="764" t="s">
        <v>1024</v>
      </c>
      <c r="B30" s="257">
        <f>GETPIVOTDATA("Sum of 0-16",T_17!$A$80,"who","Non FRS personnel","Pub_injury_withchecks","5Shock")/'17b 17c 17d'!B37*1000000</f>
        <v>0</v>
      </c>
      <c r="C30" s="258">
        <f>GETPIVOTDATA("Sum of 17-29",T_17!$A$80,"who","Non FRS personnel","Pub_injury_withchecks","5Shock")/'17b 17c 17d'!C37*1000000</f>
        <v>4.3477551996434842</v>
      </c>
      <c r="D30" s="258">
        <f>GETPIVOTDATA("Sum of 30-59",T_17!$A$80,"who","Non FRS personnel","Pub_injury_withchecks","5Shock")/'17b 17c 17d'!D37*1000000</f>
        <v>3.1960974736675811</v>
      </c>
      <c r="E30" s="259">
        <f>GETPIVOTDATA("Sum of 60+",T_17!$A$80,"who","Non FRS personnel","Pub_injury_withchecks","5Shock")/'17b 17c 17d'!E37*1000000</f>
        <v>2.9815635020848581</v>
      </c>
      <c r="F30" s="714">
        <f>GETPIVOTDATA("Sum of Total_Nonfatal",T_17!$A$80,"who","Non FRS personnel","Pub_injury_withchecks","5Shock")/'17b 17c 17d'!F37*1000000</f>
        <v>3.1337560831735733</v>
      </c>
      <c r="G30" s="1"/>
    </row>
    <row r="31" spans="1:13" ht="13.5" customHeight="1" x14ac:dyDescent="0.2">
      <c r="A31" s="764" t="s">
        <v>1022</v>
      </c>
      <c r="B31" s="257">
        <f>GETPIVOTDATA("Sum of 0-16",T_17!$A$80,"who","Non FRS personnel","Pub_injury_withchecks","6Other specified")/'17b 17c 17d'!B37*1000000</f>
        <v>4.1108448197189</v>
      </c>
      <c r="C31" s="258">
        <f>GETPIVOTDATA("Sum of 17-29",T_17!$A$80,"who","Non FRS personnel","Pub_injury_withchecks","6Other specified")/'17b 17c 17d'!C37*1000000</f>
        <v>20.651837198306549</v>
      </c>
      <c r="D31" s="258">
        <f>GETPIVOTDATA("Sum of 30-59",T_17!$A$80,"who","Non FRS personnel","Pub_injury_withchecks","6Other specified")/'17b 17c 17d'!D37*1000000</f>
        <v>28.764877263008231</v>
      </c>
      <c r="E31" s="259">
        <f>GETPIVOTDATA("Sum of 60+",T_17!$A$80,"who","Non FRS personnel","Pub_injury_withchecks","6Other specified")/'17b 17c 17d'!E37*1000000</f>
        <v>35.033371149497086</v>
      </c>
      <c r="F31" s="714">
        <f>GETPIVOTDATA("Sum of Total_Nonfatal",T_17!$A$80,"who","Non FRS personnel","Pub_injury_withchecks","6Other specified")/'17b 17c 17d'!F37*1000000</f>
        <v>25.991741631027875</v>
      </c>
      <c r="G31" s="1"/>
    </row>
    <row r="32" spans="1:13" ht="13.5" customHeight="1" x14ac:dyDescent="0.2">
      <c r="A32" s="1486" t="s">
        <v>1023</v>
      </c>
      <c r="B32" s="257">
        <f>GETPIVOTDATA("Sum of 0-16",T_17!$A$80,"who","Non FRS personnel","Pub_injury_withchecks","8Other/Not known")/'17b 17c 17d'!B37*1000000</f>
        <v>14.387956869016152</v>
      </c>
      <c r="C32" s="258">
        <f>GETPIVOTDATA("Sum of 17-29",T_17!$A$80,"who","Non FRS personnel","Pub_injury_withchecks","8Other/Not known")/'17b 17c 17d'!C37*1000000</f>
        <v>18.477959598484805</v>
      </c>
      <c r="D32" s="258">
        <f>GETPIVOTDATA("Sum of 30-59",T_17!$A$80,"who","Non FRS personnel","Pub_injury_withchecks","8Other/Not known")/'17b 17c 17d'!D37*1000000</f>
        <v>19.176584842005486</v>
      </c>
      <c r="E32" s="259">
        <f>GETPIVOTDATA("Sum of 60+",T_17!$A$80,"who","Non FRS personnel","Pub_injury_withchecks","8Other/Not known")/'17b 17c 17d'!E37*1000000</f>
        <v>20.870944514594008</v>
      </c>
      <c r="F32" s="714">
        <f>GETPIVOTDATA("Sum of Total_Nonfatal",T_17!$A$80,"who","Non FRS personnel","Pub_injury_withchecks","8Other/Not known")/'17b 17c 17d'!F37*1000000</f>
        <v>19.171213685297154</v>
      </c>
      <c r="G32" s="1"/>
    </row>
    <row r="33" spans="1:16" x14ac:dyDescent="0.2">
      <c r="A33" s="499"/>
      <c r="B33" s="257"/>
      <c r="C33" s="258"/>
      <c r="D33" s="258"/>
      <c r="E33" s="259"/>
      <c r="F33" s="714"/>
      <c r="G33" s="1"/>
    </row>
    <row r="34" spans="1:16" ht="30" customHeight="1" x14ac:dyDescent="0.2">
      <c r="A34" s="204" t="s">
        <v>11</v>
      </c>
      <c r="B34" s="262">
        <f>SUM(B26:B32)</f>
        <v>89.41087482888608</v>
      </c>
      <c r="C34" s="263">
        <f t="shared" ref="C34:E34" si="1">SUM(C26:C32)</f>
        <v>197.82286158377849</v>
      </c>
      <c r="D34" s="263">
        <f t="shared" si="1"/>
        <v>216.87804285601445</v>
      </c>
      <c r="E34" s="264">
        <f t="shared" si="1"/>
        <v>201.25553639072794</v>
      </c>
      <c r="F34" s="1585">
        <f>SUM(F26:F32)</f>
        <v>200.19171213685297</v>
      </c>
      <c r="G34" s="2"/>
    </row>
    <row r="35" spans="1:16" x14ac:dyDescent="0.2">
      <c r="A35" s="1"/>
      <c r="B35" s="1"/>
      <c r="C35" s="1"/>
      <c r="D35" s="1"/>
      <c r="E35" s="1"/>
      <c r="F35" s="1"/>
      <c r="G35" s="1"/>
    </row>
    <row r="36" spans="1:16" x14ac:dyDescent="0.2">
      <c r="A36" s="1"/>
      <c r="B36" s="1242" t="s">
        <v>200</v>
      </c>
      <c r="C36" s="1243" t="s">
        <v>201</v>
      </c>
      <c r="D36" s="1243" t="s">
        <v>202</v>
      </c>
      <c r="E36" s="1244" t="s">
        <v>203</v>
      </c>
      <c r="F36" s="715" t="s">
        <v>11</v>
      </c>
      <c r="G36" s="1"/>
    </row>
    <row r="37" spans="1:16" ht="22.5" customHeight="1" x14ac:dyDescent="0.2">
      <c r="A37" s="4" t="s">
        <v>339</v>
      </c>
      <c r="B37" s="128">
        <f>GETPIVOTDATA("Sum of 0-16",T_17!$A$80,"who","Non FRS personnel","Pub_injury_withchecks","Population")</f>
        <v>973036</v>
      </c>
      <c r="C37" s="168">
        <f>GETPIVOTDATA("Sum of 17-29",T_17!$A$80,"who","Non FRS personnel","Pub_injury_withchecks","Population")</f>
        <v>920015</v>
      </c>
      <c r="D37" s="168">
        <f>GETPIVOTDATA("Sum of 30-59",T_17!$A$80,"who","Non FRS personnel","Pub_injury_withchecks","Population")</f>
        <v>2190171</v>
      </c>
      <c r="E37" s="235">
        <f>GETPIVOTDATA("Sum of 60+",T_17!$A$80,"who","Non FRS personnel","Pub_injury_withchecks","Population")</f>
        <v>1341578</v>
      </c>
      <c r="F37" s="219">
        <f>SUM(B37:E37)</f>
        <v>5424800</v>
      </c>
      <c r="G37" s="1"/>
    </row>
    <row r="38" spans="1:16" x14ac:dyDescent="0.2">
      <c r="A38" s="1"/>
      <c r="B38" s="1"/>
      <c r="C38" s="1"/>
      <c r="D38" s="1"/>
      <c r="E38" s="1"/>
      <c r="F38" s="1"/>
      <c r="G38" s="1"/>
    </row>
    <row r="39" spans="1:16" x14ac:dyDescent="0.2">
      <c r="A39" s="13" t="s">
        <v>162</v>
      </c>
      <c r="B39" s="1"/>
      <c r="C39" s="1"/>
      <c r="D39" s="1"/>
      <c r="E39" s="1"/>
      <c r="F39" s="1"/>
      <c r="G39" s="1"/>
      <c r="H39" s="1"/>
    </row>
    <row r="40" spans="1:16" x14ac:dyDescent="0.2">
      <c r="A40" s="122" t="s">
        <v>963</v>
      </c>
      <c r="B40" s="122"/>
      <c r="C40" s="122"/>
      <c r="D40" s="122"/>
      <c r="E40" s="122"/>
      <c r="F40" s="122"/>
      <c r="G40" s="122"/>
      <c r="H40" s="122"/>
    </row>
    <row r="41" spans="1:16" ht="25.5" customHeight="1" x14ac:dyDescent="0.2">
      <c r="A41" s="1747" t="s">
        <v>802</v>
      </c>
      <c r="B41" s="1747"/>
      <c r="C41" s="1747"/>
      <c r="D41" s="1747"/>
      <c r="E41" s="1747"/>
      <c r="F41" s="1747"/>
      <c r="G41" s="1747"/>
      <c r="H41" s="1747"/>
      <c r="I41" s="67"/>
      <c r="J41" s="67"/>
      <c r="K41" s="67"/>
      <c r="L41" s="67"/>
      <c r="M41" s="67"/>
      <c r="N41" s="67"/>
      <c r="O41" s="67"/>
      <c r="P41" s="67"/>
    </row>
    <row r="42" spans="1:16" ht="25.5" customHeight="1" x14ac:dyDescent="0.2">
      <c r="A42" s="1672" t="s">
        <v>964</v>
      </c>
      <c r="B42" s="1672"/>
      <c r="C42" s="1672"/>
      <c r="D42" s="1672"/>
      <c r="E42" s="1672"/>
      <c r="F42" s="1672"/>
      <c r="G42" s="1672"/>
      <c r="H42" s="1672"/>
      <c r="I42" s="1538"/>
      <c r="J42" s="1538"/>
      <c r="K42" s="1538"/>
      <c r="L42" s="1538"/>
      <c r="M42" s="1538"/>
      <c r="N42" s="1538"/>
      <c r="O42" s="1538"/>
      <c r="P42" s="1538"/>
    </row>
    <row r="43" spans="1:16" ht="38.25" customHeight="1" x14ac:dyDescent="0.2">
      <c r="A43" s="1654" t="s">
        <v>1071</v>
      </c>
      <c r="B43" s="1654"/>
      <c r="C43" s="1654"/>
      <c r="D43" s="1654"/>
      <c r="E43" s="1654"/>
      <c r="F43" s="1654"/>
      <c r="G43" s="1654"/>
      <c r="H43" s="1654"/>
      <c r="I43" s="1537"/>
      <c r="J43" s="1537"/>
      <c r="K43" s="1537"/>
      <c r="L43" s="1537"/>
      <c r="M43" s="1537"/>
      <c r="N43" s="1537"/>
      <c r="O43" s="1537"/>
      <c r="P43" s="1537"/>
    </row>
    <row r="45" spans="1:16" ht="38.25" customHeight="1" x14ac:dyDescent="0.2">
      <c r="A45" s="1713" t="s">
        <v>893</v>
      </c>
      <c r="B45" s="1713"/>
      <c r="C45" s="1713"/>
      <c r="D45" s="1713"/>
      <c r="E45" s="1713"/>
      <c r="F45" s="1713"/>
      <c r="G45" s="201"/>
      <c r="H45" s="201"/>
    </row>
    <row r="46" spans="1:16" ht="29.25" customHeight="1" x14ac:dyDescent="0.2">
      <c r="A46" s="1"/>
      <c r="B46" s="1"/>
      <c r="C46" s="1"/>
      <c r="D46" s="1"/>
      <c r="E46" s="1"/>
      <c r="F46" s="145" t="s">
        <v>58</v>
      </c>
      <c r="G46" s="1"/>
    </row>
    <row r="47" spans="1:16" ht="12.75" customHeight="1" x14ac:dyDescent="0.2">
      <c r="A47" s="1629" t="s">
        <v>187</v>
      </c>
      <c r="B47" s="1741" t="s">
        <v>340</v>
      </c>
      <c r="C47" s="1742"/>
      <c r="D47" s="1742"/>
      <c r="E47" s="1742"/>
      <c r="F47" s="1743"/>
      <c r="G47" s="1"/>
    </row>
    <row r="48" spans="1:16" ht="12.75" customHeight="1" x14ac:dyDescent="0.2">
      <c r="A48" s="1630"/>
      <c r="B48" s="1239" t="s">
        <v>200</v>
      </c>
      <c r="C48" s="1240" t="s">
        <v>201</v>
      </c>
      <c r="D48" s="1240" t="s">
        <v>202</v>
      </c>
      <c r="E48" s="1241" t="s">
        <v>203</v>
      </c>
      <c r="F48" s="517" t="s">
        <v>11</v>
      </c>
      <c r="G48" s="1"/>
    </row>
    <row r="49" spans="1:11" ht="18.75" customHeight="1" x14ac:dyDescent="0.2">
      <c r="A49" s="501" t="s">
        <v>1026</v>
      </c>
      <c r="B49" s="1002">
        <f>GETPIVOTDATA("Sum of Non FRS personnel0-16",T_17!$A$120,"Treatment","1Precautionary check recommended")/'17b 17c 17d'!B57*1000000</f>
        <v>31.859047352821481</v>
      </c>
      <c r="C49" s="1003">
        <f>GETPIVOTDATA("Sum of Non FRS personnel17-29",T_17!$A$120,"Treatment","1Precautionary check recommended")/'17b 17c 17d'!C57*1000000</f>
        <v>35.868980397058749</v>
      </c>
      <c r="D49" s="1003">
        <f>GETPIVOTDATA("Sum of Non FRS personnel30-59",T_17!$A$120,"Treatment","1Precautionary check recommended")/'17b 17c 17d'!D57*1000000</f>
        <v>38.809755037392058</v>
      </c>
      <c r="E49" s="1004">
        <f>GETPIVOTDATA("Sum of Non FRS personnel60+",T_17!$A$120,"Treatment","1Precautionary check recommended")/'17b 17c 17d'!E57*1000000</f>
        <v>47.70501603335773</v>
      </c>
      <c r="F49" s="714">
        <f>T_17!G121/'17b 17c 17d'!F57*1000000</f>
        <v>41.476183453767881</v>
      </c>
      <c r="G49" s="1"/>
    </row>
    <row r="50" spans="1:11" ht="13.5" customHeight="1" x14ac:dyDescent="0.2">
      <c r="A50" s="501" t="s">
        <v>1027</v>
      </c>
      <c r="B50" s="257">
        <f>GETPIVOTDATA("Sum of Non FRS personnel0-16",T_17!$A$120,"Treatment","2First aid given at scene")/'17b 17c 17d'!B57*1000000</f>
        <v>17.471090483805327</v>
      </c>
      <c r="C50" s="258">
        <f>GETPIVOTDATA("Sum of Non FRS personnel17-29",T_17!$A$120,"Treatment","2First aid given at scene")/'17b 17c 17d'!C57*1000000</f>
        <v>74.998777193850103</v>
      </c>
      <c r="D50" s="258">
        <f>GETPIVOTDATA("Sum of Non FRS personnel30-59",T_17!$A$120,"Treatment","2First aid given at scene")/'17b 17c 17d'!D57*1000000</f>
        <v>93.599997443122021</v>
      </c>
      <c r="E50" s="259">
        <f>GETPIVOTDATA("Sum of Non FRS personnel60+",T_17!$A$120,"Treatment","2First aid given at scene")/'17b 17c 17d'!E57*1000000</f>
        <v>89.446905062545753</v>
      </c>
      <c r="F50" s="714">
        <f>T_17!G122/'17b 17c 17d'!F57*1000000</f>
        <v>83.874059873175057</v>
      </c>
      <c r="G50" s="1"/>
    </row>
    <row r="51" spans="1:11" ht="13.5" customHeight="1" x14ac:dyDescent="0.2">
      <c r="A51" s="499" t="s">
        <v>1028</v>
      </c>
      <c r="B51" s="257">
        <f>GETPIVOTDATA("Sum of Non FRS personnel0-16",T_17!$A$120,"Treatment","3Victim went to hospital, injuries appear to be Slight")/'17b 17c 17d'!B57*1000000</f>
        <v>38.02531458239983</v>
      </c>
      <c r="C51" s="258">
        <f>GETPIVOTDATA("Sum of Non FRS personnel17-29",T_17!$A$120,"Treatment","3Victim went to hospital, injuries appear to be Slight")/'17b 17c 17d'!C57*1000000</f>
        <v>72.824899594028352</v>
      </c>
      <c r="D51" s="258">
        <f>GETPIVOTDATA("Sum of Non FRS personnel30-59",T_17!$A$120,"Treatment","3Victim went to hospital, injuries appear to be Slight")/'17b 17c 17d'!D57*1000000</f>
        <v>70.314144420686787</v>
      </c>
      <c r="E51" s="259">
        <f>GETPIVOTDATA("Sum of Non FRS personnel60+",T_17!$A$120,"Treatment","3Victim went to hospital, injuries appear to be Slight")/'17b 17c 17d'!E57*1000000</f>
        <v>54.41353391304866</v>
      </c>
      <c r="F51" s="714">
        <f>T_17!G123/'17b 17c 17d'!F57*1000000</f>
        <v>63.412476035982898</v>
      </c>
      <c r="G51" s="1"/>
    </row>
    <row r="52" spans="1:11" ht="13.5" customHeight="1" x14ac:dyDescent="0.2">
      <c r="A52" s="499" t="s">
        <v>1029</v>
      </c>
      <c r="B52" s="257">
        <f>GETPIVOTDATA("Sum of Non FRS personnel0-16",T_17!$A$120,"Treatment","4Victim went to hospital, injuries appear to be Serious")/'17b 17c 17d'!B57*1000000</f>
        <v>2.05542240985945</v>
      </c>
      <c r="C52" s="258">
        <f>GETPIVOTDATA("Sum of Non FRS personnel17-29",T_17!$A$120,"Treatment","4Victim went to hospital, injuries appear to be Serious")/'17b 17c 17d'!C57*1000000</f>
        <v>14.130204398841324</v>
      </c>
      <c r="D52" s="258">
        <f>GETPIVOTDATA("Sum of Non FRS personnel30-59",T_17!$A$120,"Treatment","4Victim went to hospital, injuries appear to be Serious")/'17b 17c 17d'!D57*1000000</f>
        <v>14.154145954813574</v>
      </c>
      <c r="E52" s="259">
        <f>GETPIVOTDATA("Sum of Non FRS personnel60+",T_17!$A$120,"Treatment","4Victim went to hospital, injuries appear to be Serious")/'17b 17c 17d'!E57*1000000</f>
        <v>9.6900813817757889</v>
      </c>
      <c r="F52" s="714">
        <f>T_17!G124/'17b 17c 17d'!F57*1000000</f>
        <v>11.428992773927149</v>
      </c>
      <c r="G52" s="1"/>
    </row>
    <row r="53" spans="1:11" ht="13.5" customHeight="1" x14ac:dyDescent="0.2">
      <c r="A53" s="499"/>
      <c r="B53" s="257"/>
      <c r="C53" s="258"/>
      <c r="D53" s="258"/>
      <c r="E53" s="259"/>
      <c r="F53" s="291"/>
      <c r="G53" s="1"/>
    </row>
    <row r="54" spans="1:11" ht="30" customHeight="1" x14ac:dyDescent="0.2">
      <c r="A54" s="203" t="s">
        <v>11</v>
      </c>
      <c r="B54" s="262">
        <f>SUM(B49:B52)</f>
        <v>89.41087482888608</v>
      </c>
      <c r="C54" s="263">
        <f t="shared" ref="C54:E54" si="2">SUM(C49:C52)</f>
        <v>197.82286158377855</v>
      </c>
      <c r="D54" s="263">
        <f t="shared" si="2"/>
        <v>216.87804285601445</v>
      </c>
      <c r="E54" s="264">
        <f t="shared" si="2"/>
        <v>201.25553639072794</v>
      </c>
      <c r="F54" s="264">
        <f>SUM(F49:F52)</f>
        <v>200.191712136853</v>
      </c>
      <c r="G54" s="2"/>
    </row>
    <row r="55" spans="1:11" x14ac:dyDescent="0.2">
      <c r="A55" s="1"/>
      <c r="B55" s="7"/>
      <c r="C55" s="7"/>
      <c r="D55" s="7"/>
      <c r="E55" s="7"/>
      <c r="F55" s="34"/>
      <c r="G55" s="1"/>
    </row>
    <row r="56" spans="1:11" x14ac:dyDescent="0.2">
      <c r="A56" s="1"/>
      <c r="B56" s="1242" t="s">
        <v>200</v>
      </c>
      <c r="C56" s="1243" t="s">
        <v>201</v>
      </c>
      <c r="D56" s="1243" t="s">
        <v>202</v>
      </c>
      <c r="E56" s="1244" t="s">
        <v>203</v>
      </c>
      <c r="F56" s="715" t="s">
        <v>11</v>
      </c>
      <c r="G56" s="1"/>
    </row>
    <row r="57" spans="1:11" ht="22.5" customHeight="1" x14ac:dyDescent="0.2">
      <c r="A57" s="4" t="s">
        <v>339</v>
      </c>
      <c r="B57" s="128">
        <f>GETPIVOTDATA("Sum of Non FRS personnel0-16",T_17!$A$120,"Treatment","Population")</f>
        <v>973036</v>
      </c>
      <c r="C57" s="168">
        <f>GETPIVOTDATA("Sum of Non FRS personnel17-29",T_17!$A$120,"Treatment","Population")</f>
        <v>920015</v>
      </c>
      <c r="D57" s="168">
        <f>GETPIVOTDATA("Sum of Non FRS personnel30-59",T_17!$A$120,"Treatment","Population")</f>
        <v>2190171</v>
      </c>
      <c r="E57" s="235">
        <f>GETPIVOTDATA("Sum of Non FRS personnel60+",T_17!$A$120,"Treatment","Population")</f>
        <v>1341578</v>
      </c>
      <c r="F57" s="219">
        <f>SUM(B57:E57)</f>
        <v>5424800</v>
      </c>
      <c r="G57" s="1"/>
    </row>
    <row r="58" spans="1:11" x14ac:dyDescent="0.2">
      <c r="A58" s="1"/>
      <c r="B58" s="1"/>
      <c r="C58" s="1"/>
      <c r="D58" s="1"/>
      <c r="E58" s="1"/>
      <c r="F58" s="1"/>
      <c r="G58" s="1"/>
    </row>
    <row r="59" spans="1:11" x14ac:dyDescent="0.2">
      <c r="A59" s="549" t="s">
        <v>162</v>
      </c>
      <c r="B59" s="256"/>
      <c r="C59" s="256"/>
      <c r="D59" s="256"/>
      <c r="E59" s="256"/>
      <c r="F59" s="256"/>
      <c r="G59" s="256"/>
      <c r="H59" s="256"/>
      <c r="I59" s="256"/>
      <c r="J59" s="1"/>
    </row>
    <row r="60" spans="1:11" x14ac:dyDescent="0.2">
      <c r="A60" s="1649" t="s">
        <v>963</v>
      </c>
      <c r="B60" s="1649"/>
      <c r="C60" s="1649"/>
      <c r="D60" s="1649"/>
      <c r="E60" s="1649"/>
      <c r="F60" s="1649"/>
      <c r="G60" s="1649"/>
      <c r="H60" s="1649"/>
      <c r="I60" s="1649"/>
      <c r="J60" s="1649"/>
      <c r="K60" s="1649"/>
    </row>
    <row r="62" spans="1:11" x14ac:dyDescent="0.2">
      <c r="A62" s="386" t="s">
        <v>169</v>
      </c>
    </row>
  </sheetData>
  <sheetProtection algorithmName="SHA-512" hashValue="6g/DOkqutUvXgCWoZAz1HMUF//GhUlcOmKcRKIcWqI/lEonpwdTbw6ojR7jf4LcK73OCm7LgA+Cb63vKktCYLg==" saltValue="4QwotLuIW18y9FAxweWX3g==" spinCount="100000" sheet="1" objects="1" scenarios="1"/>
  <mergeCells count="15">
    <mergeCell ref="A41:H41"/>
    <mergeCell ref="A42:H42"/>
    <mergeCell ref="A60:K60"/>
    <mergeCell ref="A22:G22"/>
    <mergeCell ref="A45:F45"/>
    <mergeCell ref="B47:F47"/>
    <mergeCell ref="A47:A48"/>
    <mergeCell ref="A43:H43"/>
    <mergeCell ref="A1:H1"/>
    <mergeCell ref="B3:F3"/>
    <mergeCell ref="B24:F24"/>
    <mergeCell ref="A3:A4"/>
    <mergeCell ref="A24:A25"/>
    <mergeCell ref="A19:H19"/>
    <mergeCell ref="A20:H20"/>
  </mergeCells>
  <hyperlinks>
    <hyperlink ref="A62" location="Contents!A1" display="Return to contents" xr:uid="{00000000-0004-0000-5000-000000000000}"/>
  </hyperlinks>
  <pageMargins left="0.7" right="0.7" top="0.75" bottom="0.75" header="0.3" footer="0.3"/>
  <pageSetup paperSize="9" scale="70" fitToWidth="0" orientation="portrait" r:id="rId1"/>
  <colBreaks count="1" manualBreakCount="1">
    <brk id="8" max="1048575" man="1"/>
  </colBreaks>
  <drawing r:id="rId2"/>
  <extLst>
    <ext xmlns:x14="http://schemas.microsoft.com/office/spreadsheetml/2009/9/main" uri="{A8765BA9-456A-4dab-B4F3-ACF838C121DE}">
      <x14:slicerList>
        <x14:slicer r:id="rId3"/>
      </x14:slicerList>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6"/>
  <dimension ref="A4:M125"/>
  <sheetViews>
    <sheetView topLeftCell="A91" workbookViewId="0">
      <selection activeCell="D120" sqref="D120"/>
    </sheetView>
  </sheetViews>
  <sheetFormatPr defaultRowHeight="12.75" x14ac:dyDescent="0.2"/>
  <cols>
    <col min="1" max="1" width="46.85546875" customWidth="1"/>
    <col min="2" max="2" width="29.7109375" customWidth="1"/>
    <col min="3" max="4" width="30.7109375" customWidth="1"/>
    <col min="5" max="5" width="29.140625" customWidth="1"/>
    <col min="6" max="6" width="34.7109375" customWidth="1"/>
    <col min="7" max="7" width="21.5703125" customWidth="1"/>
    <col min="8" max="8" width="18.7109375" bestFit="1" customWidth="1"/>
    <col min="9" max="10" width="12.5703125" customWidth="1"/>
    <col min="11" max="11" width="11.140625" customWidth="1"/>
    <col min="12" max="12" width="16.5703125" bestFit="1" customWidth="1"/>
    <col min="13" max="13" width="21.5703125" bestFit="1" customWidth="1"/>
    <col min="14" max="14" width="15.140625" bestFit="1" customWidth="1"/>
    <col min="15" max="16" width="16.140625" bestFit="1" customWidth="1"/>
    <col min="17" max="17" width="14.7109375" bestFit="1" customWidth="1"/>
    <col min="18" max="18" width="16.5703125" bestFit="1" customWidth="1"/>
    <col min="19" max="19" width="21.5703125" bestFit="1" customWidth="1"/>
    <col min="20" max="20" width="20.42578125" bestFit="1" customWidth="1"/>
    <col min="21" max="22" width="21.5703125" bestFit="1" customWidth="1"/>
    <col min="23" max="23" width="20" bestFit="1" customWidth="1"/>
    <col min="24" max="24" width="22" bestFit="1" customWidth="1"/>
    <col min="25" max="25" width="26.85546875" bestFit="1" customWidth="1"/>
    <col min="26" max="31" width="12.5703125" bestFit="1" customWidth="1"/>
    <col min="32" max="33" width="18" bestFit="1" customWidth="1"/>
    <col min="34" max="34" width="8.140625" bestFit="1" customWidth="1"/>
    <col min="35" max="35" width="5" bestFit="1" customWidth="1"/>
    <col min="36" max="36" width="8.140625" bestFit="1" customWidth="1"/>
    <col min="37" max="37" width="9" bestFit="1" customWidth="1"/>
    <col min="38" max="38" width="12.140625" bestFit="1" customWidth="1"/>
    <col min="39" max="39" width="9" bestFit="1" customWidth="1"/>
    <col min="40" max="40" width="12.140625" bestFit="1" customWidth="1"/>
    <col min="41" max="41" width="9" bestFit="1" customWidth="1"/>
    <col min="42" max="42" width="12.140625" bestFit="1" customWidth="1"/>
    <col min="43" max="43" width="11.7109375" bestFit="1" customWidth="1"/>
  </cols>
  <sheetData>
    <row r="4" spans="1:10" x14ac:dyDescent="0.2">
      <c r="A4" t="str">
        <f>'T16'!A30</f>
        <v>Year</v>
      </c>
      <c r="B4" t="str">
        <f>'T16'!B30</f>
        <v>Who</v>
      </c>
      <c r="C4" t="str">
        <f>'T16'!C30</f>
        <v>Pub_fatalCode</v>
      </c>
      <c r="D4" t="str">
        <f>'T16'!D30</f>
        <v>Pub_fataldescription</v>
      </c>
      <c r="E4" t="str">
        <f>'T16'!E30</f>
        <v>Total_Fatal</v>
      </c>
      <c r="F4" s="1330" t="s">
        <v>200</v>
      </c>
      <c r="G4" t="str">
        <f>'T16'!F30</f>
        <v>17-29</v>
      </c>
      <c r="H4" t="str">
        <f>'T16'!G30</f>
        <v>30-59</v>
      </c>
      <c r="I4" t="str">
        <f>'T16'!H30</f>
        <v>60+</v>
      </c>
      <c r="J4" t="str">
        <f>'T16'!I30</f>
        <v>Unknown</v>
      </c>
    </row>
    <row r="5" spans="1:10" x14ac:dyDescent="0.2">
      <c r="A5" t="str">
        <f>'T16'!A31</f>
        <v>2015-16</v>
      </c>
      <c r="B5" t="str">
        <f>'T16'!B31</f>
        <v>Non FRS personnel</v>
      </c>
      <c r="C5">
        <f>'T16'!C31</f>
        <v>1</v>
      </c>
      <c r="D5" t="str">
        <f>'T16'!D31</f>
        <v>Burns</v>
      </c>
      <c r="E5">
        <f>'T16'!E31</f>
        <v>8</v>
      </c>
      <c r="F5">
        <v>0</v>
      </c>
      <c r="G5">
        <f>'T16'!F31</f>
        <v>0</v>
      </c>
      <c r="H5">
        <f>'T16'!G31</f>
        <v>3</v>
      </c>
      <c r="I5">
        <f>'T16'!H31</f>
        <v>5</v>
      </c>
      <c r="J5">
        <f>'T16'!I31</f>
        <v>0</v>
      </c>
    </row>
    <row r="6" spans="1:10" x14ac:dyDescent="0.2">
      <c r="A6" t="str">
        <f>'T16'!A32</f>
        <v>2015-16</v>
      </c>
      <c r="B6" t="str">
        <f>'T16'!B32</f>
        <v>Non FRS personnel</v>
      </c>
      <c r="C6">
        <f>'T16'!C32</f>
        <v>2</v>
      </c>
      <c r="D6" t="str">
        <f>'T16'!D32</f>
        <v>Combination of burns and overcome by gas/smoke</v>
      </c>
      <c r="E6">
        <f>'T16'!E32</f>
        <v>9</v>
      </c>
      <c r="F6">
        <v>0</v>
      </c>
      <c r="G6">
        <f>'T16'!F32</f>
        <v>0</v>
      </c>
      <c r="H6">
        <f>'T16'!G32</f>
        <v>4</v>
      </c>
      <c r="I6">
        <f>'T16'!H32</f>
        <v>5</v>
      </c>
      <c r="J6">
        <f>'T16'!I32</f>
        <v>0</v>
      </c>
    </row>
    <row r="7" spans="1:10" x14ac:dyDescent="0.2">
      <c r="A7" t="str">
        <f>'T16'!A33</f>
        <v>2015-16</v>
      </c>
      <c r="B7" t="str">
        <f>'T16'!B33</f>
        <v>Non FRS personnel</v>
      </c>
      <c r="C7">
        <f>'T16'!C33</f>
        <v>3</v>
      </c>
      <c r="D7" t="str">
        <f>'T16'!D33</f>
        <v>Overcome by gas, smoke or toxic fumes</v>
      </c>
      <c r="E7">
        <f>'T16'!E33</f>
        <v>19</v>
      </c>
      <c r="F7">
        <v>0</v>
      </c>
      <c r="G7">
        <f>'T16'!F33</f>
        <v>2</v>
      </c>
      <c r="H7">
        <f>'T16'!G33</f>
        <v>8</v>
      </c>
      <c r="I7">
        <f>'T16'!H33</f>
        <v>9</v>
      </c>
      <c r="J7">
        <f>'T16'!I33</f>
        <v>0</v>
      </c>
    </row>
    <row r="8" spans="1:10" x14ac:dyDescent="0.2">
      <c r="A8" t="str">
        <f>'T16'!A34</f>
        <v>2015-16</v>
      </c>
      <c r="B8" t="str">
        <f>'T16'!B34</f>
        <v>Non FRS personnel</v>
      </c>
      <c r="C8">
        <f>'T16'!C34</f>
        <v>6</v>
      </c>
      <c r="D8" t="str">
        <f>'T16'!D34</f>
        <v>Other specified</v>
      </c>
      <c r="E8">
        <f>'T16'!E34</f>
        <v>1</v>
      </c>
      <c r="F8">
        <v>0</v>
      </c>
      <c r="G8">
        <f>'T16'!F34</f>
        <v>0</v>
      </c>
      <c r="H8">
        <f>'T16'!G34</f>
        <v>0</v>
      </c>
      <c r="I8">
        <f>'T16'!H34</f>
        <v>1</v>
      </c>
      <c r="J8">
        <f>'T16'!I34</f>
        <v>0</v>
      </c>
    </row>
    <row r="9" spans="1:10" x14ac:dyDescent="0.2">
      <c r="A9" t="str">
        <f>'T16'!A35</f>
        <v>2015-16</v>
      </c>
      <c r="B9" t="str">
        <f>'T16'!B35</f>
        <v>Non FRS personnel</v>
      </c>
      <c r="C9">
        <f>'T16'!C35</f>
        <v>8</v>
      </c>
      <c r="D9" t="str">
        <f>'T16'!D35</f>
        <v>Unspecified</v>
      </c>
      <c r="E9">
        <f>'T16'!E35</f>
        <v>8</v>
      </c>
      <c r="F9">
        <v>0</v>
      </c>
      <c r="G9">
        <f>'T16'!F35</f>
        <v>1</v>
      </c>
      <c r="H9">
        <f>'T16'!G35</f>
        <v>3</v>
      </c>
      <c r="I9">
        <f>'T16'!H35</f>
        <v>3</v>
      </c>
      <c r="J9">
        <f>'T16'!I35</f>
        <v>1</v>
      </c>
    </row>
    <row r="10" spans="1:10" x14ac:dyDescent="0.2">
      <c r="A10" t="str">
        <f>'T16'!A36</f>
        <v>2016-17</v>
      </c>
      <c r="B10" t="str">
        <f>'T16'!B36</f>
        <v>Non FRS personnel</v>
      </c>
      <c r="C10">
        <f>'T16'!C36</f>
        <v>1</v>
      </c>
      <c r="D10" t="str">
        <f>'T16'!D36</f>
        <v>Burns</v>
      </c>
      <c r="E10">
        <f>'T16'!E36</f>
        <v>7</v>
      </c>
      <c r="F10">
        <v>0</v>
      </c>
      <c r="G10">
        <f>'T16'!F36</f>
        <v>0</v>
      </c>
      <c r="H10">
        <f>'T16'!G36</f>
        <v>5</v>
      </c>
      <c r="I10">
        <f>'T16'!H36</f>
        <v>2</v>
      </c>
      <c r="J10">
        <f>'T16'!I36</f>
        <v>0</v>
      </c>
    </row>
    <row r="11" spans="1:10" x14ac:dyDescent="0.2">
      <c r="A11" t="str">
        <f>'T16'!A37</f>
        <v>2016-17</v>
      </c>
      <c r="B11" t="str">
        <f>'T16'!B37</f>
        <v>Non FRS personnel</v>
      </c>
      <c r="C11">
        <f>'T16'!C37</f>
        <v>2</v>
      </c>
      <c r="D11" t="str">
        <f>'T16'!D37</f>
        <v>Combination of burns and overcome by gas/smoke</v>
      </c>
      <c r="E11">
        <f>'T16'!E37</f>
        <v>6</v>
      </c>
      <c r="F11">
        <v>0</v>
      </c>
      <c r="G11">
        <f>'T16'!F37</f>
        <v>1</v>
      </c>
      <c r="H11">
        <f>'T16'!G37</f>
        <v>3</v>
      </c>
      <c r="I11">
        <f>'T16'!H37</f>
        <v>2</v>
      </c>
      <c r="J11">
        <f>'T16'!I37</f>
        <v>0</v>
      </c>
    </row>
    <row r="12" spans="1:10" x14ac:dyDescent="0.2">
      <c r="A12" t="str">
        <f>'T16'!A38</f>
        <v>2016-17</v>
      </c>
      <c r="B12" t="str">
        <f>'T16'!B38</f>
        <v>Non FRS personnel</v>
      </c>
      <c r="C12">
        <f>'T16'!C38</f>
        <v>3</v>
      </c>
      <c r="D12" t="str">
        <f>'T16'!D38</f>
        <v>Overcome by gas, smoke or toxic fumes</v>
      </c>
      <c r="E12">
        <f>'T16'!E38</f>
        <v>22</v>
      </c>
      <c r="F12">
        <v>0</v>
      </c>
      <c r="G12">
        <f>'T16'!F38</f>
        <v>3</v>
      </c>
      <c r="H12">
        <f>'T16'!G38</f>
        <v>9</v>
      </c>
      <c r="I12">
        <f>'T16'!H38</f>
        <v>10</v>
      </c>
      <c r="J12">
        <f>'T16'!I38</f>
        <v>0</v>
      </c>
    </row>
    <row r="13" spans="1:10" x14ac:dyDescent="0.2">
      <c r="A13" t="str">
        <f>'T16'!A39</f>
        <v>2016-17</v>
      </c>
      <c r="B13" t="str">
        <f>'T16'!B39</f>
        <v>Non FRS personnel</v>
      </c>
      <c r="C13">
        <f>'T16'!C39</f>
        <v>8</v>
      </c>
      <c r="D13" t="str">
        <f>'T16'!D39</f>
        <v>Unspecified</v>
      </c>
      <c r="E13">
        <f>'T16'!E39</f>
        <v>9</v>
      </c>
      <c r="F13">
        <v>0</v>
      </c>
      <c r="G13">
        <f>'T16'!F39</f>
        <v>0</v>
      </c>
      <c r="H13">
        <f>'T16'!G39</f>
        <v>5</v>
      </c>
      <c r="I13">
        <f>'T16'!H39</f>
        <v>4</v>
      </c>
      <c r="J13">
        <f>'T16'!I39</f>
        <v>0</v>
      </c>
    </row>
    <row r="14" spans="1:10" x14ac:dyDescent="0.2">
      <c r="A14" t="str">
        <f>'T16'!A40</f>
        <v>2017-18</v>
      </c>
      <c r="B14" t="str">
        <f>'T16'!B40</f>
        <v>Non FRS personnel</v>
      </c>
      <c r="C14">
        <f>'T16'!C40</f>
        <v>1</v>
      </c>
      <c r="D14" t="str">
        <f>'T16'!D40</f>
        <v>Burns</v>
      </c>
      <c r="E14">
        <f>'T16'!E40</f>
        <v>15</v>
      </c>
      <c r="F14">
        <v>0</v>
      </c>
      <c r="G14">
        <f>'T16'!F40</f>
        <v>1</v>
      </c>
      <c r="H14">
        <f>'T16'!G40</f>
        <v>4</v>
      </c>
      <c r="I14">
        <f>'T16'!H40</f>
        <v>10</v>
      </c>
      <c r="J14">
        <f>'T16'!I40</f>
        <v>0</v>
      </c>
    </row>
    <row r="15" spans="1:10" x14ac:dyDescent="0.2">
      <c r="A15" t="str">
        <f>'T16'!A41</f>
        <v>2017-18</v>
      </c>
      <c r="B15" t="str">
        <f>'T16'!B41</f>
        <v>Non FRS personnel</v>
      </c>
      <c r="C15">
        <f>'T16'!C41</f>
        <v>2</v>
      </c>
      <c r="D15" t="str">
        <f>'T16'!D41</f>
        <v>Combination of burns and overcome by gas/smoke</v>
      </c>
      <c r="E15">
        <f>'T16'!E41</f>
        <v>2</v>
      </c>
      <c r="F15">
        <v>0</v>
      </c>
      <c r="G15">
        <f>'T16'!F41</f>
        <v>0</v>
      </c>
      <c r="H15">
        <f>'T16'!G41</f>
        <v>0</v>
      </c>
      <c r="I15">
        <f>'T16'!H41</f>
        <v>2</v>
      </c>
      <c r="J15">
        <f>'T16'!I41</f>
        <v>0</v>
      </c>
    </row>
    <row r="16" spans="1:10" x14ac:dyDescent="0.2">
      <c r="A16" t="str">
        <f>'T16'!A42</f>
        <v>2017-18</v>
      </c>
      <c r="B16" t="str">
        <f>'T16'!B42</f>
        <v>Non FRS personnel</v>
      </c>
      <c r="C16">
        <f>'T16'!C42</f>
        <v>3</v>
      </c>
      <c r="D16" t="str">
        <f>'T16'!D42</f>
        <v>Overcome by gas, smoke or toxic fumes</v>
      </c>
      <c r="E16">
        <f>'T16'!E42</f>
        <v>16</v>
      </c>
      <c r="F16">
        <v>0</v>
      </c>
      <c r="G16">
        <f>'T16'!F42</f>
        <v>2</v>
      </c>
      <c r="H16">
        <f>'T16'!G42</f>
        <v>6</v>
      </c>
      <c r="I16">
        <f>'T16'!H42</f>
        <v>8</v>
      </c>
      <c r="J16">
        <f>'T16'!I42</f>
        <v>0</v>
      </c>
    </row>
    <row r="17" spans="1:10" x14ac:dyDescent="0.2">
      <c r="A17" t="str">
        <f>'T16'!A43</f>
        <v>2017-18</v>
      </c>
      <c r="B17" t="str">
        <f>'T16'!B43</f>
        <v>Non FRS personnel</v>
      </c>
      <c r="C17">
        <f>'T16'!C43</f>
        <v>4</v>
      </c>
      <c r="D17" t="str">
        <f>'T16'!D43</f>
        <v>Physical injuries</v>
      </c>
      <c r="E17">
        <f>'T16'!E43</f>
        <v>1</v>
      </c>
      <c r="F17">
        <v>0</v>
      </c>
      <c r="G17">
        <f>'T16'!F43</f>
        <v>0</v>
      </c>
      <c r="H17">
        <f>'T16'!G43</f>
        <v>1</v>
      </c>
      <c r="I17">
        <f>'T16'!H43</f>
        <v>0</v>
      </c>
      <c r="J17">
        <f>'T16'!I43</f>
        <v>0</v>
      </c>
    </row>
    <row r="18" spans="1:10" x14ac:dyDescent="0.2">
      <c r="A18" t="str">
        <f>'T16'!A44</f>
        <v>2017-18</v>
      </c>
      <c r="B18" t="str">
        <f>'T16'!B44</f>
        <v>Non FRS personnel</v>
      </c>
      <c r="C18">
        <f>'T16'!C44</f>
        <v>8</v>
      </c>
      <c r="D18" t="str">
        <f>'T16'!D44</f>
        <v>Unspecified</v>
      </c>
      <c r="E18">
        <f>'T16'!E44</f>
        <v>10</v>
      </c>
      <c r="F18">
        <v>0</v>
      </c>
      <c r="G18">
        <f>'T16'!F44</f>
        <v>0</v>
      </c>
      <c r="H18">
        <f>'T16'!G44</f>
        <v>7</v>
      </c>
      <c r="I18">
        <f>'T16'!H44</f>
        <v>3</v>
      </c>
      <c r="J18">
        <f>'T16'!I44</f>
        <v>0</v>
      </c>
    </row>
    <row r="19" spans="1:10" x14ac:dyDescent="0.2">
      <c r="A19" t="str">
        <f>Tref!A5</f>
        <v>2015-16</v>
      </c>
      <c r="D19" t="s">
        <v>155</v>
      </c>
      <c r="F19">
        <f>Tref!C5</f>
        <v>971022</v>
      </c>
      <c r="G19">
        <f>Tref!D5</f>
        <v>920189</v>
      </c>
      <c r="H19">
        <f>Tref!E5</f>
        <v>2181793</v>
      </c>
      <c r="I19">
        <f>Tref!F5</f>
        <v>1299996</v>
      </c>
    </row>
    <row r="20" spans="1:10" x14ac:dyDescent="0.2">
      <c r="A20" t="str">
        <f>Tref!A6</f>
        <v>2016-17</v>
      </c>
      <c r="D20" t="s">
        <v>155</v>
      </c>
      <c r="F20">
        <f>Tref!C6</f>
        <v>972780</v>
      </c>
      <c r="G20">
        <f>Tref!D6</f>
        <v>924449</v>
      </c>
      <c r="H20">
        <f>Tref!E6</f>
        <v>2187067</v>
      </c>
      <c r="I20">
        <f>Tref!F6</f>
        <v>1320404</v>
      </c>
    </row>
    <row r="21" spans="1:10" x14ac:dyDescent="0.2">
      <c r="A21" t="str">
        <f>Tref!A7</f>
        <v>2017-18</v>
      </c>
      <c r="D21" t="s">
        <v>155</v>
      </c>
      <c r="F21">
        <f>Tref!C7</f>
        <v>973036</v>
      </c>
      <c r="G21">
        <f>Tref!D7</f>
        <v>920015</v>
      </c>
      <c r="H21">
        <f>Tref!E7</f>
        <v>2190171</v>
      </c>
      <c r="I21">
        <f>Tref!F7</f>
        <v>1341578</v>
      </c>
    </row>
    <row r="23" spans="1:10" x14ac:dyDescent="0.2">
      <c r="A23" s="1300" t="s">
        <v>4</v>
      </c>
      <c r="B23" t="s">
        <v>603</v>
      </c>
    </row>
    <row r="25" spans="1:10" x14ac:dyDescent="0.2">
      <c r="A25" s="1300" t="s">
        <v>658</v>
      </c>
      <c r="B25" t="s">
        <v>827</v>
      </c>
      <c r="C25" t="s">
        <v>819</v>
      </c>
      <c r="D25" t="s">
        <v>822</v>
      </c>
      <c r="E25" t="s">
        <v>824</v>
      </c>
      <c r="F25" t="s">
        <v>826</v>
      </c>
      <c r="G25" t="s">
        <v>790</v>
      </c>
    </row>
    <row r="26" spans="1:10" x14ac:dyDescent="0.2">
      <c r="A26" s="1301" t="s">
        <v>184</v>
      </c>
      <c r="B26">
        <v>0</v>
      </c>
      <c r="C26">
        <v>1</v>
      </c>
      <c r="D26">
        <v>4</v>
      </c>
      <c r="E26">
        <v>10</v>
      </c>
      <c r="F26">
        <v>0</v>
      </c>
      <c r="G26">
        <v>15</v>
      </c>
    </row>
    <row r="27" spans="1:10" x14ac:dyDescent="0.2">
      <c r="A27" s="1301" t="s">
        <v>788</v>
      </c>
      <c r="B27">
        <v>0</v>
      </c>
      <c r="C27">
        <v>0</v>
      </c>
      <c r="D27">
        <v>0</v>
      </c>
      <c r="E27">
        <v>2</v>
      </c>
      <c r="F27">
        <v>0</v>
      </c>
      <c r="G27">
        <v>2</v>
      </c>
    </row>
    <row r="28" spans="1:10" x14ac:dyDescent="0.2">
      <c r="A28" s="1301" t="s">
        <v>789</v>
      </c>
      <c r="B28">
        <v>0</v>
      </c>
      <c r="C28">
        <v>2</v>
      </c>
      <c r="D28">
        <v>6</v>
      </c>
      <c r="E28">
        <v>8</v>
      </c>
      <c r="F28">
        <v>0</v>
      </c>
      <c r="G28">
        <v>16</v>
      </c>
    </row>
    <row r="29" spans="1:10" x14ac:dyDescent="0.2">
      <c r="A29" s="1301" t="s">
        <v>194</v>
      </c>
      <c r="B29">
        <v>0</v>
      </c>
      <c r="C29">
        <v>0</v>
      </c>
      <c r="D29">
        <v>1</v>
      </c>
      <c r="E29">
        <v>0</v>
      </c>
      <c r="F29">
        <v>0</v>
      </c>
      <c r="G29">
        <v>1</v>
      </c>
    </row>
    <row r="30" spans="1:10" x14ac:dyDescent="0.2">
      <c r="A30" s="1301" t="s">
        <v>228</v>
      </c>
      <c r="B30">
        <v>0</v>
      </c>
      <c r="C30">
        <v>0</v>
      </c>
      <c r="D30">
        <v>7</v>
      </c>
      <c r="E30">
        <v>3</v>
      </c>
      <c r="F30">
        <v>0</v>
      </c>
      <c r="G30">
        <v>10</v>
      </c>
    </row>
    <row r="31" spans="1:10" x14ac:dyDescent="0.2">
      <c r="A31" s="1301" t="s">
        <v>155</v>
      </c>
      <c r="B31">
        <v>973036</v>
      </c>
      <c r="C31">
        <v>920015</v>
      </c>
      <c r="D31">
        <v>2190171</v>
      </c>
      <c r="E31">
        <v>1341578</v>
      </c>
    </row>
    <row r="40" spans="1:9" x14ac:dyDescent="0.2">
      <c r="A40" t="str">
        <f>T16c!A4</f>
        <v>Year</v>
      </c>
      <c r="B40" t="str">
        <f>T16c!B4</f>
        <v>who</v>
      </c>
      <c r="C40" t="str">
        <f>T16c!C4</f>
        <v>Pub_injury_withchecks</v>
      </c>
      <c r="D40" t="str">
        <f>T16c!D4</f>
        <v>Total_Nonfatal</v>
      </c>
      <c r="E40" t="str">
        <f>T16c!E4</f>
        <v>0-16</v>
      </c>
      <c r="F40" t="str">
        <f>T16c!F4</f>
        <v>17-29</v>
      </c>
      <c r="G40" t="str">
        <f>T16c!G4</f>
        <v>30-59</v>
      </c>
      <c r="H40" t="str">
        <f>T16c!H4</f>
        <v>60+</v>
      </c>
      <c r="I40" t="str">
        <f>T16c!I4</f>
        <v>Unknown</v>
      </c>
    </row>
    <row r="41" spans="1:9" x14ac:dyDescent="0.2">
      <c r="A41" t="str">
        <f>T16c!A5</f>
        <v>2015-16</v>
      </c>
      <c r="B41" t="str">
        <f>T16c!B5</f>
        <v>FRS personnel</v>
      </c>
      <c r="C41" t="str">
        <f>T16c!C5</f>
        <v>1Burns</v>
      </c>
      <c r="D41">
        <f>T16c!D5</f>
        <v>1</v>
      </c>
      <c r="E41">
        <f>T16c!E5</f>
        <v>0</v>
      </c>
      <c r="F41">
        <f>T16c!F5</f>
        <v>1</v>
      </c>
      <c r="G41">
        <f>T16c!G5</f>
        <v>0</v>
      </c>
      <c r="H41">
        <f>T16c!H5</f>
        <v>0</v>
      </c>
      <c r="I41">
        <f>T16c!I5</f>
        <v>0</v>
      </c>
    </row>
    <row r="42" spans="1:9" x14ac:dyDescent="0.2">
      <c r="A42" t="str">
        <f>T16c!A6</f>
        <v>2015-16</v>
      </c>
      <c r="B42" t="str">
        <f>T16c!B6</f>
        <v>FRS personnel</v>
      </c>
      <c r="C42" t="str">
        <f>T16c!C6</f>
        <v>4Physical injuries</v>
      </c>
      <c r="D42">
        <f>T16c!D6</f>
        <v>7</v>
      </c>
      <c r="E42">
        <f>T16c!E6</f>
        <v>0</v>
      </c>
      <c r="F42">
        <f>T16c!F6</f>
        <v>1</v>
      </c>
      <c r="G42">
        <f>T16c!G6</f>
        <v>5</v>
      </c>
      <c r="H42">
        <f>T16c!H6</f>
        <v>0</v>
      </c>
      <c r="I42">
        <f>T16c!I6</f>
        <v>1</v>
      </c>
    </row>
    <row r="43" spans="1:9" x14ac:dyDescent="0.2">
      <c r="A43" t="str">
        <f>T16c!A7</f>
        <v>2015-16</v>
      </c>
      <c r="B43" t="str">
        <f>T16c!B7</f>
        <v>FRS personnel</v>
      </c>
      <c r="C43" t="str">
        <f>T16c!C7</f>
        <v>6Other specified</v>
      </c>
      <c r="D43">
        <f>T16c!D7</f>
        <v>1</v>
      </c>
      <c r="E43">
        <f>T16c!E7</f>
        <v>0</v>
      </c>
      <c r="F43">
        <f>T16c!F7</f>
        <v>0</v>
      </c>
      <c r="G43">
        <f>T16c!G7</f>
        <v>1</v>
      </c>
      <c r="H43">
        <f>T16c!H7</f>
        <v>0</v>
      </c>
      <c r="I43">
        <f>T16c!I7</f>
        <v>0</v>
      </c>
    </row>
    <row r="44" spans="1:9" x14ac:dyDescent="0.2">
      <c r="A44" t="str">
        <f>T16c!A8</f>
        <v>2015-16</v>
      </c>
      <c r="B44" t="str">
        <f>T16c!B8</f>
        <v>FRS personnel</v>
      </c>
      <c r="C44" t="str">
        <f>T16c!C8</f>
        <v>8Other/Not known</v>
      </c>
      <c r="D44">
        <f>T16c!D8</f>
        <v>1</v>
      </c>
      <c r="E44">
        <f>T16c!E8</f>
        <v>0</v>
      </c>
      <c r="F44">
        <f>T16c!F8</f>
        <v>0</v>
      </c>
      <c r="G44">
        <f>T16c!G8</f>
        <v>1</v>
      </c>
      <c r="H44">
        <f>T16c!H8</f>
        <v>0</v>
      </c>
      <c r="I44">
        <f>T16c!I8</f>
        <v>0</v>
      </c>
    </row>
    <row r="45" spans="1:9" x14ac:dyDescent="0.2">
      <c r="A45" t="str">
        <f>T16c!A9</f>
        <v>2015-16</v>
      </c>
      <c r="B45" t="str">
        <f>T16c!B9</f>
        <v>Non FRS personnel</v>
      </c>
      <c r="C45" t="str">
        <f>T16c!C9</f>
        <v>1Burns</v>
      </c>
      <c r="D45">
        <f>T16c!D9</f>
        <v>156</v>
      </c>
      <c r="E45">
        <f>T16c!E9</f>
        <v>14</v>
      </c>
      <c r="F45">
        <f>T16c!F9</f>
        <v>34</v>
      </c>
      <c r="G45">
        <f>T16c!G9</f>
        <v>68</v>
      </c>
      <c r="H45">
        <f>T16c!H9</f>
        <v>35</v>
      </c>
      <c r="I45">
        <f>T16c!I9</f>
        <v>5</v>
      </c>
    </row>
    <row r="46" spans="1:9" x14ac:dyDescent="0.2">
      <c r="A46" t="str">
        <f>T16c!A10</f>
        <v>2015-16</v>
      </c>
      <c r="B46" t="str">
        <f>T16c!B10</f>
        <v>Non FRS personnel</v>
      </c>
      <c r="C46" t="str">
        <f>T16c!C10</f>
        <v>2Combination of burns and overcome by gas/smoke</v>
      </c>
      <c r="D46">
        <f>T16c!D10</f>
        <v>37</v>
      </c>
      <c r="E46">
        <f>T16c!E10</f>
        <v>0</v>
      </c>
      <c r="F46">
        <f>T16c!F10</f>
        <v>8</v>
      </c>
      <c r="G46">
        <f>T16c!G10</f>
        <v>19</v>
      </c>
      <c r="H46">
        <f>T16c!H10</f>
        <v>7</v>
      </c>
      <c r="I46">
        <f>T16c!I10</f>
        <v>3</v>
      </c>
    </row>
    <row r="47" spans="1:9" x14ac:dyDescent="0.2">
      <c r="A47" t="str">
        <f>T16c!A11</f>
        <v>2015-16</v>
      </c>
      <c r="B47" t="str">
        <f>T16c!B11</f>
        <v>Non FRS personnel</v>
      </c>
      <c r="C47" t="str">
        <f>T16c!C11</f>
        <v>3Overcome by gas, smoke or toxic fumes</v>
      </c>
      <c r="D47">
        <f>T16c!D11</f>
        <v>708</v>
      </c>
      <c r="E47">
        <f>T16c!E11</f>
        <v>46</v>
      </c>
      <c r="F47">
        <f>T16c!F11</f>
        <v>102</v>
      </c>
      <c r="G47">
        <f>T16c!G11</f>
        <v>303</v>
      </c>
      <c r="H47">
        <f>T16c!H11</f>
        <v>221</v>
      </c>
      <c r="I47">
        <f>T16c!I11</f>
        <v>36</v>
      </c>
    </row>
    <row r="48" spans="1:9" x14ac:dyDescent="0.2">
      <c r="A48" t="str">
        <f>T16c!A12</f>
        <v>2015-16</v>
      </c>
      <c r="B48" t="str">
        <f>T16c!B12</f>
        <v>Non FRS personnel</v>
      </c>
      <c r="C48" t="str">
        <f>T16c!C12</f>
        <v>4Physical injuries</v>
      </c>
      <c r="D48">
        <f>T16c!D12</f>
        <v>60</v>
      </c>
      <c r="E48">
        <f>T16c!E12</f>
        <v>4</v>
      </c>
      <c r="F48">
        <f>T16c!F12</f>
        <v>13</v>
      </c>
      <c r="G48">
        <f>T16c!G12</f>
        <v>28</v>
      </c>
      <c r="H48">
        <f>T16c!H12</f>
        <v>11</v>
      </c>
      <c r="I48">
        <f>T16c!I12</f>
        <v>4</v>
      </c>
    </row>
    <row r="49" spans="1:9" x14ac:dyDescent="0.2">
      <c r="A49" t="str">
        <f>T16c!A13</f>
        <v>2015-16</v>
      </c>
      <c r="B49" t="str">
        <f>T16c!B13</f>
        <v>Non FRS personnel</v>
      </c>
      <c r="C49" t="str">
        <f>T16c!C13</f>
        <v>5Shock</v>
      </c>
      <c r="D49">
        <f>T16c!D13</f>
        <v>29</v>
      </c>
      <c r="E49">
        <f>T16c!E13</f>
        <v>1</v>
      </c>
      <c r="F49">
        <f>T16c!F13</f>
        <v>2</v>
      </c>
      <c r="G49">
        <f>T16c!G13</f>
        <v>14</v>
      </c>
      <c r="H49">
        <f>T16c!H13</f>
        <v>9</v>
      </c>
      <c r="I49">
        <f>T16c!I13</f>
        <v>3</v>
      </c>
    </row>
    <row r="50" spans="1:9" x14ac:dyDescent="0.2">
      <c r="A50" t="str">
        <f>T16c!A14</f>
        <v>2015-16</v>
      </c>
      <c r="B50" t="str">
        <f>T16c!B14</f>
        <v>Non FRS personnel</v>
      </c>
      <c r="C50" t="str">
        <f>T16c!C14</f>
        <v>6Other specified</v>
      </c>
      <c r="D50">
        <f>T16c!D14</f>
        <v>167</v>
      </c>
      <c r="E50">
        <f>T16c!E14</f>
        <v>2</v>
      </c>
      <c r="F50">
        <f>T16c!F14</f>
        <v>21</v>
      </c>
      <c r="G50">
        <f>T16c!G14</f>
        <v>73</v>
      </c>
      <c r="H50">
        <f>T16c!H14</f>
        <v>67</v>
      </c>
      <c r="I50">
        <f>T16c!I14</f>
        <v>4</v>
      </c>
    </row>
    <row r="51" spans="1:9" x14ac:dyDescent="0.2">
      <c r="A51" t="str">
        <f>T16c!A15</f>
        <v>2015-16</v>
      </c>
      <c r="B51" t="str">
        <f>T16c!B15</f>
        <v>Non FRS personnel</v>
      </c>
      <c r="C51" t="str">
        <f>T16c!C15</f>
        <v>8Other/Not known</v>
      </c>
      <c r="D51">
        <f>T16c!D15</f>
        <v>109</v>
      </c>
      <c r="E51">
        <f>T16c!E15</f>
        <v>10</v>
      </c>
      <c r="F51">
        <f>T16c!F15</f>
        <v>24</v>
      </c>
      <c r="G51">
        <f>T16c!G15</f>
        <v>37</v>
      </c>
      <c r="H51">
        <f>T16c!H15</f>
        <v>31</v>
      </c>
      <c r="I51">
        <f>T16c!I15</f>
        <v>7</v>
      </c>
    </row>
    <row r="52" spans="1:9" x14ac:dyDescent="0.2">
      <c r="A52" t="str">
        <f>T16c!A16</f>
        <v>2016-17</v>
      </c>
      <c r="B52" t="str">
        <f>T16c!B16</f>
        <v>FRS personnel</v>
      </c>
      <c r="C52" t="str">
        <f>T16c!C16</f>
        <v>4Physical injuries</v>
      </c>
      <c r="D52">
        <f>T16c!D16</f>
        <v>8</v>
      </c>
      <c r="E52">
        <f>T16c!E16</f>
        <v>0</v>
      </c>
      <c r="F52">
        <f>T16c!F16</f>
        <v>0</v>
      </c>
      <c r="G52">
        <f>T16c!G16</f>
        <v>6</v>
      </c>
      <c r="H52">
        <f>T16c!H16</f>
        <v>0</v>
      </c>
      <c r="I52">
        <f>T16c!I16</f>
        <v>2</v>
      </c>
    </row>
    <row r="53" spans="1:9" x14ac:dyDescent="0.2">
      <c r="A53" t="str">
        <f>T16c!A17</f>
        <v>2016-17</v>
      </c>
      <c r="B53" t="str">
        <f>T16c!B17</f>
        <v>FRS personnel</v>
      </c>
      <c r="C53" t="str">
        <f>T16c!C17</f>
        <v>6Other specified</v>
      </c>
      <c r="D53">
        <f>T16c!D17</f>
        <v>6</v>
      </c>
      <c r="E53">
        <f>T16c!E17</f>
        <v>0</v>
      </c>
      <c r="F53">
        <f>T16c!F17</f>
        <v>1</v>
      </c>
      <c r="G53">
        <f>T16c!G17</f>
        <v>4</v>
      </c>
      <c r="H53">
        <f>T16c!H17</f>
        <v>0</v>
      </c>
      <c r="I53">
        <f>T16c!I17</f>
        <v>1</v>
      </c>
    </row>
    <row r="54" spans="1:9" x14ac:dyDescent="0.2">
      <c r="A54" t="str">
        <f>T16c!A18</f>
        <v>2016-17</v>
      </c>
      <c r="B54" t="str">
        <f>T16c!B18</f>
        <v>FRS personnel</v>
      </c>
      <c r="C54" t="str">
        <f>T16c!C18</f>
        <v>8Other/Not known</v>
      </c>
      <c r="D54">
        <f>T16c!D18</f>
        <v>4</v>
      </c>
      <c r="E54">
        <f>T16c!E18</f>
        <v>0</v>
      </c>
      <c r="F54">
        <f>T16c!F18</f>
        <v>0</v>
      </c>
      <c r="G54">
        <f>T16c!G18</f>
        <v>3</v>
      </c>
      <c r="H54">
        <f>T16c!H18</f>
        <v>0</v>
      </c>
      <c r="I54">
        <f>T16c!I18</f>
        <v>1</v>
      </c>
    </row>
    <row r="55" spans="1:9" x14ac:dyDescent="0.2">
      <c r="A55" t="str">
        <f>T16c!A19</f>
        <v>2016-17</v>
      </c>
      <c r="B55" t="str">
        <f>T16c!B19</f>
        <v>Non FRS personnel</v>
      </c>
      <c r="C55" t="str">
        <f>T16c!C19</f>
        <v>1Burns</v>
      </c>
      <c r="D55">
        <f>T16c!D19</f>
        <v>129</v>
      </c>
      <c r="E55">
        <f>T16c!E19</f>
        <v>5</v>
      </c>
      <c r="F55">
        <f>T16c!F19</f>
        <v>25</v>
      </c>
      <c r="G55">
        <f>T16c!G19</f>
        <v>72</v>
      </c>
      <c r="H55">
        <f>T16c!H19</f>
        <v>22</v>
      </c>
      <c r="I55">
        <f>T16c!I19</f>
        <v>5</v>
      </c>
    </row>
    <row r="56" spans="1:9" x14ac:dyDescent="0.2">
      <c r="A56" t="str">
        <f>T16c!A20</f>
        <v>2016-17</v>
      </c>
      <c r="B56" t="str">
        <f>T16c!B20</f>
        <v>Non FRS personnel</v>
      </c>
      <c r="C56" t="str">
        <f>T16c!C20</f>
        <v>2Combination of burns and overcome by gas/smoke</v>
      </c>
      <c r="D56">
        <f>T16c!D20</f>
        <v>26</v>
      </c>
      <c r="E56">
        <f>T16c!E20</f>
        <v>0</v>
      </c>
      <c r="F56">
        <f>T16c!F20</f>
        <v>4</v>
      </c>
      <c r="G56">
        <f>T16c!G20</f>
        <v>15</v>
      </c>
      <c r="H56">
        <f>T16c!H20</f>
        <v>7</v>
      </c>
      <c r="I56">
        <f>T16c!I20</f>
        <v>0</v>
      </c>
    </row>
    <row r="57" spans="1:9" x14ac:dyDescent="0.2">
      <c r="A57" t="str">
        <f>T16c!A21</f>
        <v>2016-17</v>
      </c>
      <c r="B57" t="str">
        <f>T16c!B21</f>
        <v>Non FRS personnel</v>
      </c>
      <c r="C57" t="str">
        <f>T16c!C21</f>
        <v>3Overcome by gas, smoke or toxic fumes</v>
      </c>
      <c r="D57">
        <f>T16c!D21</f>
        <v>752</v>
      </c>
      <c r="E57">
        <f>T16c!E21</f>
        <v>54</v>
      </c>
      <c r="F57">
        <f>T16c!F21</f>
        <v>122</v>
      </c>
      <c r="G57">
        <f>T16c!G21</f>
        <v>349</v>
      </c>
      <c r="H57">
        <f>T16c!H21</f>
        <v>190</v>
      </c>
      <c r="I57">
        <f>T16c!I21</f>
        <v>37</v>
      </c>
    </row>
    <row r="58" spans="1:9" x14ac:dyDescent="0.2">
      <c r="A58" t="str">
        <f>T16c!A22</f>
        <v>2016-17</v>
      </c>
      <c r="B58" t="str">
        <f>T16c!B22</f>
        <v>Non FRS personnel</v>
      </c>
      <c r="C58" t="str">
        <f>T16c!C22</f>
        <v>4Physical injuries</v>
      </c>
      <c r="D58">
        <f>T16c!D22</f>
        <v>41</v>
      </c>
      <c r="E58">
        <f>T16c!E22</f>
        <v>3</v>
      </c>
      <c r="F58">
        <f>T16c!F22</f>
        <v>9</v>
      </c>
      <c r="G58">
        <f>T16c!G22</f>
        <v>19</v>
      </c>
      <c r="H58">
        <f>T16c!H22</f>
        <v>7</v>
      </c>
      <c r="I58">
        <f>T16c!I22</f>
        <v>3</v>
      </c>
    </row>
    <row r="59" spans="1:9" x14ac:dyDescent="0.2">
      <c r="A59" t="str">
        <f>T16c!A23</f>
        <v>2016-17</v>
      </c>
      <c r="B59" t="str">
        <f>T16c!B23</f>
        <v>Non FRS personnel</v>
      </c>
      <c r="C59" t="str">
        <f>T16c!C23</f>
        <v>5Shock</v>
      </c>
      <c r="D59">
        <f>T16c!D23</f>
        <v>33</v>
      </c>
      <c r="E59">
        <f>T16c!E23</f>
        <v>2</v>
      </c>
      <c r="F59">
        <f>T16c!F23</f>
        <v>5</v>
      </c>
      <c r="G59">
        <f>T16c!G23</f>
        <v>12</v>
      </c>
      <c r="H59">
        <f>T16c!H23</f>
        <v>12</v>
      </c>
      <c r="I59">
        <f>T16c!I23</f>
        <v>2</v>
      </c>
    </row>
    <row r="60" spans="1:9" x14ac:dyDescent="0.2">
      <c r="A60" t="str">
        <f>T16c!A24</f>
        <v>2016-17</v>
      </c>
      <c r="B60" t="str">
        <f>T16c!B24</f>
        <v>Non FRS personnel</v>
      </c>
      <c r="C60" t="str">
        <f>T16c!C24</f>
        <v>6Other specified</v>
      </c>
      <c r="D60">
        <f>T16c!D24</f>
        <v>132</v>
      </c>
      <c r="E60">
        <f>T16c!E24</f>
        <v>5</v>
      </c>
      <c r="F60">
        <f>T16c!F24</f>
        <v>15</v>
      </c>
      <c r="G60">
        <f>T16c!G24</f>
        <v>49</v>
      </c>
      <c r="H60">
        <f>T16c!H24</f>
        <v>56</v>
      </c>
      <c r="I60">
        <f>T16c!I24</f>
        <v>7</v>
      </c>
    </row>
    <row r="61" spans="1:9" x14ac:dyDescent="0.2">
      <c r="A61" t="str">
        <f>T16c!A25</f>
        <v>2016-17</v>
      </c>
      <c r="B61" t="str">
        <f>T16c!B25</f>
        <v>Non FRS personnel</v>
      </c>
      <c r="C61" t="str">
        <f>T16c!C25</f>
        <v>8Other/Not known</v>
      </c>
      <c r="D61">
        <f>T16c!D25</f>
        <v>135</v>
      </c>
      <c r="E61">
        <f>T16c!E25</f>
        <v>9</v>
      </c>
      <c r="F61">
        <f>T16c!F25</f>
        <v>21</v>
      </c>
      <c r="G61">
        <f>T16c!G25</f>
        <v>58</v>
      </c>
      <c r="H61">
        <f>T16c!H25</f>
        <v>40</v>
      </c>
      <c r="I61">
        <f>T16c!I25</f>
        <v>7</v>
      </c>
    </row>
    <row r="62" spans="1:9" x14ac:dyDescent="0.2">
      <c r="A62" t="str">
        <f>T16c!A26</f>
        <v>2017-18</v>
      </c>
      <c r="B62" t="str">
        <f>T16c!B26</f>
        <v>FRS personnel</v>
      </c>
      <c r="C62" t="str">
        <f>T16c!C26</f>
        <v>1Burns</v>
      </c>
      <c r="D62">
        <f>T16c!D26</f>
        <v>4</v>
      </c>
      <c r="E62">
        <f>T16c!E26</f>
        <v>0</v>
      </c>
      <c r="F62">
        <f>T16c!F26</f>
        <v>2</v>
      </c>
      <c r="G62">
        <f>T16c!G26</f>
        <v>1</v>
      </c>
      <c r="H62">
        <f>T16c!H26</f>
        <v>0</v>
      </c>
      <c r="I62">
        <f>T16c!I26</f>
        <v>1</v>
      </c>
    </row>
    <row r="63" spans="1:9" x14ac:dyDescent="0.2">
      <c r="A63" t="str">
        <f>T16c!A27</f>
        <v>2017-18</v>
      </c>
      <c r="B63" t="str">
        <f>T16c!B27</f>
        <v>FRS personnel</v>
      </c>
      <c r="C63" t="str">
        <f>T16c!C27</f>
        <v>4Physical injuries</v>
      </c>
      <c r="D63">
        <f>T16c!D27</f>
        <v>13</v>
      </c>
      <c r="E63">
        <f>T16c!E27</f>
        <v>0</v>
      </c>
      <c r="F63">
        <f>T16c!F27</f>
        <v>1</v>
      </c>
      <c r="G63">
        <f>T16c!G27</f>
        <v>6</v>
      </c>
      <c r="H63">
        <f>T16c!H27</f>
        <v>1</v>
      </c>
      <c r="I63">
        <f>T16c!I27</f>
        <v>5</v>
      </c>
    </row>
    <row r="64" spans="1:9" x14ac:dyDescent="0.2">
      <c r="A64" t="str">
        <f>T16c!A28</f>
        <v>2017-18</v>
      </c>
      <c r="B64" t="str">
        <f>T16c!B28</f>
        <v>FRS personnel</v>
      </c>
      <c r="C64" t="str">
        <f>T16c!C28</f>
        <v>6Other specified</v>
      </c>
      <c r="D64">
        <f>T16c!D28</f>
        <v>7</v>
      </c>
      <c r="E64">
        <f>T16c!E28</f>
        <v>0</v>
      </c>
      <c r="F64">
        <f>T16c!F28</f>
        <v>1</v>
      </c>
      <c r="G64">
        <f>T16c!G28</f>
        <v>5</v>
      </c>
      <c r="H64">
        <f>T16c!H28</f>
        <v>0</v>
      </c>
      <c r="I64">
        <f>T16c!I28</f>
        <v>1</v>
      </c>
    </row>
    <row r="65" spans="1:9" x14ac:dyDescent="0.2">
      <c r="A65" t="str">
        <f>T16c!A29</f>
        <v>2017-18</v>
      </c>
      <c r="B65" t="str">
        <f>T16c!B29</f>
        <v>FRS personnel</v>
      </c>
      <c r="C65" t="str">
        <f>T16c!C29</f>
        <v>8Other/Not known</v>
      </c>
      <c r="D65">
        <f>T16c!D29</f>
        <v>3</v>
      </c>
      <c r="E65">
        <f>T16c!E29</f>
        <v>0</v>
      </c>
      <c r="F65">
        <f>T16c!F29</f>
        <v>0</v>
      </c>
      <c r="G65">
        <f>T16c!G29</f>
        <v>1</v>
      </c>
      <c r="H65">
        <f>T16c!H29</f>
        <v>0</v>
      </c>
      <c r="I65">
        <f>T16c!I29</f>
        <v>2</v>
      </c>
    </row>
    <row r="66" spans="1:9" x14ac:dyDescent="0.2">
      <c r="A66" t="str">
        <f>T16c!A30</f>
        <v>2017-18</v>
      </c>
      <c r="B66" t="str">
        <f>T16c!B30</f>
        <v>Non FRS personnel</v>
      </c>
      <c r="C66" t="str">
        <f>T16c!C30</f>
        <v>1Burns</v>
      </c>
      <c r="D66">
        <f>T16c!D30</f>
        <v>114</v>
      </c>
      <c r="E66">
        <f>T16c!E30</f>
        <v>5</v>
      </c>
      <c r="F66">
        <f>T16c!F30</f>
        <v>29</v>
      </c>
      <c r="G66">
        <f>T16c!G30</f>
        <v>61</v>
      </c>
      <c r="H66">
        <f>T16c!H30</f>
        <v>14</v>
      </c>
      <c r="I66">
        <f>T16c!I30</f>
        <v>5</v>
      </c>
    </row>
    <row r="67" spans="1:9" x14ac:dyDescent="0.2">
      <c r="A67" t="str">
        <f>T16c!A31</f>
        <v>2017-18</v>
      </c>
      <c r="B67" t="str">
        <f>T16c!B31</f>
        <v>Non FRS personnel</v>
      </c>
      <c r="C67" t="str">
        <f>T16c!C31</f>
        <v>2Combination of burns and overcome by gas/smoke</v>
      </c>
      <c r="D67">
        <f>T16c!D31</f>
        <v>16</v>
      </c>
      <c r="E67">
        <f>T16c!E31</f>
        <v>1</v>
      </c>
      <c r="F67">
        <f>T16c!F31</f>
        <v>1</v>
      </c>
      <c r="G67">
        <f>T16c!G31</f>
        <v>8</v>
      </c>
      <c r="H67">
        <f>T16c!H31</f>
        <v>6</v>
      </c>
      <c r="I67">
        <f>T16c!I31</f>
        <v>0</v>
      </c>
    </row>
    <row r="68" spans="1:9" x14ac:dyDescent="0.2">
      <c r="A68" t="str">
        <f>T16c!A32</f>
        <v>2017-18</v>
      </c>
      <c r="B68" t="str">
        <f>T16c!B32</f>
        <v>Non FRS personnel</v>
      </c>
      <c r="C68" t="str">
        <f>T16c!C32</f>
        <v>3Overcome by gas, smoke or toxic fumes</v>
      </c>
      <c r="D68">
        <f>T16c!D32</f>
        <v>659</v>
      </c>
      <c r="E68">
        <f>T16c!E32</f>
        <v>61</v>
      </c>
      <c r="F68">
        <f>T16c!F32</f>
        <v>102</v>
      </c>
      <c r="G68">
        <f>T16c!G32</f>
        <v>278</v>
      </c>
      <c r="H68">
        <f>T16c!H32</f>
        <v>164</v>
      </c>
      <c r="I68">
        <f>T16c!I32</f>
        <v>54</v>
      </c>
    </row>
    <row r="69" spans="1:9" x14ac:dyDescent="0.2">
      <c r="A69" t="str">
        <f>T16c!A33</f>
        <v>2017-18</v>
      </c>
      <c r="B69" t="str">
        <f>T16c!B33</f>
        <v>Non FRS personnel</v>
      </c>
      <c r="C69" t="str">
        <f>T16c!C33</f>
        <v>4Physical injuries</v>
      </c>
      <c r="D69">
        <f>T16c!D33</f>
        <v>35</v>
      </c>
      <c r="E69">
        <f>T16c!E33</f>
        <v>2</v>
      </c>
      <c r="F69">
        <f>T16c!F33</f>
        <v>10</v>
      </c>
      <c r="G69">
        <f>T16c!G33</f>
        <v>16</v>
      </c>
      <c r="H69">
        <f>T16c!H33</f>
        <v>7</v>
      </c>
      <c r="I69">
        <f>T16c!I33</f>
        <v>0</v>
      </c>
    </row>
    <row r="70" spans="1:9" x14ac:dyDescent="0.2">
      <c r="A70" t="str">
        <f>T16c!A34</f>
        <v>2017-18</v>
      </c>
      <c r="B70" t="str">
        <f>T16c!B34</f>
        <v>Non FRS personnel</v>
      </c>
      <c r="C70" t="str">
        <f>T16c!C34</f>
        <v>5Shock</v>
      </c>
      <c r="D70">
        <f>T16c!D34</f>
        <v>17</v>
      </c>
      <c r="E70">
        <f>T16c!E34</f>
        <v>0</v>
      </c>
      <c r="F70">
        <f>T16c!F34</f>
        <v>4</v>
      </c>
      <c r="G70">
        <f>T16c!G34</f>
        <v>7</v>
      </c>
      <c r="H70">
        <f>T16c!H34</f>
        <v>4</v>
      </c>
      <c r="I70">
        <f>T16c!I34</f>
        <v>2</v>
      </c>
    </row>
    <row r="71" spans="1:9" x14ac:dyDescent="0.2">
      <c r="A71" t="str">
        <f>T16c!A35</f>
        <v>2017-18</v>
      </c>
      <c r="B71" t="str">
        <f>T16c!B35</f>
        <v>Non FRS personnel</v>
      </c>
      <c r="C71" t="str">
        <f>T16c!C35</f>
        <v>6Other specified</v>
      </c>
      <c r="D71">
        <f>T16c!D35</f>
        <v>141</v>
      </c>
      <c r="E71">
        <f>T16c!E35</f>
        <v>4</v>
      </c>
      <c r="F71">
        <f>T16c!F35</f>
        <v>19</v>
      </c>
      <c r="G71">
        <f>T16c!G35</f>
        <v>63</v>
      </c>
      <c r="H71">
        <f>T16c!H35</f>
        <v>47</v>
      </c>
      <c r="I71">
        <f>T16c!I35</f>
        <v>8</v>
      </c>
    </row>
    <row r="72" spans="1:9" x14ac:dyDescent="0.2">
      <c r="A72" t="str">
        <f>T16c!A36</f>
        <v>2017-18</v>
      </c>
      <c r="B72" t="str">
        <f>T16c!B36</f>
        <v>Non FRS personnel</v>
      </c>
      <c r="C72" t="str">
        <f>T16c!C36</f>
        <v>8Other/Not known</v>
      </c>
      <c r="D72">
        <f>T16c!D36</f>
        <v>104</v>
      </c>
      <c r="E72">
        <f>T16c!E36</f>
        <v>14</v>
      </c>
      <c r="F72">
        <f>T16c!F36</f>
        <v>17</v>
      </c>
      <c r="G72">
        <f>T16c!G36</f>
        <v>42</v>
      </c>
      <c r="H72">
        <f>T16c!H36</f>
        <v>28</v>
      </c>
      <c r="I72">
        <f>T16c!I36</f>
        <v>3</v>
      </c>
    </row>
    <row r="73" spans="1:9" x14ac:dyDescent="0.2">
      <c r="A73" t="s">
        <v>160</v>
      </c>
      <c r="B73" t="str">
        <f>T16c!B34</f>
        <v>Non FRS personnel</v>
      </c>
      <c r="C73" t="s">
        <v>155</v>
      </c>
      <c r="E73">
        <v>971022</v>
      </c>
      <c r="F73">
        <v>920189</v>
      </c>
      <c r="G73">
        <v>2181793</v>
      </c>
      <c r="H73">
        <v>1299996</v>
      </c>
    </row>
    <row r="74" spans="1:9" x14ac:dyDescent="0.2">
      <c r="A74" t="s">
        <v>379</v>
      </c>
      <c r="B74" t="str">
        <f>T16c!B34</f>
        <v>Non FRS personnel</v>
      </c>
      <c r="C74" t="s">
        <v>155</v>
      </c>
      <c r="E74">
        <v>972780</v>
      </c>
      <c r="F74">
        <v>924449</v>
      </c>
      <c r="G74">
        <v>2187067</v>
      </c>
      <c r="H74">
        <v>1320404</v>
      </c>
    </row>
    <row r="75" spans="1:9" x14ac:dyDescent="0.2">
      <c r="A75" t="s">
        <v>603</v>
      </c>
      <c r="B75" t="str">
        <f>T16c!B34</f>
        <v>Non FRS personnel</v>
      </c>
      <c r="C75" t="s">
        <v>155</v>
      </c>
      <c r="E75">
        <v>973036</v>
      </c>
      <c r="F75">
        <v>920015</v>
      </c>
      <c r="G75">
        <v>2190171</v>
      </c>
      <c r="H75">
        <v>1341578</v>
      </c>
    </row>
    <row r="78" spans="1:9" x14ac:dyDescent="0.2">
      <c r="A78" s="1300" t="s">
        <v>4</v>
      </c>
      <c r="B78" t="s">
        <v>603</v>
      </c>
    </row>
    <row r="80" spans="1:9" x14ac:dyDescent="0.2">
      <c r="B80" s="1300" t="s">
        <v>670</v>
      </c>
    </row>
    <row r="81" spans="1:13" x14ac:dyDescent="0.2">
      <c r="B81" t="s">
        <v>792</v>
      </c>
      <c r="H81" t="s">
        <v>785</v>
      </c>
    </row>
    <row r="82" spans="1:13" x14ac:dyDescent="0.2">
      <c r="A82" s="1300" t="s">
        <v>658</v>
      </c>
      <c r="B82" t="s">
        <v>827</v>
      </c>
      <c r="C82" t="s">
        <v>819</v>
      </c>
      <c r="D82" t="s">
        <v>822</v>
      </c>
      <c r="E82" t="s">
        <v>824</v>
      </c>
      <c r="F82" t="s">
        <v>826</v>
      </c>
      <c r="G82" t="s">
        <v>794</v>
      </c>
      <c r="H82" t="s">
        <v>827</v>
      </c>
      <c r="I82" t="s">
        <v>819</v>
      </c>
      <c r="J82" t="s">
        <v>822</v>
      </c>
      <c r="K82" t="s">
        <v>824</v>
      </c>
      <c r="L82" t="s">
        <v>826</v>
      </c>
      <c r="M82" t="s">
        <v>794</v>
      </c>
    </row>
    <row r="83" spans="1:13" x14ac:dyDescent="0.2">
      <c r="A83" s="1301" t="s">
        <v>795</v>
      </c>
      <c r="B83">
        <v>0</v>
      </c>
      <c r="C83">
        <v>2</v>
      </c>
      <c r="D83">
        <v>1</v>
      </c>
      <c r="E83">
        <v>0</v>
      </c>
      <c r="F83">
        <v>1</v>
      </c>
      <c r="G83">
        <v>4</v>
      </c>
      <c r="H83">
        <v>5</v>
      </c>
      <c r="I83">
        <v>29</v>
      </c>
      <c r="J83">
        <v>61</v>
      </c>
      <c r="K83">
        <v>14</v>
      </c>
      <c r="L83">
        <v>5</v>
      </c>
      <c r="M83">
        <v>114</v>
      </c>
    </row>
    <row r="84" spans="1:13" x14ac:dyDescent="0.2">
      <c r="A84" s="1301" t="s">
        <v>796</v>
      </c>
      <c r="H84">
        <v>1</v>
      </c>
      <c r="I84">
        <v>1</v>
      </c>
      <c r="J84">
        <v>8</v>
      </c>
      <c r="K84">
        <v>6</v>
      </c>
      <c r="L84">
        <v>0</v>
      </c>
      <c r="M84">
        <v>16</v>
      </c>
    </row>
    <row r="85" spans="1:13" x14ac:dyDescent="0.2">
      <c r="A85" s="1301" t="s">
        <v>797</v>
      </c>
      <c r="H85">
        <v>61</v>
      </c>
      <c r="I85">
        <v>102</v>
      </c>
      <c r="J85">
        <v>278</v>
      </c>
      <c r="K85">
        <v>164</v>
      </c>
      <c r="L85">
        <v>54</v>
      </c>
      <c r="M85">
        <v>659</v>
      </c>
    </row>
    <row r="86" spans="1:13" x14ac:dyDescent="0.2">
      <c r="A86" s="1301" t="s">
        <v>798</v>
      </c>
      <c r="B86">
        <v>0</v>
      </c>
      <c r="C86">
        <v>1</v>
      </c>
      <c r="D86">
        <v>6</v>
      </c>
      <c r="E86">
        <v>1</v>
      </c>
      <c r="F86">
        <v>5</v>
      </c>
      <c r="G86">
        <v>13</v>
      </c>
      <c r="H86">
        <v>2</v>
      </c>
      <c r="I86">
        <v>10</v>
      </c>
      <c r="J86">
        <v>16</v>
      </c>
      <c r="K86">
        <v>7</v>
      </c>
      <c r="L86">
        <v>0</v>
      </c>
      <c r="M86">
        <v>35</v>
      </c>
    </row>
    <row r="87" spans="1:13" x14ac:dyDescent="0.2">
      <c r="A87" s="1301" t="s">
        <v>799</v>
      </c>
      <c r="H87">
        <v>0</v>
      </c>
      <c r="I87">
        <v>4</v>
      </c>
      <c r="J87">
        <v>7</v>
      </c>
      <c r="K87">
        <v>4</v>
      </c>
      <c r="L87">
        <v>2</v>
      </c>
      <c r="M87">
        <v>17</v>
      </c>
    </row>
    <row r="88" spans="1:13" x14ac:dyDescent="0.2">
      <c r="A88" s="1301" t="s">
        <v>800</v>
      </c>
      <c r="B88">
        <v>0</v>
      </c>
      <c r="C88">
        <v>1</v>
      </c>
      <c r="D88">
        <v>5</v>
      </c>
      <c r="E88">
        <v>0</v>
      </c>
      <c r="F88">
        <v>1</v>
      </c>
      <c r="G88">
        <v>7</v>
      </c>
      <c r="H88">
        <v>4</v>
      </c>
      <c r="I88">
        <v>19</v>
      </c>
      <c r="J88">
        <v>63</v>
      </c>
      <c r="K88">
        <v>47</v>
      </c>
      <c r="L88">
        <v>8</v>
      </c>
      <c r="M88">
        <v>141</v>
      </c>
    </row>
    <row r="89" spans="1:13" x14ac:dyDescent="0.2">
      <c r="A89" s="1301" t="s">
        <v>801</v>
      </c>
      <c r="B89">
        <v>0</v>
      </c>
      <c r="C89">
        <v>0</v>
      </c>
      <c r="D89">
        <v>1</v>
      </c>
      <c r="E89">
        <v>0</v>
      </c>
      <c r="F89">
        <v>2</v>
      </c>
      <c r="G89">
        <v>3</v>
      </c>
      <c r="H89">
        <v>14</v>
      </c>
      <c r="I89">
        <v>17</v>
      </c>
      <c r="J89">
        <v>42</v>
      </c>
      <c r="K89">
        <v>28</v>
      </c>
      <c r="L89">
        <v>3</v>
      </c>
      <c r="M89">
        <v>104</v>
      </c>
    </row>
    <row r="90" spans="1:13" x14ac:dyDescent="0.2">
      <c r="A90" s="1301" t="s">
        <v>155</v>
      </c>
      <c r="H90">
        <v>973036</v>
      </c>
      <c r="I90">
        <v>920015</v>
      </c>
      <c r="J90">
        <v>2190171</v>
      </c>
      <c r="K90">
        <v>1341578</v>
      </c>
    </row>
    <row r="100" spans="1:12" x14ac:dyDescent="0.2">
      <c r="A100" t="str">
        <f>T16d!A4</f>
        <v>Year</v>
      </c>
      <c r="B100" t="str">
        <f>T16d!B4</f>
        <v>Treatment</v>
      </c>
      <c r="C100" t="str">
        <f>T16d!C4</f>
        <v>Total_Nonfatal</v>
      </c>
      <c r="D100" t="str">
        <f>T16d!D4</f>
        <v>FRS personnel17-29</v>
      </c>
      <c r="E100" t="str">
        <f>T16d!E4</f>
        <v>FRS personnel30-59</v>
      </c>
      <c r="F100" t="str">
        <f>T16d!F4</f>
        <v>FRS personnel60+</v>
      </c>
      <c r="G100" t="str">
        <f>T16d!G4</f>
        <v>FRS personnelUnknown</v>
      </c>
      <c r="H100" t="str">
        <f>T16d!H4</f>
        <v>Non FRS personnel0-16</v>
      </c>
      <c r="I100" t="str">
        <f>T16d!I4</f>
        <v>Non FRS personnel17-29</v>
      </c>
      <c r="J100" t="str">
        <f>T16d!J4</f>
        <v>Non FRS personnel30-59</v>
      </c>
      <c r="K100" t="str">
        <f>T16d!K4</f>
        <v>Non FRS personnel60+</v>
      </c>
      <c r="L100" t="str">
        <f>T16d!L4</f>
        <v>Non FRS personnelUnknown</v>
      </c>
    </row>
    <row r="101" spans="1:12" x14ac:dyDescent="0.2">
      <c r="A101" t="str">
        <f>T16d!A5</f>
        <v>2015-16</v>
      </c>
      <c r="B101" t="str">
        <f>T16d!B5</f>
        <v>1Precautionary check recommended</v>
      </c>
      <c r="C101">
        <f>T16d!C5</f>
        <v>263</v>
      </c>
      <c r="D101">
        <f>T16d!D5</f>
        <v>0</v>
      </c>
      <c r="E101">
        <f>T16d!E5</f>
        <v>1</v>
      </c>
      <c r="F101">
        <f>T16d!F5</f>
        <v>0</v>
      </c>
      <c r="G101">
        <f>T16d!G5</f>
        <v>1</v>
      </c>
      <c r="H101">
        <f>T16d!H5</f>
        <v>24</v>
      </c>
      <c r="I101">
        <f>T16d!I5</f>
        <v>57</v>
      </c>
      <c r="J101">
        <f>T16d!J5</f>
        <v>99</v>
      </c>
      <c r="K101">
        <f>T16d!K5</f>
        <v>66</v>
      </c>
      <c r="L101">
        <f>T16d!L5</f>
        <v>15</v>
      </c>
    </row>
    <row r="102" spans="1:12" x14ac:dyDescent="0.2">
      <c r="A102" t="str">
        <f>T16d!A6</f>
        <v>2015-16</v>
      </c>
      <c r="B102" t="str">
        <f>T16d!B6</f>
        <v>2First aid given at scene</v>
      </c>
      <c r="C102">
        <f>T16d!C6</f>
        <v>512</v>
      </c>
      <c r="D102">
        <f>T16d!D6</f>
        <v>1</v>
      </c>
      <c r="E102">
        <f>T16d!E6</f>
        <v>0</v>
      </c>
      <c r="F102">
        <f>T16d!F6</f>
        <v>0</v>
      </c>
      <c r="G102">
        <f>T16d!G6</f>
        <v>0</v>
      </c>
      <c r="H102">
        <f>T16d!H6</f>
        <v>25</v>
      </c>
      <c r="I102">
        <f>T16d!I6</f>
        <v>76</v>
      </c>
      <c r="J102">
        <f>T16d!J6</f>
        <v>218</v>
      </c>
      <c r="K102">
        <f>T16d!K6</f>
        <v>167</v>
      </c>
      <c r="L102">
        <f>T16d!L6</f>
        <v>25</v>
      </c>
    </row>
    <row r="103" spans="1:12" x14ac:dyDescent="0.2">
      <c r="A103" t="str">
        <f>T16d!A7</f>
        <v>2015-16</v>
      </c>
      <c r="B103" t="str">
        <f>T16d!B7</f>
        <v>3Victim went to hospital, injuries appear to be Slight</v>
      </c>
      <c r="C103">
        <f>T16d!C7</f>
        <v>431</v>
      </c>
      <c r="D103">
        <f>T16d!D7</f>
        <v>1</v>
      </c>
      <c r="E103">
        <f>T16d!E7</f>
        <v>6</v>
      </c>
      <c r="F103">
        <f>T16d!F7</f>
        <v>0</v>
      </c>
      <c r="G103">
        <f>T16d!G7</f>
        <v>0</v>
      </c>
      <c r="H103">
        <f>T16d!H7</f>
        <v>27</v>
      </c>
      <c r="I103">
        <f>T16d!I7</f>
        <v>63</v>
      </c>
      <c r="J103">
        <f>T16d!J7</f>
        <v>182</v>
      </c>
      <c r="K103">
        <f>T16d!K7</f>
        <v>134</v>
      </c>
      <c r="L103">
        <f>T16d!L7</f>
        <v>18</v>
      </c>
    </row>
    <row r="104" spans="1:12" x14ac:dyDescent="0.2">
      <c r="A104" t="str">
        <f>T16d!A8</f>
        <v>2015-16</v>
      </c>
      <c r="B104" t="str">
        <f>T16d!B8</f>
        <v>4Victim went to hospital, injuries appear to be Serious</v>
      </c>
      <c r="C104">
        <f>T16d!C8</f>
        <v>70</v>
      </c>
      <c r="D104">
        <f>T16d!D8</f>
        <v>0</v>
      </c>
      <c r="E104">
        <f>T16d!E8</f>
        <v>0</v>
      </c>
      <c r="F104">
        <f>T16d!F8</f>
        <v>0</v>
      </c>
      <c r="G104">
        <f>T16d!G8</f>
        <v>0</v>
      </c>
      <c r="H104">
        <f>T16d!H8</f>
        <v>1</v>
      </c>
      <c r="I104">
        <f>T16d!I8</f>
        <v>8</v>
      </c>
      <c r="J104">
        <f>T16d!J8</f>
        <v>43</v>
      </c>
      <c r="K104">
        <f>T16d!K8</f>
        <v>14</v>
      </c>
      <c r="L104">
        <f>T16d!L8</f>
        <v>4</v>
      </c>
    </row>
    <row r="105" spans="1:12" x14ac:dyDescent="0.2">
      <c r="A105" t="str">
        <f>T16d!A9</f>
        <v>2016-17</v>
      </c>
      <c r="B105" t="str">
        <f>T16d!B9</f>
        <v>1Precautionary check recommended</v>
      </c>
      <c r="C105">
        <f>T16d!C9</f>
        <v>330</v>
      </c>
      <c r="D105">
        <f>T16d!D9</f>
        <v>1</v>
      </c>
      <c r="E105">
        <f>T16d!E9</f>
        <v>3</v>
      </c>
      <c r="F105">
        <f>T16d!F9</f>
        <v>0</v>
      </c>
      <c r="G105">
        <f>T16d!G9</f>
        <v>0</v>
      </c>
      <c r="H105">
        <f>T16d!H9</f>
        <v>23</v>
      </c>
      <c r="I105">
        <f>T16d!I9</f>
        <v>50</v>
      </c>
      <c r="J105">
        <f>T16d!J9</f>
        <v>139</v>
      </c>
      <c r="K105">
        <f>T16d!K9</f>
        <v>92</v>
      </c>
      <c r="L105">
        <f>T16d!L9</f>
        <v>22</v>
      </c>
    </row>
    <row r="106" spans="1:12" x14ac:dyDescent="0.2">
      <c r="A106" t="str">
        <f>T16d!A10</f>
        <v>2016-17</v>
      </c>
      <c r="B106" t="str">
        <f>T16d!B10</f>
        <v>2First aid given at scene</v>
      </c>
      <c r="C106">
        <f>T16d!C10</f>
        <v>487</v>
      </c>
      <c r="D106">
        <f>T16d!D10</f>
        <v>0</v>
      </c>
      <c r="E106">
        <f>T16d!E10</f>
        <v>2</v>
      </c>
      <c r="F106">
        <f>T16d!F10</f>
        <v>0</v>
      </c>
      <c r="G106">
        <f>T16d!G10</f>
        <v>1</v>
      </c>
      <c r="H106">
        <f>T16d!H10</f>
        <v>21</v>
      </c>
      <c r="I106">
        <f>T16d!I10</f>
        <v>73</v>
      </c>
      <c r="J106">
        <f>T16d!J10</f>
        <v>234</v>
      </c>
      <c r="K106">
        <f>T16d!K10</f>
        <v>131</v>
      </c>
      <c r="L106">
        <f>T16d!L10</f>
        <v>25</v>
      </c>
    </row>
    <row r="107" spans="1:12" x14ac:dyDescent="0.2">
      <c r="A107" t="str">
        <f>T16d!A11</f>
        <v>2016-17</v>
      </c>
      <c r="B107" t="str">
        <f>T16d!B11</f>
        <v>3Victim went to hospital, injuries appear to be Slight</v>
      </c>
      <c r="C107">
        <f>T16d!C11</f>
        <v>384</v>
      </c>
      <c r="D107">
        <f>T16d!D11</f>
        <v>0</v>
      </c>
      <c r="E107">
        <f>T16d!E11</f>
        <v>7</v>
      </c>
      <c r="F107">
        <f>T16d!F11</f>
        <v>0</v>
      </c>
      <c r="G107">
        <f>T16d!G11</f>
        <v>2</v>
      </c>
      <c r="H107">
        <f>T16d!H11</f>
        <v>27</v>
      </c>
      <c r="I107">
        <f>T16d!I11</f>
        <v>67</v>
      </c>
      <c r="J107">
        <f>T16d!J11</f>
        <v>166</v>
      </c>
      <c r="K107">
        <f>T16d!K11</f>
        <v>102</v>
      </c>
      <c r="L107">
        <f>T16d!L11</f>
        <v>13</v>
      </c>
    </row>
    <row r="108" spans="1:12" x14ac:dyDescent="0.2">
      <c r="A108" t="str">
        <f>T16d!A12</f>
        <v>2016-17</v>
      </c>
      <c r="B108" t="str">
        <f>T16d!B12</f>
        <v>4Victim went to hospital, injuries appear to be Serious</v>
      </c>
      <c r="C108">
        <f>T16d!C12</f>
        <v>65</v>
      </c>
      <c r="D108">
        <f>T16d!D12</f>
        <v>0</v>
      </c>
      <c r="E108">
        <f>T16d!E12</f>
        <v>1</v>
      </c>
      <c r="F108">
        <f>T16d!F12</f>
        <v>0</v>
      </c>
      <c r="G108">
        <f>T16d!G12</f>
        <v>1</v>
      </c>
      <c r="H108">
        <f>T16d!H12</f>
        <v>7</v>
      </c>
      <c r="I108">
        <f>T16d!I12</f>
        <v>11</v>
      </c>
      <c r="J108">
        <f>T16d!J12</f>
        <v>35</v>
      </c>
      <c r="K108">
        <f>T16d!K12</f>
        <v>9</v>
      </c>
      <c r="L108">
        <f>T16d!L12</f>
        <v>1</v>
      </c>
    </row>
    <row r="109" spans="1:12" x14ac:dyDescent="0.2">
      <c r="A109" t="str">
        <f>T16d!A13</f>
        <v>2017-18</v>
      </c>
      <c r="B109" t="str">
        <f>T16d!B13</f>
        <v>1Precautionary check recommended</v>
      </c>
      <c r="C109">
        <f>T16d!C13</f>
        <v>234</v>
      </c>
      <c r="D109">
        <f>T16d!D13</f>
        <v>0</v>
      </c>
      <c r="E109">
        <f>T16d!E13</f>
        <v>2</v>
      </c>
      <c r="F109">
        <f>T16d!F13</f>
        <v>1</v>
      </c>
      <c r="G109">
        <f>T16d!G13</f>
        <v>6</v>
      </c>
      <c r="H109">
        <f>T16d!H13</f>
        <v>31</v>
      </c>
      <c r="I109">
        <f>T16d!I13</f>
        <v>33</v>
      </c>
      <c r="J109">
        <f>T16d!J13</f>
        <v>85</v>
      </c>
      <c r="K109">
        <f>T16d!K13</f>
        <v>64</v>
      </c>
      <c r="L109">
        <f>T16d!L13</f>
        <v>12</v>
      </c>
    </row>
    <row r="110" spans="1:12" x14ac:dyDescent="0.2">
      <c r="A110" t="str">
        <f>T16d!A14</f>
        <v>2017-18</v>
      </c>
      <c r="B110" t="str">
        <f>T16d!B14</f>
        <v>2First aid given at scene</v>
      </c>
      <c r="C110">
        <f>T16d!C14</f>
        <v>462</v>
      </c>
      <c r="D110">
        <f>T16d!D14</f>
        <v>2</v>
      </c>
      <c r="E110">
        <f>T16d!E14</f>
        <v>3</v>
      </c>
      <c r="F110">
        <f>T16d!F14</f>
        <v>0</v>
      </c>
      <c r="G110">
        <f>T16d!G14</f>
        <v>2</v>
      </c>
      <c r="H110">
        <f>T16d!H14</f>
        <v>17</v>
      </c>
      <c r="I110">
        <f>T16d!I14</f>
        <v>69</v>
      </c>
      <c r="J110">
        <f>T16d!J14</f>
        <v>205</v>
      </c>
      <c r="K110">
        <f>T16d!K14</f>
        <v>120</v>
      </c>
      <c r="L110">
        <f>T16d!L14</f>
        <v>44</v>
      </c>
    </row>
    <row r="111" spans="1:12" x14ac:dyDescent="0.2">
      <c r="A111" t="str">
        <f>T16d!A15</f>
        <v>2017-18</v>
      </c>
      <c r="B111" t="str">
        <f>T16d!B15</f>
        <v>3Victim went to hospital, injuries appear to be Slight</v>
      </c>
      <c r="C111">
        <f>T16d!C15</f>
        <v>354</v>
      </c>
      <c r="D111">
        <f>T16d!D15</f>
        <v>2</v>
      </c>
      <c r="E111">
        <f>T16d!E15</f>
        <v>7</v>
      </c>
      <c r="F111">
        <f>T16d!F15</f>
        <v>0</v>
      </c>
      <c r="G111">
        <f>T16d!G15</f>
        <v>1</v>
      </c>
      <c r="H111">
        <f>T16d!H15</f>
        <v>37</v>
      </c>
      <c r="I111">
        <f>T16d!I15</f>
        <v>67</v>
      </c>
      <c r="J111">
        <f>T16d!J15</f>
        <v>154</v>
      </c>
      <c r="K111">
        <f>T16d!K15</f>
        <v>73</v>
      </c>
      <c r="L111">
        <f>T16d!L15</f>
        <v>13</v>
      </c>
    </row>
    <row r="112" spans="1:12" x14ac:dyDescent="0.2">
      <c r="A112" t="str">
        <f>T16d!A16</f>
        <v>2017-18</v>
      </c>
      <c r="B112" t="str">
        <f>T16d!B16</f>
        <v>4Victim went to hospital, injuries appear to be Serious</v>
      </c>
      <c r="C112">
        <f>T16d!C16</f>
        <v>63</v>
      </c>
      <c r="D112">
        <f>T16d!D16</f>
        <v>0</v>
      </c>
      <c r="E112">
        <f>T16d!E16</f>
        <v>1</v>
      </c>
      <c r="F112">
        <f>T16d!F16</f>
        <v>0</v>
      </c>
      <c r="G112">
        <f>T16d!G16</f>
        <v>0</v>
      </c>
      <c r="H112">
        <f>T16d!H16</f>
        <v>2</v>
      </c>
      <c r="I112">
        <f>T16d!I16</f>
        <v>13</v>
      </c>
      <c r="J112">
        <f>T16d!J16</f>
        <v>31</v>
      </c>
      <c r="K112">
        <f>T16d!K16</f>
        <v>13</v>
      </c>
      <c r="L112">
        <f>T16d!L16</f>
        <v>3</v>
      </c>
    </row>
    <row r="113" spans="1:11" x14ac:dyDescent="0.2">
      <c r="A113" t="str">
        <f>Tref!A5</f>
        <v>2015-16</v>
      </c>
      <c r="B113" t="s">
        <v>155</v>
      </c>
      <c r="H113">
        <f>Tref!C5</f>
        <v>971022</v>
      </c>
      <c r="I113">
        <f>Tref!D5</f>
        <v>920189</v>
      </c>
      <c r="J113">
        <f>Tref!E5</f>
        <v>2181793</v>
      </c>
      <c r="K113">
        <f>Tref!F5</f>
        <v>1299996</v>
      </c>
    </row>
    <row r="114" spans="1:11" x14ac:dyDescent="0.2">
      <c r="A114" t="str">
        <f>Tref!A6</f>
        <v>2016-17</v>
      </c>
      <c r="B114" t="s">
        <v>155</v>
      </c>
      <c r="H114">
        <f>Tref!C6</f>
        <v>972780</v>
      </c>
      <c r="I114">
        <f>Tref!D6</f>
        <v>924449</v>
      </c>
      <c r="J114">
        <f>Tref!E6</f>
        <v>2187067</v>
      </c>
      <c r="K114">
        <f>Tref!F6</f>
        <v>1320404</v>
      </c>
    </row>
    <row r="115" spans="1:11" x14ac:dyDescent="0.2">
      <c r="A115" t="str">
        <f>Tref!A7</f>
        <v>2017-18</v>
      </c>
      <c r="B115" t="s">
        <v>155</v>
      </c>
      <c r="H115">
        <f>Tref!C7</f>
        <v>973036</v>
      </c>
      <c r="I115">
        <f>Tref!D7</f>
        <v>920015</v>
      </c>
      <c r="J115">
        <f>Tref!E7</f>
        <v>2190171</v>
      </c>
      <c r="K115">
        <f>Tref!F7</f>
        <v>1341578</v>
      </c>
    </row>
    <row r="118" spans="1:11" x14ac:dyDescent="0.2">
      <c r="A118" s="1300" t="s">
        <v>4</v>
      </c>
      <c r="B118" t="s">
        <v>603</v>
      </c>
    </row>
    <row r="120" spans="1:11" x14ac:dyDescent="0.2">
      <c r="A120" s="1300" t="s">
        <v>658</v>
      </c>
      <c r="B120" t="s">
        <v>828</v>
      </c>
      <c r="C120" t="s">
        <v>829</v>
      </c>
      <c r="D120" t="s">
        <v>830</v>
      </c>
      <c r="E120" t="s">
        <v>831</v>
      </c>
      <c r="F120" t="s">
        <v>832</v>
      </c>
    </row>
    <row r="121" spans="1:11" x14ac:dyDescent="0.2">
      <c r="A121" s="1301" t="s">
        <v>803</v>
      </c>
      <c r="B121">
        <v>31</v>
      </c>
      <c r="C121">
        <v>33</v>
      </c>
      <c r="D121">
        <v>85</v>
      </c>
      <c r="E121">
        <v>64</v>
      </c>
      <c r="F121">
        <v>12</v>
      </c>
      <c r="G121">
        <f>SUM(B121:F121)</f>
        <v>225</v>
      </c>
    </row>
    <row r="122" spans="1:11" x14ac:dyDescent="0.2">
      <c r="A122" s="1301" t="s">
        <v>804</v>
      </c>
      <c r="B122">
        <v>17</v>
      </c>
      <c r="C122">
        <v>69</v>
      </c>
      <c r="D122">
        <v>205</v>
      </c>
      <c r="E122">
        <v>120</v>
      </c>
      <c r="F122">
        <v>44</v>
      </c>
      <c r="G122">
        <f t="shared" ref="G122:G124" si="0">SUM(B122:F122)</f>
        <v>455</v>
      </c>
    </row>
    <row r="123" spans="1:11" x14ac:dyDescent="0.2">
      <c r="A123" s="1301" t="s">
        <v>805</v>
      </c>
      <c r="B123">
        <v>37</v>
      </c>
      <c r="C123">
        <v>67</v>
      </c>
      <c r="D123">
        <v>154</v>
      </c>
      <c r="E123">
        <v>73</v>
      </c>
      <c r="F123">
        <v>13</v>
      </c>
      <c r="G123">
        <f t="shared" si="0"/>
        <v>344</v>
      </c>
    </row>
    <row r="124" spans="1:11" x14ac:dyDescent="0.2">
      <c r="A124" s="1301" t="s">
        <v>806</v>
      </c>
      <c r="B124">
        <v>2</v>
      </c>
      <c r="C124">
        <v>13</v>
      </c>
      <c r="D124">
        <v>31</v>
      </c>
      <c r="E124">
        <v>13</v>
      </c>
      <c r="F124">
        <v>3</v>
      </c>
      <c r="G124">
        <f t="shared" si="0"/>
        <v>62</v>
      </c>
    </row>
    <row r="125" spans="1:11" x14ac:dyDescent="0.2">
      <c r="A125" s="1301" t="s">
        <v>155</v>
      </c>
      <c r="B125">
        <v>973036</v>
      </c>
      <c r="C125">
        <v>920015</v>
      </c>
      <c r="D125">
        <v>2190171</v>
      </c>
      <c r="E125">
        <v>1341578</v>
      </c>
      <c r="G125">
        <f>SUM(B125:E125)</f>
        <v>5424800</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7">
    <tabColor rgb="FF960000"/>
  </sheetPr>
  <dimension ref="A1:F11"/>
  <sheetViews>
    <sheetView showGridLines="0" workbookViewId="0"/>
  </sheetViews>
  <sheetFormatPr defaultRowHeight="12.75" x14ac:dyDescent="0.2"/>
  <cols>
    <col min="4" max="4" width="8.85546875" customWidth="1"/>
  </cols>
  <sheetData>
    <row r="1" spans="1:6" ht="38.25" customHeight="1" x14ac:dyDescent="0.35">
      <c r="A1" s="1259" t="str">
        <f>"Hospital Visit Rates From Fires, Long-term Trend"</f>
        <v>Hospital Visit Rates From Fires, Long-term Trend</v>
      </c>
    </row>
    <row r="3" spans="1:6" x14ac:dyDescent="0.2">
      <c r="B3" t="s">
        <v>902</v>
      </c>
      <c r="C3" t="s">
        <v>924</v>
      </c>
      <c r="D3" t="s">
        <v>903</v>
      </c>
      <c r="E3" t="s">
        <v>926</v>
      </c>
      <c r="F3" t="s">
        <v>925</v>
      </c>
    </row>
    <row r="4" spans="1:6" x14ac:dyDescent="0.2">
      <c r="A4" t="str">
        <f>'14e 14f 14g'!A22</f>
        <v>2010-11</v>
      </c>
      <c r="B4">
        <f>'14e 14f 14g'!E22+'14e 14f 14g'!D22</f>
        <v>543</v>
      </c>
      <c r="C4">
        <f>B4/'1 1a 1b'!B8*1000</f>
        <v>86.19047619047619</v>
      </c>
      <c r="D4">
        <f>'14e 14f 14g'!D5+'14e 14f 14g'!E5</f>
        <v>644</v>
      </c>
      <c r="E4">
        <f>D4/'1 1a 1b'!$F8*1000</f>
        <v>48.795272010910743</v>
      </c>
      <c r="F4">
        <f>D4/'1 1a 1b'!$K8*1000</f>
        <v>16.525532460867332</v>
      </c>
    </row>
    <row r="5" spans="1:6" x14ac:dyDescent="0.2">
      <c r="A5" t="str">
        <f>'14e 14f 14g'!A23</f>
        <v>2011-12</v>
      </c>
      <c r="B5">
        <f>'14e 14f 14g'!E23+'14e 14f 14g'!D23</f>
        <v>499</v>
      </c>
      <c r="C5">
        <f>B5/'1 1a 1b'!B9*1000</f>
        <v>81.006493506493513</v>
      </c>
      <c r="D5">
        <f>'14e 14f 14g'!D6+'14e 14f 14g'!E6</f>
        <v>597</v>
      </c>
      <c r="E5">
        <f>D5/'1 1a 1b'!$F9*1000</f>
        <v>48.09086515224746</v>
      </c>
      <c r="F5">
        <f>D5/'1 1a 1b'!$K9*1000</f>
        <v>18.46125301502876</v>
      </c>
    </row>
    <row r="6" spans="1:6" x14ac:dyDescent="0.2">
      <c r="A6" t="str">
        <f>'14e 14f 14g'!A24</f>
        <v>2012-13</v>
      </c>
      <c r="B6">
        <f>'14e 14f 14g'!E24+'14e 14f 14g'!D24</f>
        <v>417</v>
      </c>
      <c r="C6">
        <f>B6/'1 1a 1b'!B10*1000</f>
        <v>71.453050034270049</v>
      </c>
      <c r="D6">
        <f>'14e 14f 14g'!D7+'14e 14f 14g'!E7</f>
        <v>499</v>
      </c>
      <c r="E6">
        <f>D6/'1 1a 1b'!$F10*1000</f>
        <v>44.983322816190395</v>
      </c>
      <c r="F6">
        <f>D6/'1 1a 1b'!$K10*1000</f>
        <v>18.656995438570252</v>
      </c>
    </row>
    <row r="7" spans="1:6" x14ac:dyDescent="0.2">
      <c r="A7" t="str">
        <f>'14e 14f 14g'!A25</f>
        <v>2013-14</v>
      </c>
      <c r="B7">
        <f>'14e 14f 14g'!E25+'14e 14f 14g'!D25</f>
        <v>421</v>
      </c>
      <c r="C7">
        <f>B7/'1 1a 1b'!B11*1000</f>
        <v>78.927634045744284</v>
      </c>
      <c r="D7">
        <f>'14e 14f 14g'!D8+'14e 14f 14g'!E8</f>
        <v>519</v>
      </c>
      <c r="E7">
        <f>D7/'1 1a 1b'!$F11*1000</f>
        <v>49.245658980927985</v>
      </c>
      <c r="F7">
        <f>D7/'1 1a 1b'!$K11*1000</f>
        <v>18.541011717633609</v>
      </c>
    </row>
    <row r="8" spans="1:6" x14ac:dyDescent="0.2">
      <c r="A8" t="str">
        <f>'14e 14f 14g'!A26</f>
        <v>2014-15</v>
      </c>
      <c r="B8">
        <f>'14e 14f 14g'!E26+'14e 14f 14g'!D26</f>
        <v>378</v>
      </c>
      <c r="C8">
        <f>B8/'1 1a 1b'!B12*1000</f>
        <v>67.717663919742023</v>
      </c>
      <c r="D8">
        <f>'14e 14f 14g'!D9+'14e 14f 14g'!E9</f>
        <v>445</v>
      </c>
      <c r="E8">
        <f>D8/'1 1a 1b'!$F12*1000</f>
        <v>41.811519308465662</v>
      </c>
      <c r="F8">
        <f>D8/'1 1a 1b'!$K12*1000</f>
        <v>17.781507232478223</v>
      </c>
    </row>
    <row r="9" spans="1:6" x14ac:dyDescent="0.2">
      <c r="A9" t="str">
        <f>'14e 14f 14g'!A27</f>
        <v>2015-16</v>
      </c>
      <c r="B9">
        <f>'14e 14f 14g'!E27+'14e 14f 14g'!D27</f>
        <v>378</v>
      </c>
      <c r="C9">
        <f>B9/'1 1a 1b'!B13*1000</f>
        <v>66.584463625154129</v>
      </c>
      <c r="D9">
        <f>'14e 14f 14g'!D10+'14e 14f 14g'!E10</f>
        <v>501</v>
      </c>
      <c r="E9">
        <f>D9/'1 1a 1b'!$F13*1000</f>
        <v>45.491691637156087</v>
      </c>
      <c r="F9">
        <f>D9/'1 1a 1b'!$K13*1000</f>
        <v>18.814781433077961</v>
      </c>
    </row>
    <row r="10" spans="1:6" x14ac:dyDescent="0.2">
      <c r="A10" t="str">
        <f>'14e 14f 14g'!A28</f>
        <v>2016-17</v>
      </c>
      <c r="B10">
        <f>'14e 14f 14g'!E28+'14e 14f 14g'!D28</f>
        <v>374</v>
      </c>
      <c r="C10">
        <f>B10/'1 1a 1b'!B14*1000</f>
        <v>67.411679884643107</v>
      </c>
      <c r="D10">
        <f>'14e 14f 14g'!D11+'14e 14f 14g'!E11</f>
        <v>449</v>
      </c>
      <c r="E10">
        <f>D10/'1 1a 1b'!$F14*1000</f>
        <v>41.177549523110784</v>
      </c>
      <c r="F10">
        <f>D10/'1 1a 1b'!$K14*1000</f>
        <v>16.464376077151552</v>
      </c>
    </row>
    <row r="11" spans="1:6" x14ac:dyDescent="0.2">
      <c r="A11" t="str">
        <f>'14e 14f 14g'!A29</f>
        <v>2017-18</v>
      </c>
      <c r="B11">
        <f>'14e 14f 14g'!E29+'14e 14f 14g'!D29</f>
        <v>345</v>
      </c>
      <c r="C11">
        <f>B11/'1 1a 1b'!B15*1000</f>
        <v>64.97175141242937</v>
      </c>
      <c r="D11">
        <f>'14e 14f 14g'!D12+'14e 14f 14g'!E12</f>
        <v>417</v>
      </c>
      <c r="E11">
        <f>D11/'1 1a 1b'!$F15*1000</f>
        <v>39.140229021963584</v>
      </c>
      <c r="F11">
        <f>D11/'1 1a 1b'!$K15*1000</f>
        <v>15.967834577828834</v>
      </c>
    </row>
  </sheetData>
  <sheetProtection algorithmName="SHA-512" hashValue="jKZY7ImPRVrz56qTcZFbNTLSTz7I7+UXJVpRF05JnjyDc9gdohy3xzppUFoxV4Mrq/3U9Xd3jTlXhF3e3WIlFg==" saltValue="np0tr5uo1oubp49mkwJitg==" spinCount="100000" sheet="1" objects="1" scenarios="1"/>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7">
    <tabColor theme="4"/>
    <pageSetUpPr fitToPage="1"/>
  </sheetPr>
  <dimension ref="A1:M52"/>
  <sheetViews>
    <sheetView showGridLines="0" zoomScaleNormal="100" workbookViewId="0">
      <selection sqref="A1:H1"/>
    </sheetView>
  </sheetViews>
  <sheetFormatPr defaultRowHeight="12.75" x14ac:dyDescent="0.2"/>
  <cols>
    <col min="1" max="1" width="15.85546875" customWidth="1"/>
    <col min="2" max="3" width="12.140625" customWidth="1"/>
    <col min="4" max="4" width="9.28515625" customWidth="1"/>
    <col min="5" max="6" width="12.140625" customWidth="1"/>
    <col min="7" max="7" width="10.28515625" customWidth="1"/>
    <col min="8" max="8" width="12.140625" customWidth="1"/>
  </cols>
  <sheetData>
    <row r="1" spans="1:9" ht="38.25" customHeight="1" x14ac:dyDescent="0.2">
      <c r="A1" s="1655" t="s">
        <v>636</v>
      </c>
      <c r="B1" s="1655"/>
      <c r="C1" s="1655"/>
      <c r="D1" s="1655"/>
      <c r="E1" s="1655"/>
      <c r="F1" s="1655"/>
      <c r="G1" s="1655"/>
      <c r="H1" s="1655"/>
      <c r="I1" s="467"/>
    </row>
    <row r="2" spans="1:9" ht="15" x14ac:dyDescent="0.25">
      <c r="A2" s="1"/>
      <c r="B2" s="1"/>
      <c r="C2" s="1"/>
      <c r="D2" s="1"/>
      <c r="E2" s="1"/>
      <c r="F2" s="1"/>
      <c r="G2" s="1"/>
      <c r="H2" s="234" t="s">
        <v>0</v>
      </c>
      <c r="I2" s="1"/>
    </row>
    <row r="3" spans="1:9" ht="15" customHeight="1" x14ac:dyDescent="0.2">
      <c r="A3" s="1629" t="s">
        <v>4</v>
      </c>
      <c r="B3" s="1661" t="s">
        <v>205</v>
      </c>
      <c r="C3" s="1662"/>
      <c r="D3" s="101"/>
      <c r="E3" s="1661" t="s">
        <v>206</v>
      </c>
      <c r="F3" s="1662"/>
      <c r="G3" s="101"/>
      <c r="H3" s="1637" t="s">
        <v>349</v>
      </c>
      <c r="I3" s="2"/>
    </row>
    <row r="4" spans="1:9" ht="38.25" x14ac:dyDescent="0.2">
      <c r="A4" s="1630"/>
      <c r="B4" s="772" t="s">
        <v>11</v>
      </c>
      <c r="C4" s="765" t="s">
        <v>207</v>
      </c>
      <c r="D4" s="251"/>
      <c r="E4" s="765" t="s">
        <v>11</v>
      </c>
      <c r="F4" s="765" t="s">
        <v>207</v>
      </c>
      <c r="G4" s="251"/>
      <c r="H4" s="1729"/>
      <c r="I4" s="228"/>
    </row>
    <row r="5" spans="1:9" ht="18.75" customHeight="1" x14ac:dyDescent="0.2">
      <c r="A5" s="544" t="s">
        <v>20</v>
      </c>
      <c r="B5" s="1028">
        <f>'Long-Term Trend'!K25</f>
        <v>52</v>
      </c>
      <c r="C5" s="586">
        <v>22</v>
      </c>
      <c r="D5" s="71"/>
      <c r="E5" s="1021">
        <f>'Long-Term Trend'!L25</f>
        <v>1328</v>
      </c>
      <c r="F5" s="586">
        <v>461</v>
      </c>
      <c r="G5" s="71"/>
      <c r="H5" s="590">
        <v>472</v>
      </c>
      <c r="I5" s="282"/>
    </row>
    <row r="6" spans="1:9" ht="13.5" customHeight="1" x14ac:dyDescent="0.2">
      <c r="A6" s="10" t="s">
        <v>13</v>
      </c>
      <c r="B6" s="1029">
        <f>'Long-Term Trend'!K26</f>
        <v>59</v>
      </c>
      <c r="C6" s="583">
        <v>26</v>
      </c>
      <c r="D6" s="71"/>
      <c r="E6" s="1022">
        <f>'Long-Term Trend'!L26</f>
        <v>1416</v>
      </c>
      <c r="F6" s="583">
        <v>433</v>
      </c>
      <c r="G6" s="71"/>
      <c r="H6" s="591">
        <v>412</v>
      </c>
      <c r="I6" s="282"/>
    </row>
    <row r="7" spans="1:9" ht="13.5" customHeight="1" x14ac:dyDescent="0.2">
      <c r="A7" s="10" t="s">
        <v>15</v>
      </c>
      <c r="B7" s="1029">
        <f>'Long-Term Trend'!K27</f>
        <v>46</v>
      </c>
      <c r="C7" s="583">
        <v>22</v>
      </c>
      <c r="D7" s="1"/>
      <c r="E7" s="1022">
        <f>'Long-Term Trend'!L27</f>
        <v>1319</v>
      </c>
      <c r="F7" s="583">
        <v>390</v>
      </c>
      <c r="G7" s="1"/>
      <c r="H7" s="591">
        <v>415</v>
      </c>
      <c r="I7" s="282"/>
    </row>
    <row r="8" spans="1:9" ht="13.5" customHeight="1" x14ac:dyDescent="0.2">
      <c r="A8" s="10" t="s">
        <v>17</v>
      </c>
      <c r="B8" s="1029">
        <f>'Long-Term Trend'!K28</f>
        <v>31</v>
      </c>
      <c r="C8" s="583">
        <v>13</v>
      </c>
      <c r="D8" s="1"/>
      <c r="E8" s="1022">
        <f>'Long-Term Trend'!L28</f>
        <v>1311</v>
      </c>
      <c r="F8" s="583">
        <v>439</v>
      </c>
      <c r="G8" s="1"/>
      <c r="H8" s="591">
        <v>274</v>
      </c>
      <c r="I8" s="282"/>
    </row>
    <row r="9" spans="1:9" ht="13.5" customHeight="1" x14ac:dyDescent="0.2">
      <c r="A9" s="10" t="s">
        <v>147</v>
      </c>
      <c r="B9" s="1029">
        <f>'Long-Term Trend'!K29</f>
        <v>40</v>
      </c>
      <c r="C9" s="585">
        <v>13</v>
      </c>
      <c r="D9" s="1" t="s">
        <v>145</v>
      </c>
      <c r="E9" s="1022">
        <f>'Long-Term Trend'!L29</f>
        <v>1101</v>
      </c>
      <c r="F9" s="585">
        <v>350</v>
      </c>
      <c r="G9" s="1"/>
      <c r="H9" s="591">
        <v>264</v>
      </c>
      <c r="I9" s="71" t="s">
        <v>145</v>
      </c>
    </row>
    <row r="10" spans="1:9" ht="13.5" customHeight="1" x14ac:dyDescent="0.2">
      <c r="A10" s="244" t="s">
        <v>160</v>
      </c>
      <c r="B10" s="1029">
        <f>'Long-Term Trend'!K30</f>
        <v>45</v>
      </c>
      <c r="C10" s="585">
        <f>'T18'!$D5</f>
        <v>28</v>
      </c>
      <c r="D10" s="1"/>
      <c r="E10" s="1022">
        <f>'Long-Term Trend'!L30</f>
        <v>1276</v>
      </c>
      <c r="F10" s="585">
        <f>'T18'!$D8</f>
        <v>403</v>
      </c>
      <c r="G10" s="1"/>
      <c r="H10" s="591">
        <f>'T18'!$D11</f>
        <v>272</v>
      </c>
      <c r="I10" s="71"/>
    </row>
    <row r="11" spans="1:9" ht="13.5" customHeight="1" x14ac:dyDescent="0.2">
      <c r="A11" s="244" t="s">
        <v>379</v>
      </c>
      <c r="B11" s="1029">
        <f>'Long-Term Trend'!K31</f>
        <v>44</v>
      </c>
      <c r="C11" s="585">
        <f>'T18'!$D6</f>
        <v>19</v>
      </c>
      <c r="D11" s="1"/>
      <c r="E11" s="1022">
        <f>'Long-Term Trend'!L31</f>
        <v>1266</v>
      </c>
      <c r="F11" s="585">
        <f>'T18'!$D9</f>
        <v>447</v>
      </c>
      <c r="G11" s="1"/>
      <c r="H11" s="591">
        <f>'T18'!$D12</f>
        <v>189</v>
      </c>
      <c r="I11" s="71" t="s">
        <v>145</v>
      </c>
    </row>
    <row r="12" spans="1:9" ht="13.5" customHeight="1" x14ac:dyDescent="0.2">
      <c r="A12" s="470" t="s">
        <v>603</v>
      </c>
      <c r="B12" s="1024">
        <f>'Long-Term Trend'!K32</f>
        <v>44</v>
      </c>
      <c r="C12" s="584">
        <f>'T18'!$D7</f>
        <v>22</v>
      </c>
      <c r="D12" s="1"/>
      <c r="E12" s="1023">
        <f>'Long-Term Trend'!L32</f>
        <v>1113</v>
      </c>
      <c r="F12" s="584">
        <f>'T18'!$D10</f>
        <v>416</v>
      </c>
      <c r="G12" s="1"/>
      <c r="H12" s="592">
        <f>'T18'!$D13</f>
        <v>257</v>
      </c>
      <c r="I12" s="71" t="s">
        <v>143</v>
      </c>
    </row>
    <row r="13" spans="1:9" x14ac:dyDescent="0.2">
      <c r="A13" s="1"/>
      <c r="B13" s="1"/>
      <c r="C13" s="1"/>
      <c r="D13" s="1"/>
      <c r="E13" s="1"/>
      <c r="F13" s="1"/>
      <c r="G13" s="1"/>
      <c r="H13" s="1"/>
      <c r="I13" s="1"/>
    </row>
    <row r="14" spans="1:9" x14ac:dyDescent="0.2">
      <c r="A14" s="2" t="s">
        <v>162</v>
      </c>
      <c r="B14" s="1"/>
      <c r="C14" s="1"/>
      <c r="D14" s="1"/>
      <c r="E14" s="1"/>
      <c r="F14" s="1"/>
      <c r="G14" s="1"/>
      <c r="H14" s="1"/>
      <c r="I14" s="1"/>
    </row>
    <row r="15" spans="1:9" x14ac:dyDescent="0.2">
      <c r="A15" s="71" t="s">
        <v>975</v>
      </c>
      <c r="B15" s="1"/>
      <c r="C15" s="1"/>
      <c r="D15" s="1"/>
      <c r="E15" s="1"/>
      <c r="F15" s="1"/>
      <c r="G15" s="1"/>
      <c r="H15" s="1"/>
      <c r="I15" s="1"/>
    </row>
    <row r="16" spans="1:9" x14ac:dyDescent="0.2">
      <c r="A16" s="71" t="s">
        <v>968</v>
      </c>
      <c r="B16" s="1"/>
      <c r="C16" s="1"/>
      <c r="D16" s="1"/>
      <c r="E16" s="1"/>
      <c r="F16" s="1"/>
      <c r="G16" s="1"/>
      <c r="H16" s="1"/>
      <c r="I16" s="1"/>
    </row>
    <row r="17" spans="1:13" ht="25.5" customHeight="1" x14ac:dyDescent="0.2">
      <c r="A17" s="1654" t="s">
        <v>966</v>
      </c>
      <c r="B17" s="1654"/>
      <c r="C17" s="1654"/>
      <c r="D17" s="1654"/>
      <c r="E17" s="1654"/>
      <c r="F17" s="1654"/>
      <c r="G17" s="1654"/>
      <c r="H17" s="1654"/>
      <c r="I17" s="1654"/>
      <c r="J17" s="1537"/>
      <c r="K17" s="1537"/>
      <c r="L17" s="1537"/>
      <c r="M17" s="1537"/>
    </row>
    <row r="18" spans="1:13" ht="38.25" customHeight="1" x14ac:dyDescent="0.2">
      <c r="A18" s="1655" t="s">
        <v>637</v>
      </c>
      <c r="B18" s="1655"/>
      <c r="C18" s="1655"/>
      <c r="D18" s="1655"/>
      <c r="E18" s="1655"/>
      <c r="F18" s="1655"/>
      <c r="G18" s="1655"/>
      <c r="H18" s="1655"/>
      <c r="I18" s="1"/>
    </row>
    <row r="19" spans="1:13" ht="15" x14ac:dyDescent="0.25">
      <c r="A19" s="1"/>
      <c r="B19" s="1"/>
      <c r="C19" s="1"/>
      <c r="D19" s="1"/>
      <c r="E19" s="1"/>
      <c r="F19" s="1"/>
      <c r="G19" s="253" t="s">
        <v>0</v>
      </c>
      <c r="H19" s="1"/>
      <c r="I19" s="1"/>
    </row>
    <row r="20" spans="1:13" ht="25.5" x14ac:dyDescent="0.2">
      <c r="A20" s="588" t="s">
        <v>4</v>
      </c>
      <c r="B20" s="1245" t="s">
        <v>200</v>
      </c>
      <c r="C20" s="1246" t="s">
        <v>201</v>
      </c>
      <c r="D20" s="1246" t="s">
        <v>202</v>
      </c>
      <c r="E20" s="1246" t="s">
        <v>203</v>
      </c>
      <c r="F20" s="1247" t="s">
        <v>182</v>
      </c>
      <c r="G20" s="102" t="s">
        <v>208</v>
      </c>
      <c r="H20" s="1"/>
      <c r="I20" s="1"/>
    </row>
    <row r="21" spans="1:13" ht="18.75" customHeight="1" x14ac:dyDescent="0.2">
      <c r="A21" s="1017" t="s">
        <v>20</v>
      </c>
      <c r="B21" s="380">
        <v>88</v>
      </c>
      <c r="C21" s="380">
        <v>202</v>
      </c>
      <c r="D21" s="380">
        <v>438</v>
      </c>
      <c r="E21" s="576">
        <v>227</v>
      </c>
      <c r="F21" s="587">
        <v>0</v>
      </c>
      <c r="G21" s="9">
        <f>SUM(B21:F21)</f>
        <v>955</v>
      </c>
      <c r="I21" s="1"/>
    </row>
    <row r="22" spans="1:13" ht="13.5" customHeight="1" x14ac:dyDescent="0.2">
      <c r="A22" s="30" t="s">
        <v>13</v>
      </c>
      <c r="B22" s="7">
        <v>72</v>
      </c>
      <c r="C22" s="7">
        <v>176</v>
      </c>
      <c r="D22" s="7">
        <v>388</v>
      </c>
      <c r="E22" s="7">
        <v>235</v>
      </c>
      <c r="F22" s="37">
        <v>0</v>
      </c>
      <c r="G22" s="9">
        <f t="shared" ref="G22:G27" si="0">SUM(B22:F22)</f>
        <v>871</v>
      </c>
      <c r="I22" s="1"/>
    </row>
    <row r="23" spans="1:13" ht="13.5" customHeight="1" x14ac:dyDescent="0.2">
      <c r="A23" s="30" t="s">
        <v>15</v>
      </c>
      <c r="B23" s="7">
        <v>61</v>
      </c>
      <c r="C23" s="7">
        <v>154</v>
      </c>
      <c r="D23" s="7">
        <v>313</v>
      </c>
      <c r="E23" s="7">
        <v>261</v>
      </c>
      <c r="F23" s="37">
        <v>38</v>
      </c>
      <c r="G23" s="9">
        <f t="shared" si="0"/>
        <v>827</v>
      </c>
      <c r="I23" s="1"/>
    </row>
    <row r="24" spans="1:13" ht="13.5" customHeight="1" x14ac:dyDescent="0.2">
      <c r="A24" s="30" t="s">
        <v>17</v>
      </c>
      <c r="B24" s="7">
        <v>45</v>
      </c>
      <c r="C24" s="7">
        <v>129</v>
      </c>
      <c r="D24" s="7">
        <v>329</v>
      </c>
      <c r="E24" s="7">
        <v>186</v>
      </c>
      <c r="F24" s="137">
        <v>37</v>
      </c>
      <c r="G24" s="9">
        <f t="shared" si="0"/>
        <v>726</v>
      </c>
      <c r="I24" s="1"/>
    </row>
    <row r="25" spans="1:13" ht="13.5" customHeight="1" x14ac:dyDescent="0.2">
      <c r="A25" s="30" t="s">
        <v>147</v>
      </c>
      <c r="B25" s="7">
        <v>42</v>
      </c>
      <c r="C25" s="7">
        <v>104</v>
      </c>
      <c r="D25" s="7">
        <v>243</v>
      </c>
      <c r="E25" s="7">
        <v>188</v>
      </c>
      <c r="F25" s="137">
        <v>51</v>
      </c>
      <c r="G25" s="9">
        <f t="shared" si="0"/>
        <v>628</v>
      </c>
      <c r="I25" s="1"/>
    </row>
    <row r="26" spans="1:13" ht="13.5" customHeight="1" x14ac:dyDescent="0.2">
      <c r="A26" s="244" t="s">
        <v>160</v>
      </c>
      <c r="B26" s="7">
        <f>'T18'!C16</f>
        <v>43</v>
      </c>
      <c r="C26" s="7">
        <f>'T18'!D16</f>
        <v>100</v>
      </c>
      <c r="D26" s="7">
        <f>'T18'!E16</f>
        <v>301</v>
      </c>
      <c r="E26" s="7">
        <f>'T18'!F16</f>
        <v>197</v>
      </c>
      <c r="F26" s="137">
        <f>'T18'!G16</f>
        <v>62</v>
      </c>
      <c r="G26" s="9">
        <f t="shared" si="0"/>
        <v>703</v>
      </c>
      <c r="I26" s="1"/>
    </row>
    <row r="27" spans="1:13" ht="13.5" customHeight="1" x14ac:dyDescent="0.2">
      <c r="A27" s="244" t="s">
        <v>379</v>
      </c>
      <c r="B27" s="7">
        <f>'T18'!C17</f>
        <v>49</v>
      </c>
      <c r="C27" s="7">
        <f>'T18'!D17</f>
        <v>97</v>
      </c>
      <c r="D27" s="7">
        <f>'T18'!E17</f>
        <v>303</v>
      </c>
      <c r="E27" s="7">
        <f>'T18'!F17</f>
        <v>168</v>
      </c>
      <c r="F27" s="137">
        <f>'T18'!G17</f>
        <v>38</v>
      </c>
      <c r="G27" s="9">
        <f t="shared" si="0"/>
        <v>655</v>
      </c>
      <c r="H27" t="s">
        <v>145</v>
      </c>
      <c r="I27" s="1"/>
    </row>
    <row r="28" spans="1:13" ht="13.5" customHeight="1" x14ac:dyDescent="0.2">
      <c r="A28" s="470" t="s">
        <v>603</v>
      </c>
      <c r="B28" s="792">
        <f>'T18'!C18</f>
        <v>73</v>
      </c>
      <c r="C28" s="336">
        <f>'T18'!D18</f>
        <v>105</v>
      </c>
      <c r="D28" s="336">
        <f>'T18'!E18</f>
        <v>315</v>
      </c>
      <c r="E28" s="336">
        <f>'T18'!F18</f>
        <v>173</v>
      </c>
      <c r="F28" s="364">
        <f>'T18'!G18</f>
        <v>29</v>
      </c>
      <c r="G28" s="12">
        <f>SUM(B28:F28)</f>
        <v>695</v>
      </c>
      <c r="H28" t="s">
        <v>143</v>
      </c>
      <c r="I28" s="1"/>
    </row>
    <row r="29" spans="1:13" x14ac:dyDescent="0.2">
      <c r="A29" s="68"/>
      <c r="B29" s="7"/>
      <c r="C29" s="7"/>
      <c r="D29" s="7"/>
      <c r="E29" s="7"/>
      <c r="F29" s="7"/>
      <c r="G29" s="1"/>
      <c r="H29" s="1"/>
      <c r="I29" s="1"/>
    </row>
    <row r="30" spans="1:13" x14ac:dyDescent="0.2">
      <c r="A30" s="2" t="s">
        <v>162</v>
      </c>
      <c r="B30" s="7"/>
      <c r="C30" s="7"/>
      <c r="D30" s="7"/>
      <c r="E30" s="7"/>
      <c r="F30" s="7"/>
      <c r="G30" s="1"/>
      <c r="H30" s="1"/>
      <c r="I30" s="1"/>
    </row>
    <row r="31" spans="1:13" x14ac:dyDescent="0.2">
      <c r="A31" s="71" t="s">
        <v>975</v>
      </c>
      <c r="B31" s="1"/>
      <c r="C31" s="1"/>
      <c r="D31" s="1"/>
      <c r="E31" s="1"/>
      <c r="F31" s="1"/>
      <c r="G31" s="1"/>
      <c r="H31" s="1"/>
      <c r="I31" s="1"/>
    </row>
    <row r="32" spans="1:13" x14ac:dyDescent="0.2">
      <c r="A32" s="71" t="s">
        <v>971</v>
      </c>
      <c r="B32" s="1"/>
      <c r="C32" s="1"/>
      <c r="D32" s="1"/>
      <c r="E32" s="1"/>
      <c r="F32" s="1"/>
      <c r="G32" s="1"/>
      <c r="H32" s="1"/>
      <c r="I32" s="1"/>
    </row>
    <row r="33" spans="1:9" ht="13.5" customHeight="1" x14ac:dyDescent="0.2">
      <c r="A33" s="256"/>
      <c r="B33" s="1"/>
      <c r="C33" s="1"/>
      <c r="D33" s="1"/>
      <c r="E33" s="1"/>
      <c r="F33" s="1"/>
      <c r="G33" s="1"/>
      <c r="H33" s="1"/>
      <c r="I33" s="1"/>
    </row>
    <row r="34" spans="1:9" ht="38.25" customHeight="1" x14ac:dyDescent="0.2">
      <c r="A34" s="1698" t="s">
        <v>894</v>
      </c>
      <c r="B34" s="1698"/>
      <c r="C34" s="1698"/>
      <c r="D34" s="1698"/>
      <c r="E34" s="1698"/>
      <c r="F34" s="1698"/>
      <c r="G34" s="1698"/>
      <c r="H34" s="1698"/>
      <c r="I34" s="1"/>
    </row>
    <row r="35" spans="1:9" x14ac:dyDescent="0.2">
      <c r="A35" s="1"/>
      <c r="B35" s="1"/>
      <c r="C35" s="1"/>
      <c r="D35" s="1"/>
      <c r="E35" s="1"/>
      <c r="F35" s="3" t="s">
        <v>58</v>
      </c>
      <c r="G35" s="1"/>
      <c r="H35" s="1"/>
      <c r="I35" s="1"/>
    </row>
    <row r="36" spans="1:9" ht="25.5" x14ac:dyDescent="0.2">
      <c r="A36" s="588" t="s">
        <v>4</v>
      </c>
      <c r="B36" s="1245" t="s">
        <v>200</v>
      </c>
      <c r="C36" s="1246" t="s">
        <v>201</v>
      </c>
      <c r="D36" s="1246" t="s">
        <v>202</v>
      </c>
      <c r="E36" s="1247" t="s">
        <v>203</v>
      </c>
      <c r="F36" s="765" t="s">
        <v>208</v>
      </c>
      <c r="G36" s="1"/>
      <c r="H36" s="1"/>
      <c r="I36" s="1"/>
    </row>
    <row r="37" spans="1:9" ht="18.75" customHeight="1" x14ac:dyDescent="0.2">
      <c r="A37" s="544" t="s">
        <v>20</v>
      </c>
      <c r="B37" s="531">
        <f>B21/'17 17a'!I31*1000000</f>
        <v>89.695605730733789</v>
      </c>
      <c r="C37" s="532">
        <f>C21/'17 17a'!J31*1000000</f>
        <v>223.55692345831494</v>
      </c>
      <c r="D37" s="532">
        <f>D21/'17 17a'!K31*1000000</f>
        <v>202.40342514654608</v>
      </c>
      <c r="E37" s="532">
        <f>E21/'17 17a'!L31*1000000</f>
        <v>187.05666745774332</v>
      </c>
      <c r="F37" s="589">
        <f>(B21+C21+D21+E21+F21)/'17 17a'!M31*1000000</f>
        <v>181.48302991144388</v>
      </c>
      <c r="G37" s="1"/>
      <c r="H37" s="1"/>
      <c r="I37" s="1"/>
    </row>
    <row r="38" spans="1:9" ht="13.5" customHeight="1" x14ac:dyDescent="0.2">
      <c r="A38" s="10" t="s">
        <v>13</v>
      </c>
      <c r="B38" s="578">
        <f>B22/'17 17a'!I32*1000000</f>
        <v>73.61398665746492</v>
      </c>
      <c r="C38" s="579">
        <f>C22/'17 17a'!J32*1000000</f>
        <v>192.25790524088495</v>
      </c>
      <c r="D38" s="579">
        <f>D22/'17 17a'!K32*1000000</f>
        <v>178.50890773251822</v>
      </c>
      <c r="E38" s="579">
        <f>E22/'17 17a'!L32*1000000</f>
        <v>190.61879728461497</v>
      </c>
      <c r="F38" s="580">
        <f>(B22+C22+D22+E22+F22)/'17 17a'!M32*1000000</f>
        <v>164.34272344761223</v>
      </c>
      <c r="G38" s="1"/>
      <c r="H38" s="1"/>
      <c r="I38" s="1"/>
    </row>
    <row r="39" spans="1:9" ht="13.5" customHeight="1" x14ac:dyDescent="0.2">
      <c r="A39" s="10" t="s">
        <v>15</v>
      </c>
      <c r="B39" s="578">
        <f>B23/'17 17a'!I33*1000000</f>
        <v>62.496478169775266</v>
      </c>
      <c r="C39" s="579">
        <f>C23/'17 17a'!J33*1000000</f>
        <v>168.39526962378966</v>
      </c>
      <c r="D39" s="579">
        <f>D23/'17 17a'!K33*1000000</f>
        <v>143.93014835381618</v>
      </c>
      <c r="E39" s="579">
        <f>E23/'17 17a'!L33*1000000</f>
        <v>209.07363557423955</v>
      </c>
      <c r="F39" s="580">
        <f>(B23+C23+D23+E23+F23)/'17 17a'!M33*1000000</f>
        <v>155.63836193917493</v>
      </c>
      <c r="G39" s="1" t="s">
        <v>145</v>
      </c>
      <c r="H39" s="1"/>
      <c r="I39" s="1"/>
    </row>
    <row r="40" spans="1:9" ht="13.5" customHeight="1" x14ac:dyDescent="0.2">
      <c r="A40" s="10" t="s">
        <v>17</v>
      </c>
      <c r="B40" s="578">
        <f>B24/'17 17a'!I34*1000000</f>
        <v>46.232560050958561</v>
      </c>
      <c r="C40" s="579">
        <f>C24/'17 17a'!J34*1000000</f>
        <v>141.07873834049846</v>
      </c>
      <c r="D40" s="579">
        <f>D24/'17 17a'!K34*1000000</f>
        <v>151.21083570414154</v>
      </c>
      <c r="E40" s="579">
        <f>E24/'17 17a'!L34*1000000</f>
        <v>147.12780422826324</v>
      </c>
      <c r="F40" s="580">
        <f>(B24+C24+D24+E24+F24)/'17 17a'!M34*1000000</f>
        <v>136.26893406160258</v>
      </c>
      <c r="G40" s="1" t="s">
        <v>145</v>
      </c>
      <c r="H40" s="1"/>
      <c r="I40" s="1"/>
    </row>
    <row r="41" spans="1:9" ht="13.5" customHeight="1" x14ac:dyDescent="0.2">
      <c r="A41" s="10" t="s">
        <v>147</v>
      </c>
      <c r="B41" s="578">
        <f>B25/'17 17a'!I35*1000000</f>
        <v>43.259945925067591</v>
      </c>
      <c r="C41" s="579">
        <f>C25/'17 17a'!J35*1000000</f>
        <v>113.54058857694339</v>
      </c>
      <c r="D41" s="579">
        <f>D25/'17 17a'!K35*1000000</f>
        <v>111.64749898115913</v>
      </c>
      <c r="E41" s="579">
        <f>E25/'17 17a'!L35*1000000</f>
        <v>146.38780309283169</v>
      </c>
      <c r="F41" s="580">
        <f>(B25+C25+D25+E25+F25)/'17 17a'!M35*1000000</f>
        <v>117.43585907696911</v>
      </c>
      <c r="G41" s="1" t="s">
        <v>145</v>
      </c>
      <c r="I41" s="1"/>
    </row>
    <row r="42" spans="1:9" ht="13.5" customHeight="1" x14ac:dyDescent="0.2">
      <c r="A42" s="10" t="s">
        <v>160</v>
      </c>
      <c r="B42" s="578">
        <f>B26/'17 17a'!I36*1000000</f>
        <v>44.283239720624245</v>
      </c>
      <c r="C42" s="579">
        <f>C26/'17 17a'!J36*1000000</f>
        <v>108.67332689262749</v>
      </c>
      <c r="D42" s="579">
        <f>D26/'17 17a'!K36*1000000</f>
        <v>137.95992562080821</v>
      </c>
      <c r="E42" s="579">
        <f>E26/'17 17a'!L36*1000000</f>
        <v>151.53892781208557</v>
      </c>
      <c r="F42" s="580">
        <f>(B26+C26+D26+E26+F26)/'17 17a'!M36*1000000</f>
        <v>130.83938209566352</v>
      </c>
      <c r="G42" s="1" t="s">
        <v>145</v>
      </c>
      <c r="H42" s="1"/>
      <c r="I42" s="1"/>
    </row>
    <row r="43" spans="1:9" ht="13.5" customHeight="1" x14ac:dyDescent="0.2">
      <c r="A43" s="10" t="s">
        <v>379</v>
      </c>
      <c r="B43" s="578">
        <f>B27/'17 17a'!I37*1000000</f>
        <v>50.371101379551391</v>
      </c>
      <c r="C43" s="579">
        <f>C27/'17 17a'!J37*1000000</f>
        <v>104.92736754542436</v>
      </c>
      <c r="D43" s="579">
        <f>D27/'17 17a'!K37*1000000</f>
        <v>138.54170905600972</v>
      </c>
      <c r="E43" s="579">
        <f>E27/'17 17a'!L37*1000000</f>
        <v>127.23378602306568</v>
      </c>
      <c r="F43" s="580">
        <f>(B27+C27+D27+E27+F27)/'17 17a'!M37*1000000</f>
        <v>121.19081540140988</v>
      </c>
      <c r="G43" s="1" t="s">
        <v>145</v>
      </c>
      <c r="H43" s="1"/>
      <c r="I43" s="1"/>
    </row>
    <row r="44" spans="1:9" ht="13.5" customHeight="1" x14ac:dyDescent="0.2">
      <c r="A44" s="1261" t="s">
        <v>603</v>
      </c>
      <c r="B44" s="1586">
        <f>B28/'17 17a'!I38*1000000</f>
        <v>75.022917959869929</v>
      </c>
      <c r="C44" s="581">
        <f>C28/'17 17a'!J38*1000000</f>
        <v>114.12857399064146</v>
      </c>
      <c r="D44" s="581">
        <f>D28/'17 17a'!K38*1000000</f>
        <v>143.82438631504115</v>
      </c>
      <c r="E44" s="581">
        <f>E28/'17 17a'!L38*1000000</f>
        <v>128.95262146517013</v>
      </c>
      <c r="F44" s="582">
        <f>(B28+C28+D28+E28+F28)/'17 17a'!M38*1000000</f>
        <v>128.11532222386077</v>
      </c>
      <c r="G44" s="1" t="s">
        <v>143</v>
      </c>
      <c r="H44" s="1"/>
      <c r="I44" s="1"/>
    </row>
    <row r="45" spans="1:9" x14ac:dyDescent="0.2">
      <c r="A45" s="1"/>
      <c r="B45" s="1"/>
      <c r="C45" s="1"/>
      <c r="D45" s="1"/>
      <c r="E45" s="1"/>
      <c r="F45" s="1"/>
      <c r="G45" s="1"/>
      <c r="H45" s="1"/>
      <c r="I45" s="1"/>
    </row>
    <row r="46" spans="1:9" x14ac:dyDescent="0.2">
      <c r="A46" s="2" t="s">
        <v>162</v>
      </c>
      <c r="B46" s="1"/>
      <c r="C46" s="1"/>
      <c r="D46" s="1"/>
      <c r="E46" s="1"/>
      <c r="F46" s="1"/>
      <c r="G46" s="1"/>
      <c r="H46" s="1"/>
      <c r="I46" s="1"/>
    </row>
    <row r="47" spans="1:9" x14ac:dyDescent="0.2">
      <c r="A47" s="71" t="s">
        <v>967</v>
      </c>
      <c r="B47" s="1"/>
      <c r="C47" s="1"/>
      <c r="D47" s="1"/>
      <c r="E47" s="1"/>
      <c r="F47" s="1"/>
      <c r="G47" s="1"/>
      <c r="H47" s="1"/>
      <c r="I47" s="1"/>
    </row>
    <row r="48" spans="1:9" x14ac:dyDescent="0.2">
      <c r="A48" s="71" t="s">
        <v>971</v>
      </c>
      <c r="B48" s="1"/>
      <c r="C48" s="1"/>
      <c r="D48" s="1"/>
      <c r="E48" s="1"/>
      <c r="F48" s="1"/>
      <c r="G48" s="1"/>
      <c r="H48" s="1"/>
      <c r="I48" s="1"/>
    </row>
    <row r="49" spans="1:13" ht="25.5" customHeight="1" x14ac:dyDescent="0.2">
      <c r="A49" s="1697" t="s">
        <v>1044</v>
      </c>
      <c r="B49" s="1697"/>
      <c r="C49" s="1697"/>
      <c r="D49" s="1697"/>
      <c r="E49" s="1697"/>
      <c r="F49" s="1697"/>
      <c r="G49" s="1697"/>
      <c r="H49" s="1697"/>
      <c r="I49" s="1697"/>
      <c r="J49" s="1443"/>
      <c r="K49" s="1443"/>
      <c r="L49" s="1443"/>
      <c r="M49" s="1443"/>
    </row>
    <row r="50" spans="1:13" ht="25.5" customHeight="1" x14ac:dyDescent="0.2">
      <c r="A50" s="1744" t="s">
        <v>1036</v>
      </c>
      <c r="B50" s="1744"/>
      <c r="C50" s="1744"/>
      <c r="D50" s="1744"/>
      <c r="E50" s="1744"/>
      <c r="F50" s="1744"/>
      <c r="G50" s="1744"/>
      <c r="H50" s="1744"/>
      <c r="I50" s="1744"/>
      <c r="J50" s="1568"/>
      <c r="K50" s="1568"/>
      <c r="L50" s="1568"/>
      <c r="M50" s="1568"/>
    </row>
    <row r="52" spans="1:13" x14ac:dyDescent="0.2">
      <c r="A52" s="386" t="s">
        <v>169</v>
      </c>
    </row>
  </sheetData>
  <sheetProtection algorithmName="SHA-512" hashValue="4NpAOB7pmDguIrxfZmnI4tkuAVKn1YaUQ9cNyGwZGCjzjddLgt5B/Q1CgHgpqZKw9CctLxduez/5nPFnNUDBdQ==" saltValue="K7qHt/rt2ObcY39S0J7rOA==" spinCount="100000" sheet="1" objects="1" scenarios="1"/>
  <mergeCells count="10">
    <mergeCell ref="A50:I50"/>
    <mergeCell ref="A17:I17"/>
    <mergeCell ref="A49:I49"/>
    <mergeCell ref="A1:H1"/>
    <mergeCell ref="A3:A4"/>
    <mergeCell ref="H3:H4"/>
    <mergeCell ref="B3:C3"/>
    <mergeCell ref="E3:F3"/>
    <mergeCell ref="A34:H34"/>
    <mergeCell ref="A18:H18"/>
  </mergeCells>
  <hyperlinks>
    <hyperlink ref="A52" location="Contents!A1" display="Return to contents" xr:uid="{00000000-0004-0000-5300-000000000000}"/>
  </hyperlinks>
  <pageMargins left="0.7" right="0.7" top="0.75" bottom="0.75" header="0.3" footer="0.3"/>
  <pageSetup paperSize="9" scale="84" orientation="portrait" r:id="rId1"/>
  <colBreaks count="1" manualBreakCount="1">
    <brk id="8"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8">
    <tabColor theme="4"/>
    <pageSetUpPr fitToPage="1"/>
  </sheetPr>
  <dimension ref="A1:Q55"/>
  <sheetViews>
    <sheetView showGridLines="0" zoomScaleNormal="100" workbookViewId="0">
      <selection sqref="A1:H1"/>
    </sheetView>
  </sheetViews>
  <sheetFormatPr defaultRowHeight="12.75" x14ac:dyDescent="0.2"/>
  <cols>
    <col min="2" max="2" width="12.85546875" customWidth="1"/>
    <col min="3" max="3" width="15.7109375" customWidth="1"/>
    <col min="4" max="4" width="11.28515625" customWidth="1"/>
    <col min="5" max="5" width="11.7109375" customWidth="1"/>
    <col min="6" max="6" width="15.42578125" customWidth="1"/>
    <col min="7" max="7" width="11.28515625" customWidth="1"/>
    <col min="8" max="8" width="6" customWidth="1"/>
    <col min="9" max="9" width="10.140625" customWidth="1"/>
    <col min="10" max="10" width="12.7109375" customWidth="1"/>
    <col min="11" max="11" width="15.28515625" customWidth="1"/>
    <col min="12" max="12" width="11.28515625" customWidth="1"/>
    <col min="13" max="13" width="11" customWidth="1"/>
    <col min="14" max="14" width="13.7109375" customWidth="1"/>
    <col min="15" max="15" width="2.85546875" customWidth="1"/>
    <col min="17" max="17" width="13" customWidth="1"/>
  </cols>
  <sheetData>
    <row r="1" spans="1:15" ht="38.25" customHeight="1" x14ac:dyDescent="0.2">
      <c r="A1" s="1671" t="s">
        <v>1072</v>
      </c>
      <c r="B1" s="1671"/>
      <c r="C1" s="1671"/>
      <c r="D1" s="1671"/>
      <c r="E1" s="1671"/>
      <c r="F1" s="1671"/>
      <c r="G1" s="1671"/>
      <c r="H1" s="1671"/>
      <c r="I1" s="467"/>
      <c r="J1" s="467"/>
      <c r="K1" s="467"/>
      <c r="L1" s="467"/>
      <c r="M1" s="467"/>
      <c r="N1" s="467"/>
      <c r="O1" s="467"/>
    </row>
    <row r="2" spans="1:15" ht="15" x14ac:dyDescent="0.25">
      <c r="A2" s="1"/>
      <c r="B2" s="1"/>
      <c r="C2" s="1"/>
      <c r="D2" s="1"/>
      <c r="E2" s="1"/>
      <c r="F2" s="1"/>
      <c r="G2" s="234" t="s">
        <v>0</v>
      </c>
      <c r="H2" s="1"/>
      <c r="I2" s="1"/>
      <c r="J2" s="1"/>
      <c r="K2" s="1"/>
      <c r="L2" s="1"/>
      <c r="M2" s="1"/>
      <c r="N2" s="145" t="s">
        <v>64</v>
      </c>
      <c r="O2" s="593"/>
    </row>
    <row r="3" spans="1:15" ht="12.75" customHeight="1" x14ac:dyDescent="0.2">
      <c r="A3" s="1679" t="s">
        <v>4</v>
      </c>
      <c r="B3" s="1661" t="s">
        <v>210</v>
      </c>
      <c r="C3" s="1677"/>
      <c r="D3" s="1677"/>
      <c r="E3" s="1677"/>
      <c r="F3" s="1662"/>
      <c r="G3" s="1637" t="s">
        <v>212</v>
      </c>
      <c r="H3" s="101"/>
      <c r="I3" s="1679" t="s">
        <v>4</v>
      </c>
      <c r="J3" s="1661" t="s">
        <v>210</v>
      </c>
      <c r="K3" s="1677"/>
      <c r="L3" s="1677"/>
      <c r="M3" s="1677"/>
      <c r="N3" s="1662"/>
    </row>
    <row r="4" spans="1:15" ht="41.25" customHeight="1" x14ac:dyDescent="0.2">
      <c r="A4" s="1686"/>
      <c r="B4" s="102" t="s">
        <v>214</v>
      </c>
      <c r="C4" s="102" t="s">
        <v>215</v>
      </c>
      <c r="D4" s="102" t="s">
        <v>216</v>
      </c>
      <c r="E4" s="102" t="s">
        <v>211</v>
      </c>
      <c r="F4" s="102" t="s">
        <v>638</v>
      </c>
      <c r="G4" s="1644"/>
      <c r="H4" s="101"/>
      <c r="I4" s="1686"/>
      <c r="J4" s="765" t="s">
        <v>214</v>
      </c>
      <c r="K4" s="765" t="s">
        <v>215</v>
      </c>
      <c r="L4" s="765" t="s">
        <v>216</v>
      </c>
      <c r="M4" s="765" t="s">
        <v>211</v>
      </c>
      <c r="N4" s="765" t="s">
        <v>638</v>
      </c>
    </row>
    <row r="5" spans="1:15" ht="18.75" customHeight="1" x14ac:dyDescent="0.2">
      <c r="A5" s="17" t="s">
        <v>16</v>
      </c>
      <c r="B5" s="1183">
        <v>2892</v>
      </c>
      <c r="C5" s="1184">
        <v>461</v>
      </c>
      <c r="D5" s="1184">
        <v>877</v>
      </c>
      <c r="E5" s="1184">
        <v>2436</v>
      </c>
      <c r="F5" s="1184"/>
      <c r="G5" s="40">
        <f>SUM(B5:F5)</f>
        <v>6666</v>
      </c>
      <c r="H5" s="768"/>
      <c r="I5" s="17" t="s">
        <v>16</v>
      </c>
      <c r="J5" s="1380">
        <f>B5/G5*100</f>
        <v>43.384338433843382</v>
      </c>
      <c r="K5" s="1381">
        <f>C5/G5*100</f>
        <v>6.9156915691569161</v>
      </c>
      <c r="L5" s="1381">
        <f>D5/G5*100</f>
        <v>13.156315631563157</v>
      </c>
      <c r="M5" s="1381">
        <f>E5/G5*100</f>
        <v>36.543654365436545</v>
      </c>
      <c r="N5" s="1382">
        <f>F5/G5*100</f>
        <v>0</v>
      </c>
    </row>
    <row r="6" spans="1:15" ht="13.5" customHeight="1" thickBot="1" x14ac:dyDescent="0.25">
      <c r="A6" s="5" t="s">
        <v>18</v>
      </c>
      <c r="B6" s="1185">
        <v>3003</v>
      </c>
      <c r="C6" s="1186">
        <v>446</v>
      </c>
      <c r="D6" s="1186">
        <v>876</v>
      </c>
      <c r="E6" s="1186">
        <v>2379</v>
      </c>
      <c r="F6" s="1187">
        <v>1</v>
      </c>
      <c r="G6" s="9">
        <f t="shared" ref="G6:G15" si="0">SUM(B6:F6)</f>
        <v>6705</v>
      </c>
      <c r="H6" s="768"/>
      <c r="I6" s="5" t="s">
        <v>18</v>
      </c>
      <c r="J6" s="1383">
        <f t="shared" ref="J6:J12" si="1">B6/G6*100</f>
        <v>44.787472035794181</v>
      </c>
      <c r="K6" s="1384">
        <f t="shared" ref="K6:K12" si="2">C6/G6*100</f>
        <v>6.6517524235645036</v>
      </c>
      <c r="L6" s="1384">
        <f t="shared" ref="L6:L12" si="3">D6/G6*100</f>
        <v>13.064876957494405</v>
      </c>
      <c r="M6" s="1384">
        <f t="shared" ref="M6:M12" si="4">E6/G6*100</f>
        <v>35.480984340044742</v>
      </c>
      <c r="N6" s="1385">
        <f t="shared" ref="N6:N12" si="5">F6/G6*100</f>
        <v>1.4914243102162566E-2</v>
      </c>
    </row>
    <row r="7" spans="1:15" ht="13.5" customHeight="1" x14ac:dyDescent="0.2">
      <c r="A7" s="1181" t="s">
        <v>19</v>
      </c>
      <c r="B7" s="1188">
        <v>2525</v>
      </c>
      <c r="C7" s="1189">
        <v>485</v>
      </c>
      <c r="D7" s="1189">
        <v>846</v>
      </c>
      <c r="E7" s="1189">
        <v>2472</v>
      </c>
      <c r="F7" s="1190">
        <v>245</v>
      </c>
      <c r="G7" s="1127">
        <f t="shared" si="0"/>
        <v>6573</v>
      </c>
      <c r="H7" s="768"/>
      <c r="I7" s="1181" t="s">
        <v>19</v>
      </c>
      <c r="J7" s="1386">
        <f t="shared" si="1"/>
        <v>38.414726913129471</v>
      </c>
      <c r="K7" s="1387">
        <f t="shared" si="2"/>
        <v>7.3786703179674422</v>
      </c>
      <c r="L7" s="1387">
        <f t="shared" si="3"/>
        <v>12.870835235052489</v>
      </c>
      <c r="M7" s="1387">
        <f t="shared" si="4"/>
        <v>37.608397991784578</v>
      </c>
      <c r="N7" s="1388">
        <f t="shared" si="5"/>
        <v>3.727369542066028</v>
      </c>
    </row>
    <row r="8" spans="1:15" ht="13.5" customHeight="1" x14ac:dyDescent="0.2">
      <c r="A8" s="30" t="s">
        <v>20</v>
      </c>
      <c r="B8" s="1191">
        <v>2578</v>
      </c>
      <c r="C8" s="1192">
        <v>494</v>
      </c>
      <c r="D8" s="1192">
        <v>823</v>
      </c>
      <c r="E8" s="1192">
        <v>2261</v>
      </c>
      <c r="F8" s="1192">
        <v>144</v>
      </c>
      <c r="G8" s="9">
        <f t="shared" si="0"/>
        <v>6300</v>
      </c>
      <c r="H8" s="768"/>
      <c r="I8" s="30" t="s">
        <v>20</v>
      </c>
      <c r="J8" s="1383">
        <f t="shared" si="1"/>
        <v>40.920634920634917</v>
      </c>
      <c r="K8" s="1384">
        <f t="shared" si="2"/>
        <v>7.8412698412698409</v>
      </c>
      <c r="L8" s="1384">
        <f t="shared" si="3"/>
        <v>13.063492063492063</v>
      </c>
      <c r="M8" s="1384">
        <f t="shared" si="4"/>
        <v>35.888888888888886</v>
      </c>
      <c r="N8" s="1385">
        <f t="shared" si="5"/>
        <v>2.2857142857142856</v>
      </c>
    </row>
    <row r="9" spans="1:15" ht="13.5" customHeight="1" x14ac:dyDescent="0.2">
      <c r="A9" s="30" t="s">
        <v>13</v>
      </c>
      <c r="B9" s="1191">
        <v>2663</v>
      </c>
      <c r="C9" s="1192">
        <v>492</v>
      </c>
      <c r="D9" s="1192">
        <v>801</v>
      </c>
      <c r="E9" s="1192">
        <v>2079</v>
      </c>
      <c r="F9" s="1192">
        <v>125</v>
      </c>
      <c r="G9" s="9">
        <f t="shared" si="0"/>
        <v>6160</v>
      </c>
      <c r="H9" s="768"/>
      <c r="I9" s="30" t="s">
        <v>13</v>
      </c>
      <c r="J9" s="1383">
        <f t="shared" si="1"/>
        <v>43.230519480519483</v>
      </c>
      <c r="K9" s="1384">
        <f t="shared" si="2"/>
        <v>7.9870129870129869</v>
      </c>
      <c r="L9" s="1384">
        <f t="shared" si="3"/>
        <v>13.003246753246753</v>
      </c>
      <c r="M9" s="1384">
        <f t="shared" si="4"/>
        <v>33.75</v>
      </c>
      <c r="N9" s="1385">
        <f t="shared" si="5"/>
        <v>2.029220779220779</v>
      </c>
    </row>
    <row r="10" spans="1:15" ht="13.5" customHeight="1" x14ac:dyDescent="0.2">
      <c r="A10" s="30" t="s">
        <v>15</v>
      </c>
      <c r="B10" s="1191">
        <v>2641</v>
      </c>
      <c r="C10" s="1192">
        <v>483</v>
      </c>
      <c r="D10" s="1192">
        <v>807</v>
      </c>
      <c r="E10" s="1192">
        <v>1806</v>
      </c>
      <c r="F10" s="1192">
        <v>97</v>
      </c>
      <c r="G10" s="9">
        <f t="shared" si="0"/>
        <v>5834</v>
      </c>
      <c r="H10" s="768"/>
      <c r="I10" s="30" t="s">
        <v>15</v>
      </c>
      <c r="J10" s="1383">
        <f t="shared" si="1"/>
        <v>45.269112101474121</v>
      </c>
      <c r="K10" s="1384">
        <f t="shared" si="2"/>
        <v>8.2790538224202948</v>
      </c>
      <c r="L10" s="1384">
        <f t="shared" si="3"/>
        <v>13.832704833733287</v>
      </c>
      <c r="M10" s="1384">
        <f t="shared" si="4"/>
        <v>30.956462118615015</v>
      </c>
      <c r="N10" s="1385">
        <f t="shared" si="5"/>
        <v>1.662667123757285</v>
      </c>
    </row>
    <row r="11" spans="1:15" ht="13.5" customHeight="1" x14ac:dyDescent="0.2">
      <c r="A11" s="30" t="s">
        <v>17</v>
      </c>
      <c r="B11" s="1191">
        <v>2482</v>
      </c>
      <c r="C11" s="1192">
        <v>467</v>
      </c>
      <c r="D11" s="1192">
        <v>776</v>
      </c>
      <c r="E11" s="1192">
        <v>1528</v>
      </c>
      <c r="F11" s="1192">
        <v>81</v>
      </c>
      <c r="G11" s="9">
        <f t="shared" si="0"/>
        <v>5334</v>
      </c>
      <c r="H11" s="768"/>
      <c r="I11" s="30" t="s">
        <v>17</v>
      </c>
      <c r="J11" s="1383">
        <f t="shared" si="1"/>
        <v>46.531683539557555</v>
      </c>
      <c r="K11" s="1384">
        <f t="shared" si="2"/>
        <v>8.7551556055493052</v>
      </c>
      <c r="L11" s="1384">
        <f t="shared" si="3"/>
        <v>14.548181477315335</v>
      </c>
      <c r="M11" s="1384">
        <f t="shared" si="4"/>
        <v>28.646419197600299</v>
      </c>
      <c r="N11" s="1385">
        <f t="shared" si="5"/>
        <v>1.5185601799775028</v>
      </c>
    </row>
    <row r="12" spans="1:15" ht="13.5" customHeight="1" x14ac:dyDescent="0.2">
      <c r="A12" s="10" t="s">
        <v>147</v>
      </c>
      <c r="B12" s="1191">
        <v>2792</v>
      </c>
      <c r="C12" s="1192">
        <v>486</v>
      </c>
      <c r="D12" s="1192">
        <v>801</v>
      </c>
      <c r="E12" s="1192">
        <v>1418</v>
      </c>
      <c r="F12" s="1192">
        <v>85</v>
      </c>
      <c r="G12" s="9">
        <f t="shared" si="0"/>
        <v>5582</v>
      </c>
      <c r="H12" s="768"/>
      <c r="I12" s="10" t="s">
        <v>147</v>
      </c>
      <c r="J12" s="1383">
        <f t="shared" si="1"/>
        <v>50.017914725904689</v>
      </c>
      <c r="K12" s="1384">
        <f t="shared" si="2"/>
        <v>8.7065567896811178</v>
      </c>
      <c r="L12" s="1384">
        <f t="shared" si="3"/>
        <v>14.349695449659619</v>
      </c>
      <c r="M12" s="1384">
        <f t="shared" si="4"/>
        <v>25.40308133285561</v>
      </c>
      <c r="N12" s="1385">
        <f t="shared" si="5"/>
        <v>1.5227517018989609</v>
      </c>
    </row>
    <row r="13" spans="1:15" x14ac:dyDescent="0.2">
      <c r="A13" s="10" t="s">
        <v>160</v>
      </c>
      <c r="B13" s="1191">
        <f>'T19'!D11</f>
        <v>2859</v>
      </c>
      <c r="C13" s="1192">
        <f>'T19'!E11</f>
        <v>531</v>
      </c>
      <c r="D13" s="1192">
        <f>'T19'!F11</f>
        <v>779</v>
      </c>
      <c r="E13" s="1192">
        <f>'T19'!G11</f>
        <v>1425</v>
      </c>
      <c r="F13" s="1192">
        <f>'T19'!H11</f>
        <v>83</v>
      </c>
      <c r="G13" s="9">
        <f t="shared" si="0"/>
        <v>5677</v>
      </c>
      <c r="H13" s="768"/>
      <c r="I13" s="10" t="s">
        <v>160</v>
      </c>
      <c r="J13" s="1383">
        <f>B13/$G13*100</f>
        <v>50.361106218072926</v>
      </c>
      <c r="K13" s="1384">
        <f t="shared" ref="K13:N15" si="6">C13/$G13*100</f>
        <v>9.3535317949621284</v>
      </c>
      <c r="L13" s="1384">
        <f t="shared" si="6"/>
        <v>13.722036286771184</v>
      </c>
      <c r="M13" s="1384">
        <f t="shared" si="6"/>
        <v>25.101285890435086</v>
      </c>
      <c r="N13" s="1385">
        <f t="shared" si="6"/>
        <v>1.4620398097586755</v>
      </c>
    </row>
    <row r="14" spans="1:15" x14ac:dyDescent="0.2">
      <c r="A14" s="10" t="s">
        <v>379</v>
      </c>
      <c r="B14" s="1191">
        <f>'T19'!D12</f>
        <v>2955</v>
      </c>
      <c r="C14" s="1192">
        <f>'T19'!E12</f>
        <v>446</v>
      </c>
      <c r="D14" s="1192">
        <f>'T19'!F12</f>
        <v>675</v>
      </c>
      <c r="E14" s="1192">
        <f>'T19'!G12</f>
        <v>1396</v>
      </c>
      <c r="F14" s="1192">
        <f>'T19'!H12</f>
        <v>76</v>
      </c>
      <c r="G14" s="9">
        <f t="shared" si="0"/>
        <v>5548</v>
      </c>
      <c r="H14" s="768" t="s">
        <v>145</v>
      </c>
      <c r="I14" s="10" t="s">
        <v>379</v>
      </c>
      <c r="J14" s="1383">
        <f>B14/$G14*100</f>
        <v>53.262436914203313</v>
      </c>
      <c r="K14" s="1384">
        <f t="shared" si="6"/>
        <v>8.0389329488103822</v>
      </c>
      <c r="L14" s="1384">
        <f t="shared" si="6"/>
        <v>12.166546503244412</v>
      </c>
      <c r="M14" s="1384">
        <f t="shared" si="6"/>
        <v>25.162220620043257</v>
      </c>
      <c r="N14" s="1385">
        <f t="shared" si="6"/>
        <v>1.3698630136986301</v>
      </c>
      <c r="O14" t="s">
        <v>145</v>
      </c>
    </row>
    <row r="15" spans="1:15" x14ac:dyDescent="0.2">
      <c r="A15" s="1261" t="s">
        <v>603</v>
      </c>
      <c r="B15" s="1193">
        <f>'T19'!D13</f>
        <v>2764</v>
      </c>
      <c r="C15" s="1194">
        <f>'T19'!E13</f>
        <v>442</v>
      </c>
      <c r="D15" s="1194">
        <f>'T19'!F13</f>
        <v>698</v>
      </c>
      <c r="E15" s="1194">
        <f>'T19'!G13</f>
        <v>1310</v>
      </c>
      <c r="F15" s="1194">
        <f>'T19'!H13</f>
        <v>96</v>
      </c>
      <c r="G15" s="12">
        <f t="shared" si="0"/>
        <v>5310</v>
      </c>
      <c r="H15" s="768" t="s">
        <v>143</v>
      </c>
      <c r="I15" s="1261" t="s">
        <v>603</v>
      </c>
      <c r="J15" s="1389">
        <f>B15/$G15*100</f>
        <v>52.052730696798491</v>
      </c>
      <c r="K15" s="1390">
        <f t="shared" si="6"/>
        <v>8.3239171374764602</v>
      </c>
      <c r="L15" s="1390">
        <f t="shared" si="6"/>
        <v>13.145009416195858</v>
      </c>
      <c r="M15" s="1390">
        <f t="shared" si="6"/>
        <v>24.670433145009415</v>
      </c>
      <c r="N15" s="1391">
        <f t="shared" si="6"/>
        <v>1.807909604519774</v>
      </c>
      <c r="O15" t="s">
        <v>143</v>
      </c>
    </row>
    <row r="16" spans="1:15" x14ac:dyDescent="0.2">
      <c r="A16" s="1"/>
      <c r="B16" s="1"/>
      <c r="C16" s="1"/>
      <c r="D16" s="1"/>
      <c r="E16" s="1"/>
      <c r="F16" s="1"/>
      <c r="G16" s="1"/>
      <c r="H16" s="1"/>
      <c r="I16" s="1"/>
      <c r="J16" s="1"/>
      <c r="K16" s="1"/>
      <c r="L16" s="1"/>
      <c r="M16" s="1"/>
      <c r="N16" s="1"/>
      <c r="O16" s="72"/>
    </row>
    <row r="17" spans="1:15" ht="15" x14ac:dyDescent="0.25">
      <c r="A17" s="1"/>
      <c r="B17" s="1"/>
      <c r="C17" s="1"/>
      <c r="D17" s="1"/>
      <c r="E17" s="1"/>
      <c r="F17" s="1"/>
      <c r="G17" s="234" t="s">
        <v>0</v>
      </c>
      <c r="H17" s="1"/>
      <c r="I17" s="1"/>
      <c r="J17" s="1"/>
      <c r="K17" s="1"/>
      <c r="L17" s="1"/>
      <c r="M17" s="1"/>
      <c r="N17" s="145" t="s">
        <v>64</v>
      </c>
      <c r="O17" s="72"/>
    </row>
    <row r="18" spans="1:15" x14ac:dyDescent="0.2">
      <c r="A18" s="1679" t="s">
        <v>4</v>
      </c>
      <c r="B18" s="1661" t="s">
        <v>341</v>
      </c>
      <c r="C18" s="1677"/>
      <c r="D18" s="1677"/>
      <c r="E18" s="1677"/>
      <c r="F18" s="1662"/>
      <c r="G18" s="1637" t="s">
        <v>213</v>
      </c>
      <c r="H18" s="101"/>
      <c r="I18" s="1679" t="s">
        <v>4</v>
      </c>
      <c r="J18" s="1661" t="s">
        <v>341</v>
      </c>
      <c r="K18" s="1677"/>
      <c r="L18" s="1677"/>
      <c r="M18" s="1677"/>
      <c r="N18" s="1662"/>
      <c r="O18" s="72"/>
    </row>
    <row r="19" spans="1:15" ht="41.25" customHeight="1" x14ac:dyDescent="0.2">
      <c r="A19" s="1680"/>
      <c r="B19" s="102" t="s">
        <v>214</v>
      </c>
      <c r="C19" s="102" t="s">
        <v>215</v>
      </c>
      <c r="D19" s="102" t="s">
        <v>216</v>
      </c>
      <c r="E19" s="102" t="s">
        <v>211</v>
      </c>
      <c r="F19" s="102" t="s">
        <v>638</v>
      </c>
      <c r="G19" s="1644"/>
      <c r="H19" s="101"/>
      <c r="I19" s="1680"/>
      <c r="J19" s="765" t="s">
        <v>214</v>
      </c>
      <c r="K19" s="765" t="s">
        <v>215</v>
      </c>
      <c r="L19" s="765" t="s">
        <v>216</v>
      </c>
      <c r="M19" s="765" t="s">
        <v>211</v>
      </c>
      <c r="N19" s="765" t="s">
        <v>638</v>
      </c>
      <c r="O19" s="72"/>
    </row>
    <row r="20" spans="1:15" ht="18.75" customHeight="1" x14ac:dyDescent="0.2">
      <c r="A20" s="17" t="s">
        <v>16</v>
      </c>
      <c r="B20" s="1183">
        <v>11</v>
      </c>
      <c r="C20" s="1184">
        <v>8</v>
      </c>
      <c r="D20" s="1184">
        <v>14</v>
      </c>
      <c r="E20" s="1184">
        <v>25</v>
      </c>
      <c r="F20" s="1184">
        <v>0</v>
      </c>
      <c r="G20" s="1068">
        <f>SUM(B20:F20)</f>
        <v>58</v>
      </c>
      <c r="H20" s="612"/>
      <c r="I20" s="17" t="s">
        <v>16</v>
      </c>
      <c r="J20" s="1392">
        <f>B20/G20*100</f>
        <v>18.96551724137931</v>
      </c>
      <c r="K20" s="1393">
        <f>C20/G20*100</f>
        <v>13.793103448275861</v>
      </c>
      <c r="L20" s="1393">
        <f>D20/G20*100</f>
        <v>24.137931034482758</v>
      </c>
      <c r="M20" s="1393">
        <f>E20/G20*100</f>
        <v>43.103448275862064</v>
      </c>
      <c r="N20" s="1394">
        <f>F20/G20*100</f>
        <v>0</v>
      </c>
      <c r="O20" s="72"/>
    </row>
    <row r="21" spans="1:15" ht="13.5" customHeight="1" thickBot="1" x14ac:dyDescent="0.25">
      <c r="A21" s="5" t="s">
        <v>18</v>
      </c>
      <c r="B21" s="1185">
        <v>9</v>
      </c>
      <c r="C21" s="1186">
        <v>7</v>
      </c>
      <c r="D21" s="1186">
        <v>16</v>
      </c>
      <c r="E21" s="1186">
        <v>22</v>
      </c>
      <c r="F21" s="1187">
        <v>0</v>
      </c>
      <c r="G21" s="485">
        <f t="shared" ref="G21:G30" si="7">SUM(B21:F21)</f>
        <v>54</v>
      </c>
      <c r="H21" s="612"/>
      <c r="I21" s="5" t="s">
        <v>18</v>
      </c>
      <c r="J21" s="1395">
        <f t="shared" ref="J21:J27" si="8">B21/G21*100</f>
        <v>16.666666666666664</v>
      </c>
      <c r="K21" s="1396">
        <f t="shared" ref="K21:K27" si="9">C21/G21*100</f>
        <v>12.962962962962962</v>
      </c>
      <c r="L21" s="1396">
        <f t="shared" ref="L21:L27" si="10">D21/G21*100</f>
        <v>29.629629629629626</v>
      </c>
      <c r="M21" s="1396">
        <f t="shared" ref="M21:M27" si="11">E21/G21*100</f>
        <v>40.74074074074074</v>
      </c>
      <c r="N21" s="1397">
        <f t="shared" ref="N21:N27" si="12">F21/G21*100</f>
        <v>0</v>
      </c>
      <c r="O21" s="72"/>
    </row>
    <row r="22" spans="1:15" ht="13.5" customHeight="1" x14ac:dyDescent="0.2">
      <c r="A22" s="1181" t="s">
        <v>19</v>
      </c>
      <c r="B22" s="1188">
        <v>10</v>
      </c>
      <c r="C22" s="1189">
        <v>9</v>
      </c>
      <c r="D22" s="1189">
        <v>10</v>
      </c>
      <c r="E22" s="1189">
        <v>18</v>
      </c>
      <c r="F22" s="1190">
        <v>6</v>
      </c>
      <c r="G22" s="1182">
        <f t="shared" si="7"/>
        <v>53</v>
      </c>
      <c r="H22" s="612"/>
      <c r="I22" s="1181" t="s">
        <v>19</v>
      </c>
      <c r="J22" s="1398">
        <f t="shared" si="8"/>
        <v>18.867924528301888</v>
      </c>
      <c r="K22" s="1399">
        <f t="shared" si="9"/>
        <v>16.981132075471699</v>
      </c>
      <c r="L22" s="1399">
        <f t="shared" si="10"/>
        <v>18.867924528301888</v>
      </c>
      <c r="M22" s="1399">
        <f t="shared" si="11"/>
        <v>33.962264150943398</v>
      </c>
      <c r="N22" s="1400">
        <f t="shared" si="12"/>
        <v>11.320754716981133</v>
      </c>
      <c r="O22" s="72"/>
    </row>
    <row r="23" spans="1:15" ht="13.5" customHeight="1" x14ac:dyDescent="0.2">
      <c r="A23" s="30" t="s">
        <v>20</v>
      </c>
      <c r="B23" s="1191">
        <v>15</v>
      </c>
      <c r="C23" s="1192">
        <v>4</v>
      </c>
      <c r="D23" s="1192">
        <v>8</v>
      </c>
      <c r="E23" s="1192">
        <v>8</v>
      </c>
      <c r="F23" s="1192">
        <v>10</v>
      </c>
      <c r="G23" s="509">
        <f t="shared" si="7"/>
        <v>45</v>
      </c>
      <c r="H23" s="612"/>
      <c r="I23" s="30" t="s">
        <v>20</v>
      </c>
      <c r="J23" s="1398">
        <f t="shared" si="8"/>
        <v>33.333333333333329</v>
      </c>
      <c r="K23" s="1399">
        <f t="shared" si="9"/>
        <v>8.8888888888888893</v>
      </c>
      <c r="L23" s="1399">
        <f t="shared" si="10"/>
        <v>17.777777777777779</v>
      </c>
      <c r="M23" s="1399">
        <f t="shared" si="11"/>
        <v>17.777777777777779</v>
      </c>
      <c r="N23" s="1400">
        <f t="shared" si="12"/>
        <v>22.222222222222221</v>
      </c>
      <c r="O23" s="72"/>
    </row>
    <row r="24" spans="1:15" ht="13.5" customHeight="1" x14ac:dyDescent="0.2">
      <c r="A24" s="30" t="s">
        <v>13</v>
      </c>
      <c r="B24" s="1191">
        <v>13</v>
      </c>
      <c r="C24" s="1192">
        <v>11</v>
      </c>
      <c r="D24" s="1192">
        <v>12</v>
      </c>
      <c r="E24" s="1192">
        <v>10</v>
      </c>
      <c r="F24" s="1192">
        <v>5</v>
      </c>
      <c r="G24" s="509">
        <f t="shared" si="7"/>
        <v>51</v>
      </c>
      <c r="H24" s="612"/>
      <c r="I24" s="30" t="s">
        <v>13</v>
      </c>
      <c r="J24" s="1398">
        <f t="shared" si="8"/>
        <v>25.490196078431371</v>
      </c>
      <c r="K24" s="1399">
        <f t="shared" si="9"/>
        <v>21.568627450980394</v>
      </c>
      <c r="L24" s="1399">
        <f t="shared" si="10"/>
        <v>23.52941176470588</v>
      </c>
      <c r="M24" s="1399">
        <f t="shared" si="11"/>
        <v>19.607843137254903</v>
      </c>
      <c r="N24" s="1400">
        <f t="shared" si="12"/>
        <v>9.8039215686274517</v>
      </c>
      <c r="O24" s="72"/>
    </row>
    <row r="25" spans="1:15" ht="13.5" customHeight="1" x14ac:dyDescent="0.2">
      <c r="A25" s="30" t="s">
        <v>15</v>
      </c>
      <c r="B25" s="1191">
        <v>11</v>
      </c>
      <c r="C25" s="1192">
        <v>7</v>
      </c>
      <c r="D25" s="1192">
        <v>7</v>
      </c>
      <c r="E25" s="1192">
        <v>13</v>
      </c>
      <c r="F25" s="1192">
        <v>2</v>
      </c>
      <c r="G25" s="509">
        <f t="shared" si="7"/>
        <v>40</v>
      </c>
      <c r="H25" s="612"/>
      <c r="I25" s="30" t="s">
        <v>15</v>
      </c>
      <c r="J25" s="1398">
        <f t="shared" si="8"/>
        <v>27.500000000000004</v>
      </c>
      <c r="K25" s="1399">
        <f t="shared" si="9"/>
        <v>17.5</v>
      </c>
      <c r="L25" s="1399">
        <f t="shared" si="10"/>
        <v>17.5</v>
      </c>
      <c r="M25" s="1399">
        <f t="shared" si="11"/>
        <v>32.5</v>
      </c>
      <c r="N25" s="1400">
        <f t="shared" si="12"/>
        <v>5</v>
      </c>
      <c r="O25" s="72"/>
    </row>
    <row r="26" spans="1:15" ht="13.5" customHeight="1" x14ac:dyDescent="0.2">
      <c r="A26" s="30" t="s">
        <v>17</v>
      </c>
      <c r="B26" s="1191">
        <v>9</v>
      </c>
      <c r="C26" s="1192">
        <v>7</v>
      </c>
      <c r="D26" s="1192">
        <v>9</v>
      </c>
      <c r="E26" s="1192">
        <v>4</v>
      </c>
      <c r="F26" s="1192">
        <v>0</v>
      </c>
      <c r="G26" s="509">
        <f t="shared" si="7"/>
        <v>29</v>
      </c>
      <c r="H26" s="612"/>
      <c r="I26" s="30" t="s">
        <v>17</v>
      </c>
      <c r="J26" s="1398">
        <f t="shared" si="8"/>
        <v>31.03448275862069</v>
      </c>
      <c r="K26" s="1399">
        <f t="shared" si="9"/>
        <v>24.137931034482758</v>
      </c>
      <c r="L26" s="1399">
        <f t="shared" si="10"/>
        <v>31.03448275862069</v>
      </c>
      <c r="M26" s="1399">
        <f t="shared" si="11"/>
        <v>13.793103448275861</v>
      </c>
      <c r="N26" s="1400">
        <f t="shared" si="12"/>
        <v>0</v>
      </c>
      <c r="O26" s="72"/>
    </row>
    <row r="27" spans="1:15" s="1" customFormat="1" ht="13.5" customHeight="1" x14ac:dyDescent="0.2">
      <c r="A27" s="30" t="s">
        <v>147</v>
      </c>
      <c r="B27" s="1185">
        <v>12</v>
      </c>
      <c r="C27" s="1186">
        <v>6</v>
      </c>
      <c r="D27" s="1186">
        <v>6</v>
      </c>
      <c r="E27" s="1186">
        <v>3</v>
      </c>
      <c r="F27" s="1186">
        <v>4</v>
      </c>
      <c r="G27" s="509">
        <f t="shared" si="7"/>
        <v>31</v>
      </c>
      <c r="H27" s="177" t="s">
        <v>145</v>
      </c>
      <c r="I27" s="30" t="s">
        <v>147</v>
      </c>
      <c r="J27" s="1398">
        <f t="shared" si="8"/>
        <v>38.70967741935484</v>
      </c>
      <c r="K27" s="1399">
        <f t="shared" si="9"/>
        <v>19.35483870967742</v>
      </c>
      <c r="L27" s="1399">
        <f t="shared" si="10"/>
        <v>19.35483870967742</v>
      </c>
      <c r="M27" s="1399">
        <f t="shared" si="11"/>
        <v>9.67741935483871</v>
      </c>
      <c r="N27" s="1400">
        <f t="shared" si="12"/>
        <v>12.903225806451612</v>
      </c>
      <c r="O27" s="72"/>
    </row>
    <row r="28" spans="1:15" ht="13.5" customHeight="1" x14ac:dyDescent="0.2">
      <c r="A28" s="30" t="s">
        <v>160</v>
      </c>
      <c r="B28" s="1191">
        <f>'T19'!D5</f>
        <v>6</v>
      </c>
      <c r="C28" s="1192">
        <f>'T19'!E5</f>
        <v>10</v>
      </c>
      <c r="D28" s="1192">
        <f>'T19'!F5</f>
        <v>5</v>
      </c>
      <c r="E28" s="1192">
        <f>'T19'!G5</f>
        <v>14</v>
      </c>
      <c r="F28" s="1192">
        <f>'T19'!H5</f>
        <v>4</v>
      </c>
      <c r="G28" s="509">
        <f t="shared" si="7"/>
        <v>39</v>
      </c>
      <c r="H28" s="612"/>
      <c r="I28" s="30" t="s">
        <v>160</v>
      </c>
      <c r="J28" s="1398">
        <f>B28/$G28*100</f>
        <v>15.384615384615385</v>
      </c>
      <c r="K28" s="1399">
        <f t="shared" ref="K28:N30" si="13">C28/$G28*100</f>
        <v>25.641025641025639</v>
      </c>
      <c r="L28" s="1399">
        <f t="shared" si="13"/>
        <v>12.820512820512819</v>
      </c>
      <c r="M28" s="1399">
        <f t="shared" si="13"/>
        <v>35.897435897435898</v>
      </c>
      <c r="N28" s="1400">
        <f t="shared" si="13"/>
        <v>10.256410256410255</v>
      </c>
      <c r="O28" s="72"/>
    </row>
    <row r="29" spans="1:15" ht="13.5" customHeight="1" x14ac:dyDescent="0.2">
      <c r="A29" s="30" t="s">
        <v>379</v>
      </c>
      <c r="B29" s="1191">
        <f>'T19'!D6</f>
        <v>8</v>
      </c>
      <c r="C29" s="1192">
        <f>'T19'!E6</f>
        <v>7</v>
      </c>
      <c r="D29" s="1192">
        <f>'T19'!F6</f>
        <v>8</v>
      </c>
      <c r="E29" s="1192">
        <f>'T19'!G6</f>
        <v>6</v>
      </c>
      <c r="F29" s="1192">
        <f>'T19'!H6</f>
        <v>7</v>
      </c>
      <c r="G29" s="509">
        <f t="shared" si="7"/>
        <v>36</v>
      </c>
      <c r="H29" s="612" t="s">
        <v>145</v>
      </c>
      <c r="I29" s="30" t="s">
        <v>379</v>
      </c>
      <c r="J29" s="1398">
        <f t="shared" ref="J29:J30" si="14">B29/$G29*100</f>
        <v>22.222222222222221</v>
      </c>
      <c r="K29" s="1399">
        <f t="shared" si="13"/>
        <v>19.444444444444446</v>
      </c>
      <c r="L29" s="1399">
        <f t="shared" si="13"/>
        <v>22.222222222222221</v>
      </c>
      <c r="M29" s="1399">
        <f t="shared" si="13"/>
        <v>16.666666666666664</v>
      </c>
      <c r="N29" s="1400">
        <f>F29/$G29*100</f>
        <v>19.444444444444446</v>
      </c>
      <c r="O29" s="72" t="s">
        <v>145</v>
      </c>
    </row>
    <row r="30" spans="1:15" ht="13.5" customHeight="1" x14ac:dyDescent="0.2">
      <c r="A30" s="1261" t="s">
        <v>603</v>
      </c>
      <c r="B30" s="1193">
        <f>'T19'!D7</f>
        <v>12</v>
      </c>
      <c r="C30" s="1194">
        <f>'T19'!E7</f>
        <v>8</v>
      </c>
      <c r="D30" s="1194">
        <f>'T19'!F7</f>
        <v>8</v>
      </c>
      <c r="E30" s="1194">
        <f>'T19'!G7</f>
        <v>6</v>
      </c>
      <c r="F30" s="1194">
        <f>'T19'!H7</f>
        <v>3</v>
      </c>
      <c r="G30" s="486">
        <f t="shared" si="7"/>
        <v>37</v>
      </c>
      <c r="H30" s="612" t="s">
        <v>143</v>
      </c>
      <c r="I30" s="1261" t="s">
        <v>603</v>
      </c>
      <c r="J30" s="1401">
        <f t="shared" si="14"/>
        <v>32.432432432432435</v>
      </c>
      <c r="K30" s="1402">
        <f t="shared" si="13"/>
        <v>21.621621621621621</v>
      </c>
      <c r="L30" s="1402">
        <f t="shared" si="13"/>
        <v>21.621621621621621</v>
      </c>
      <c r="M30" s="1402">
        <f t="shared" si="13"/>
        <v>16.216216216216218</v>
      </c>
      <c r="N30" s="1403">
        <f>F30/$G30*100</f>
        <v>8.1081081081081088</v>
      </c>
      <c r="O30" s="72" t="s">
        <v>143</v>
      </c>
    </row>
    <row r="31" spans="1:15" x14ac:dyDescent="0.2">
      <c r="A31" s="1"/>
      <c r="B31" s="39"/>
      <c r="C31" s="1"/>
      <c r="D31" s="1"/>
      <c r="E31" s="1"/>
      <c r="F31" s="1"/>
      <c r="G31" s="1"/>
      <c r="H31" s="1"/>
      <c r="I31" s="1"/>
      <c r="J31" s="1"/>
      <c r="K31" s="1"/>
      <c r="L31" s="1"/>
      <c r="M31" s="1"/>
      <c r="N31" s="1"/>
      <c r="O31" s="72"/>
    </row>
    <row r="32" spans="1:15" ht="15" x14ac:dyDescent="0.25">
      <c r="A32" s="1"/>
      <c r="B32" s="1"/>
      <c r="C32" s="1"/>
      <c r="D32" s="1"/>
      <c r="E32" s="1"/>
      <c r="F32" s="1"/>
      <c r="G32" s="234" t="s">
        <v>0</v>
      </c>
      <c r="H32" s="1"/>
      <c r="I32" s="1"/>
      <c r="J32" s="1"/>
      <c r="K32" s="1"/>
      <c r="L32" s="1"/>
      <c r="M32" s="1"/>
      <c r="N32" s="145" t="s">
        <v>64</v>
      </c>
      <c r="O32" s="72"/>
    </row>
    <row r="33" spans="1:15" ht="15" customHeight="1" x14ac:dyDescent="0.2">
      <c r="A33" s="1679" t="s">
        <v>4</v>
      </c>
      <c r="B33" s="1661" t="s">
        <v>342</v>
      </c>
      <c r="C33" s="1677"/>
      <c r="D33" s="1677"/>
      <c r="E33" s="1677"/>
      <c r="F33" s="1662"/>
      <c r="G33" s="1637" t="s">
        <v>195</v>
      </c>
      <c r="H33" s="101"/>
      <c r="I33" s="1679" t="s">
        <v>4</v>
      </c>
      <c r="J33" s="1661" t="s">
        <v>342</v>
      </c>
      <c r="K33" s="1677"/>
      <c r="L33" s="1677"/>
      <c r="M33" s="1677"/>
      <c r="N33" s="1662"/>
      <c r="O33" s="72"/>
    </row>
    <row r="34" spans="1:15" ht="41.25" customHeight="1" x14ac:dyDescent="0.2">
      <c r="A34" s="1680"/>
      <c r="B34" s="102" t="s">
        <v>214</v>
      </c>
      <c r="C34" s="102" t="s">
        <v>215</v>
      </c>
      <c r="D34" s="102" t="s">
        <v>216</v>
      </c>
      <c r="E34" s="102" t="s">
        <v>211</v>
      </c>
      <c r="F34" s="102" t="s">
        <v>638</v>
      </c>
      <c r="G34" s="1644"/>
      <c r="H34" s="101"/>
      <c r="I34" s="1680"/>
      <c r="J34" s="765" t="s">
        <v>214</v>
      </c>
      <c r="K34" s="765" t="s">
        <v>215</v>
      </c>
      <c r="L34" s="765" t="s">
        <v>216</v>
      </c>
      <c r="M34" s="765" t="s">
        <v>211</v>
      </c>
      <c r="N34" s="765" t="s">
        <v>638</v>
      </c>
      <c r="O34" s="72"/>
    </row>
    <row r="35" spans="1:15" ht="18.75" customHeight="1" x14ac:dyDescent="0.2">
      <c r="A35" s="17" t="s">
        <v>16</v>
      </c>
      <c r="B35" s="1183">
        <v>661</v>
      </c>
      <c r="C35" s="1184">
        <v>112</v>
      </c>
      <c r="D35" s="1184">
        <v>271</v>
      </c>
      <c r="E35" s="1184">
        <v>493</v>
      </c>
      <c r="F35" s="1195">
        <v>0</v>
      </c>
      <c r="G35" s="40">
        <f>SUM(B35:F35)</f>
        <v>1537</v>
      </c>
      <c r="H35" s="768"/>
      <c r="I35" s="17" t="s">
        <v>16</v>
      </c>
      <c r="J35" s="1392">
        <f>B35/G35*100</f>
        <v>43.005855562784646</v>
      </c>
      <c r="K35" s="1393">
        <f>C35/G35*100</f>
        <v>7.2869225764476253</v>
      </c>
      <c r="L35" s="1393">
        <f>D35/G35*100</f>
        <v>17.631750162654523</v>
      </c>
      <c r="M35" s="1393">
        <f>E35/G35*100</f>
        <v>32.075471698113205</v>
      </c>
      <c r="N35" s="1394">
        <f>F35/G35*100</f>
        <v>0</v>
      </c>
      <c r="O35" s="72"/>
    </row>
    <row r="36" spans="1:15" ht="13.5" customHeight="1" thickBot="1" x14ac:dyDescent="0.25">
      <c r="A36" s="5" t="s">
        <v>18</v>
      </c>
      <c r="B36" s="1196">
        <v>647</v>
      </c>
      <c r="C36" s="1197">
        <v>123</v>
      </c>
      <c r="D36" s="1197">
        <v>221</v>
      </c>
      <c r="E36" s="1197">
        <v>464</v>
      </c>
      <c r="F36" s="1197">
        <v>2</v>
      </c>
      <c r="G36" s="1092">
        <f t="shared" ref="G36:G45" si="15">SUM(B36:F36)</f>
        <v>1457</v>
      </c>
      <c r="H36" s="768"/>
      <c r="I36" s="5" t="s">
        <v>18</v>
      </c>
      <c r="J36" s="1404">
        <f t="shared" ref="J36:J42" si="16">B36/G36*100</f>
        <v>44.406314344543588</v>
      </c>
      <c r="K36" s="1405">
        <f t="shared" ref="K36:K42" si="17">C36/G36*100</f>
        <v>8.4420041180507894</v>
      </c>
      <c r="L36" s="1405">
        <f t="shared" ref="L36:L42" si="18">D36/G36*100</f>
        <v>15.168153740562801</v>
      </c>
      <c r="M36" s="1405">
        <f t="shared" ref="M36:M42" si="19">E36/G36*100</f>
        <v>31.846259437199727</v>
      </c>
      <c r="N36" s="1406">
        <f t="shared" ref="N36:N42" si="20">F36/G36*100</f>
        <v>0.13726835964310227</v>
      </c>
      <c r="O36" s="72"/>
    </row>
    <row r="37" spans="1:15" ht="13.5" customHeight="1" x14ac:dyDescent="0.2">
      <c r="A37" s="30" t="s">
        <v>19</v>
      </c>
      <c r="B37" s="1191">
        <v>414</v>
      </c>
      <c r="C37" s="1192">
        <v>123</v>
      </c>
      <c r="D37" s="1192">
        <v>152</v>
      </c>
      <c r="E37" s="1192">
        <v>302</v>
      </c>
      <c r="F37" s="1192">
        <v>33</v>
      </c>
      <c r="G37" s="964">
        <f t="shared" si="15"/>
        <v>1024</v>
      </c>
      <c r="H37" s="768"/>
      <c r="I37" s="30" t="s">
        <v>19</v>
      </c>
      <c r="J37" s="1398">
        <f t="shared" si="16"/>
        <v>40.4296875</v>
      </c>
      <c r="K37" s="1399">
        <f t="shared" si="17"/>
        <v>12.01171875</v>
      </c>
      <c r="L37" s="1399">
        <f t="shared" si="18"/>
        <v>14.84375</v>
      </c>
      <c r="M37" s="1399">
        <f t="shared" si="19"/>
        <v>29.4921875</v>
      </c>
      <c r="N37" s="1407">
        <f t="shared" si="20"/>
        <v>3.22265625</v>
      </c>
      <c r="O37" s="72"/>
    </row>
    <row r="38" spans="1:15" ht="13.5" customHeight="1" x14ac:dyDescent="0.2">
      <c r="A38" s="30" t="s">
        <v>20</v>
      </c>
      <c r="B38" s="1191">
        <v>494</v>
      </c>
      <c r="C38" s="1192">
        <v>106</v>
      </c>
      <c r="D38" s="1192">
        <v>155</v>
      </c>
      <c r="E38" s="1192">
        <v>362</v>
      </c>
      <c r="F38" s="1192">
        <v>25</v>
      </c>
      <c r="G38" s="9">
        <f t="shared" si="15"/>
        <v>1142</v>
      </c>
      <c r="H38" s="768"/>
      <c r="I38" s="30" t="s">
        <v>20</v>
      </c>
      <c r="J38" s="1398">
        <f t="shared" si="16"/>
        <v>43.257443082311738</v>
      </c>
      <c r="K38" s="1399">
        <f t="shared" si="17"/>
        <v>9.281961471103326</v>
      </c>
      <c r="L38" s="1399">
        <f t="shared" si="18"/>
        <v>13.572679509632223</v>
      </c>
      <c r="M38" s="1399">
        <f t="shared" si="19"/>
        <v>31.698774080560423</v>
      </c>
      <c r="N38" s="1400">
        <f t="shared" si="20"/>
        <v>2.1891418563922942</v>
      </c>
      <c r="O38" s="72"/>
    </row>
    <row r="39" spans="1:15" ht="13.5" customHeight="1" x14ac:dyDescent="0.2">
      <c r="A39" s="30" t="s">
        <v>13</v>
      </c>
      <c r="B39" s="1191">
        <v>521</v>
      </c>
      <c r="C39" s="1192">
        <v>143</v>
      </c>
      <c r="D39" s="1192">
        <v>144</v>
      </c>
      <c r="E39" s="1192">
        <v>380</v>
      </c>
      <c r="F39" s="1192">
        <v>33</v>
      </c>
      <c r="G39" s="9">
        <f t="shared" si="15"/>
        <v>1221</v>
      </c>
      <c r="H39" s="768"/>
      <c r="I39" s="30" t="s">
        <v>13</v>
      </c>
      <c r="J39" s="1398">
        <f t="shared" si="16"/>
        <v>42.669942669942671</v>
      </c>
      <c r="K39" s="1399">
        <f t="shared" si="17"/>
        <v>11.711711711711711</v>
      </c>
      <c r="L39" s="1399">
        <f t="shared" si="18"/>
        <v>11.793611793611793</v>
      </c>
      <c r="M39" s="1399">
        <f t="shared" si="19"/>
        <v>31.122031122031125</v>
      </c>
      <c r="N39" s="1400">
        <f t="shared" si="20"/>
        <v>2.7027027027027026</v>
      </c>
      <c r="O39" s="72"/>
    </row>
    <row r="40" spans="1:15" ht="13.5" customHeight="1" x14ac:dyDescent="0.2">
      <c r="A40" s="30" t="s">
        <v>15</v>
      </c>
      <c r="B40" s="1191">
        <v>540</v>
      </c>
      <c r="C40" s="1192">
        <v>138</v>
      </c>
      <c r="D40" s="1192">
        <v>145</v>
      </c>
      <c r="E40" s="1192">
        <v>305</v>
      </c>
      <c r="F40" s="1192">
        <v>38</v>
      </c>
      <c r="G40" s="9">
        <f t="shared" si="15"/>
        <v>1166</v>
      </c>
      <c r="H40" s="768"/>
      <c r="I40" s="30" t="s">
        <v>15</v>
      </c>
      <c r="J40" s="1398">
        <f t="shared" si="16"/>
        <v>46.312178387650086</v>
      </c>
      <c r="K40" s="1399">
        <f t="shared" si="17"/>
        <v>11.83533447684391</v>
      </c>
      <c r="L40" s="1399">
        <f t="shared" si="18"/>
        <v>12.435677530017152</v>
      </c>
      <c r="M40" s="1399">
        <f t="shared" si="19"/>
        <v>26.157804459691253</v>
      </c>
      <c r="N40" s="1400">
        <f t="shared" si="20"/>
        <v>3.2590051457975986</v>
      </c>
      <c r="O40" s="72"/>
    </row>
    <row r="41" spans="1:15" ht="13.5" customHeight="1" x14ac:dyDescent="0.2">
      <c r="A41" s="30" t="s">
        <v>17</v>
      </c>
      <c r="B41" s="1191">
        <v>532</v>
      </c>
      <c r="C41" s="1192">
        <v>129</v>
      </c>
      <c r="D41" s="1192">
        <v>125</v>
      </c>
      <c r="E41" s="1192">
        <v>329</v>
      </c>
      <c r="F41" s="1192">
        <v>25</v>
      </c>
      <c r="G41" s="9">
        <f t="shared" si="15"/>
        <v>1140</v>
      </c>
      <c r="H41" s="768"/>
      <c r="I41" s="30" t="s">
        <v>17</v>
      </c>
      <c r="J41" s="1398">
        <f t="shared" si="16"/>
        <v>46.666666666666664</v>
      </c>
      <c r="K41" s="1399">
        <f t="shared" si="17"/>
        <v>11.315789473684211</v>
      </c>
      <c r="L41" s="1399">
        <f t="shared" si="18"/>
        <v>10.964912280701753</v>
      </c>
      <c r="M41" s="1399">
        <f t="shared" si="19"/>
        <v>28.859649122807017</v>
      </c>
      <c r="N41" s="1400">
        <f t="shared" si="20"/>
        <v>2.1929824561403506</v>
      </c>
      <c r="O41" s="72"/>
    </row>
    <row r="42" spans="1:15" ht="13.5" customHeight="1" x14ac:dyDescent="0.2">
      <c r="A42" s="30" t="s">
        <v>147</v>
      </c>
      <c r="B42" s="1191">
        <v>489</v>
      </c>
      <c r="C42" s="1192">
        <v>110</v>
      </c>
      <c r="D42" s="1192">
        <v>110</v>
      </c>
      <c r="E42" s="1192">
        <v>224</v>
      </c>
      <c r="F42" s="1192">
        <v>16</v>
      </c>
      <c r="G42" s="9">
        <f t="shared" si="15"/>
        <v>949</v>
      </c>
      <c r="H42" s="768"/>
      <c r="I42" s="30" t="s">
        <v>147</v>
      </c>
      <c r="J42" s="1398">
        <f t="shared" si="16"/>
        <v>51.527924130663862</v>
      </c>
      <c r="K42" s="1399">
        <f t="shared" si="17"/>
        <v>11.591148577449948</v>
      </c>
      <c r="L42" s="1399">
        <f t="shared" si="18"/>
        <v>11.591148577449948</v>
      </c>
      <c r="M42" s="1399">
        <f t="shared" si="19"/>
        <v>23.603793466807165</v>
      </c>
      <c r="N42" s="1400">
        <f t="shared" si="20"/>
        <v>1.6859852476290831</v>
      </c>
      <c r="O42" s="72"/>
    </row>
    <row r="43" spans="1:15" ht="13.5" customHeight="1" x14ac:dyDescent="0.2">
      <c r="A43" s="244" t="s">
        <v>160</v>
      </c>
      <c r="B43" s="1191">
        <f>'T19'!D8</f>
        <v>491</v>
      </c>
      <c r="C43" s="1192">
        <f>'T19'!E8</f>
        <v>131</v>
      </c>
      <c r="D43" s="1192">
        <f>'T19'!F8</f>
        <v>124</v>
      </c>
      <c r="E43" s="1192">
        <f>'T19'!G8</f>
        <v>274</v>
      </c>
      <c r="F43" s="1192">
        <f>'T19'!H8</f>
        <v>43</v>
      </c>
      <c r="G43" s="9">
        <f t="shared" si="15"/>
        <v>1063</v>
      </c>
      <c r="H43" s="768"/>
      <c r="I43" s="244" t="s">
        <v>160</v>
      </c>
      <c r="J43" s="1398">
        <f>B43/$G43*100</f>
        <v>46.190028222013169</v>
      </c>
      <c r="K43" s="1399">
        <f t="shared" ref="K43:N45" si="21">C43/$G43*100</f>
        <v>12.323612417685794</v>
      </c>
      <c r="L43" s="1399">
        <f t="shared" si="21"/>
        <v>11.665098777046095</v>
      </c>
      <c r="M43" s="1399">
        <f t="shared" si="21"/>
        <v>25.776105362182498</v>
      </c>
      <c r="N43" s="1400">
        <f t="shared" si="21"/>
        <v>4.0451552210724362</v>
      </c>
      <c r="O43" s="72"/>
    </row>
    <row r="44" spans="1:15" ht="13.5" customHeight="1" x14ac:dyDescent="0.2">
      <c r="A44" s="244" t="s">
        <v>379</v>
      </c>
      <c r="B44" s="1191">
        <f>'T19'!D9</f>
        <v>581</v>
      </c>
      <c r="C44" s="1192">
        <f>'T19'!E9</f>
        <v>149</v>
      </c>
      <c r="D44" s="1192">
        <f>'T19'!F9</f>
        <v>114</v>
      </c>
      <c r="E44" s="1192">
        <f>'T19'!G9</f>
        <v>262</v>
      </c>
      <c r="F44" s="1192">
        <f>'T19'!H9</f>
        <v>9</v>
      </c>
      <c r="G44" s="9">
        <f t="shared" si="15"/>
        <v>1115</v>
      </c>
      <c r="H44" s="768" t="s">
        <v>145</v>
      </c>
      <c r="I44" s="244" t="s">
        <v>379</v>
      </c>
      <c r="J44" s="1398">
        <f t="shared" ref="J44:J45" si="22">B44/$G44*100</f>
        <v>52.107623318385656</v>
      </c>
      <c r="K44" s="1399">
        <f t="shared" si="21"/>
        <v>13.363228699551568</v>
      </c>
      <c r="L44" s="1399">
        <f t="shared" si="21"/>
        <v>10.224215246636771</v>
      </c>
      <c r="M44" s="1399">
        <f t="shared" si="21"/>
        <v>23.497757847533631</v>
      </c>
      <c r="N44" s="1400">
        <f t="shared" si="21"/>
        <v>0.80717488789237668</v>
      </c>
      <c r="O44" s="72" t="s">
        <v>145</v>
      </c>
    </row>
    <row r="45" spans="1:15" ht="13.5" customHeight="1" x14ac:dyDescent="0.2">
      <c r="A45" s="470" t="s">
        <v>603</v>
      </c>
      <c r="B45" s="1198">
        <f>'T19'!D10</f>
        <v>501</v>
      </c>
      <c r="C45" s="1199">
        <f>'T19'!E10</f>
        <v>111</v>
      </c>
      <c r="D45" s="1199">
        <f>'T19'!F10</f>
        <v>77</v>
      </c>
      <c r="E45" s="1199">
        <f>'T19'!G10</f>
        <v>211</v>
      </c>
      <c r="F45" s="1199">
        <f>'T19'!H10</f>
        <v>21</v>
      </c>
      <c r="G45" s="12">
        <f t="shared" si="15"/>
        <v>921</v>
      </c>
      <c r="H45" s="768" t="s">
        <v>143</v>
      </c>
      <c r="I45" s="470" t="s">
        <v>603</v>
      </c>
      <c r="J45" s="1401">
        <f t="shared" si="22"/>
        <v>54.397394136807819</v>
      </c>
      <c r="K45" s="1402">
        <f t="shared" si="21"/>
        <v>12.052117263843648</v>
      </c>
      <c r="L45" s="1402">
        <f t="shared" si="21"/>
        <v>8.3604777415852336</v>
      </c>
      <c r="M45" s="1402">
        <f t="shared" si="21"/>
        <v>22.909880564603689</v>
      </c>
      <c r="N45" s="1403">
        <f t="shared" si="21"/>
        <v>2.2801302931596092</v>
      </c>
      <c r="O45" s="72" t="s">
        <v>143</v>
      </c>
    </row>
    <row r="46" spans="1:15" x14ac:dyDescent="0.2">
      <c r="A46" s="1"/>
      <c r="B46" s="1"/>
      <c r="C46" s="1"/>
      <c r="D46" s="1"/>
      <c r="E46" s="1"/>
      <c r="F46" s="1"/>
      <c r="G46" s="1"/>
      <c r="H46" s="1"/>
      <c r="I46" s="1"/>
      <c r="J46" s="1"/>
      <c r="K46" s="1"/>
      <c r="L46" s="1"/>
      <c r="M46" s="1"/>
      <c r="N46" s="1"/>
      <c r="O46" s="596"/>
    </row>
    <row r="47" spans="1:15" x14ac:dyDescent="0.2">
      <c r="A47" s="2" t="s">
        <v>162</v>
      </c>
      <c r="B47" s="1"/>
      <c r="C47" s="1"/>
      <c r="D47" s="1"/>
      <c r="E47" s="1"/>
      <c r="F47" s="1"/>
      <c r="G47" s="1"/>
      <c r="H47" s="1"/>
      <c r="I47" s="1"/>
      <c r="J47" s="1"/>
      <c r="K47" s="1"/>
      <c r="L47" s="1"/>
      <c r="M47" s="1"/>
      <c r="N47" s="1"/>
      <c r="O47" s="1"/>
    </row>
    <row r="48" spans="1:15" x14ac:dyDescent="0.2">
      <c r="A48" s="71" t="s">
        <v>967</v>
      </c>
      <c r="B48" s="1"/>
      <c r="C48" s="1"/>
      <c r="D48" s="1"/>
      <c r="E48" s="1"/>
      <c r="F48" s="1"/>
      <c r="G48" s="1"/>
      <c r="H48" s="1"/>
      <c r="I48" s="1"/>
      <c r="J48" s="1"/>
      <c r="K48" s="1"/>
      <c r="L48" s="1"/>
      <c r="M48" s="1"/>
      <c r="N48" s="1"/>
      <c r="O48" s="1"/>
    </row>
    <row r="49" spans="1:17" x14ac:dyDescent="0.2">
      <c r="A49" s="71" t="s">
        <v>968</v>
      </c>
      <c r="B49" s="1"/>
      <c r="C49" s="1"/>
      <c r="D49" s="1"/>
      <c r="E49" s="1"/>
      <c r="F49" s="1"/>
      <c r="G49" s="1"/>
      <c r="H49" s="1"/>
      <c r="I49" s="1"/>
      <c r="J49" s="1"/>
      <c r="K49" s="1"/>
      <c r="L49" s="1"/>
      <c r="M49" s="1"/>
      <c r="N49" s="1"/>
      <c r="O49" s="1"/>
    </row>
    <row r="50" spans="1:17" ht="25.5" customHeight="1" x14ac:dyDescent="0.2">
      <c r="A50" s="1672" t="s">
        <v>1046</v>
      </c>
      <c r="B50" s="1672"/>
      <c r="C50" s="1672"/>
      <c r="D50" s="1672"/>
      <c r="E50" s="1672"/>
      <c r="F50" s="1672"/>
      <c r="G50" s="1672"/>
      <c r="H50" s="1672"/>
      <c r="I50" s="122"/>
      <c r="J50" s="1"/>
      <c r="K50" s="1"/>
      <c r="L50" s="1"/>
      <c r="M50" s="1"/>
      <c r="N50" s="1"/>
      <c r="O50" s="1"/>
    </row>
    <row r="51" spans="1:17" ht="25.5" customHeight="1" x14ac:dyDescent="0.2">
      <c r="A51" s="1672" t="s">
        <v>964</v>
      </c>
      <c r="B51" s="1672"/>
      <c r="C51" s="1672"/>
      <c r="D51" s="1672"/>
      <c r="E51" s="1672"/>
      <c r="F51" s="1672"/>
      <c r="G51" s="1672"/>
      <c r="H51" s="1672"/>
      <c r="I51" s="1538"/>
      <c r="J51" s="1538"/>
      <c r="K51" s="1538"/>
      <c r="L51" s="1538"/>
      <c r="M51" s="1538"/>
      <c r="N51" s="1538"/>
      <c r="O51" s="1538"/>
      <c r="P51" s="1538"/>
      <c r="Q51" s="1538"/>
    </row>
    <row r="52" spans="1:17" ht="25.5" customHeight="1" x14ac:dyDescent="0.2">
      <c r="A52" s="1672" t="s">
        <v>1045</v>
      </c>
      <c r="B52" s="1672"/>
      <c r="C52" s="1672"/>
      <c r="D52" s="1672"/>
      <c r="E52" s="1672"/>
      <c r="F52" s="1672"/>
      <c r="G52" s="1672"/>
      <c r="H52" s="1672"/>
      <c r="I52" s="1"/>
      <c r="J52" s="1"/>
      <c r="K52" s="1"/>
      <c r="L52" s="1"/>
      <c r="M52" s="1"/>
      <c r="N52" s="1"/>
      <c r="O52" s="1"/>
    </row>
    <row r="53" spans="1:17" ht="38.25" customHeight="1" x14ac:dyDescent="0.2">
      <c r="A53" s="1654" t="s">
        <v>966</v>
      </c>
      <c r="B53" s="1654"/>
      <c r="C53" s="1654"/>
      <c r="D53" s="1654"/>
      <c r="E53" s="1654"/>
      <c r="F53" s="1654"/>
      <c r="G53" s="1654"/>
      <c r="H53" s="1654"/>
      <c r="I53" s="1537"/>
      <c r="J53" s="1537"/>
      <c r="K53" s="1537"/>
      <c r="L53" s="1537"/>
      <c r="M53" s="1537"/>
      <c r="N53" s="1537"/>
      <c r="O53" s="1537"/>
    </row>
    <row r="55" spans="1:17" x14ac:dyDescent="0.2">
      <c r="A55" s="386" t="s">
        <v>169</v>
      </c>
    </row>
  </sheetData>
  <sheetProtection algorithmName="SHA-512" hashValue="QoUl+8DkXCzk2ApWA3i7r/x82xn5N/SbnTOEjDW5Atj6zaeoGObKbyg0i9l3I7VZQuYIm+wI/XIZHti0uk/RfQ==" saltValue="4Ccq1wXyxJ7i+thF30yyAg==" spinCount="100000" sheet="1" objects="1" scenarios="1"/>
  <mergeCells count="20">
    <mergeCell ref="A53:H53"/>
    <mergeCell ref="A1:H1"/>
    <mergeCell ref="I18:I19"/>
    <mergeCell ref="A33:A34"/>
    <mergeCell ref="I33:I34"/>
    <mergeCell ref="A51:H51"/>
    <mergeCell ref="A52:H52"/>
    <mergeCell ref="A50:H50"/>
    <mergeCell ref="B3:F3"/>
    <mergeCell ref="A3:A4"/>
    <mergeCell ref="A18:A19"/>
    <mergeCell ref="J3:N3"/>
    <mergeCell ref="B18:F18"/>
    <mergeCell ref="J18:N18"/>
    <mergeCell ref="B33:F33"/>
    <mergeCell ref="J33:N33"/>
    <mergeCell ref="G33:G34"/>
    <mergeCell ref="G3:G4"/>
    <mergeCell ref="G18:G19"/>
    <mergeCell ref="I3:I4"/>
  </mergeCells>
  <hyperlinks>
    <hyperlink ref="A55" location="Contents!A1" display="Return to contents" xr:uid="{00000000-0004-0000-5400-000000000000}"/>
  </hyperlinks>
  <pageMargins left="0.7" right="0.7" top="0.75" bottom="0.75" header="0.3" footer="0.3"/>
  <pageSetup paperSize="9" scale="83" fitToWidth="0" orientation="portrait" r:id="rId1"/>
  <colBreaks count="1" manualBreakCount="1">
    <brk id="8"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39">
    <tabColor theme="4"/>
  </sheetPr>
  <dimension ref="A1:O121"/>
  <sheetViews>
    <sheetView showGridLines="0" zoomScaleNormal="100" workbookViewId="0">
      <pane ySplit="1" topLeftCell="A2" activePane="bottomLeft" state="frozen"/>
      <selection activeCell="M9" sqref="M9"/>
      <selection pane="bottomLeft" sqref="A1:K1"/>
    </sheetView>
  </sheetViews>
  <sheetFormatPr defaultRowHeight="12.75" x14ac:dyDescent="0.2"/>
  <cols>
    <col min="1" max="1" width="23" customWidth="1"/>
    <col min="2" max="2" width="12.28515625" customWidth="1"/>
    <col min="3" max="3" width="14.7109375" customWidth="1"/>
    <col min="4" max="4" width="11.42578125" customWidth="1"/>
    <col min="5" max="5" width="10.42578125" customWidth="1"/>
    <col min="6" max="6" width="13" customWidth="1"/>
    <col min="7" max="7" width="10" customWidth="1"/>
    <col min="8" max="8" width="4.42578125" customWidth="1"/>
    <col min="9" max="9" width="13.140625" customWidth="1"/>
    <col min="10" max="10" width="14.7109375" customWidth="1"/>
    <col min="11" max="11" width="11.42578125" customWidth="1"/>
    <col min="12" max="12" width="10.7109375" customWidth="1"/>
    <col min="13" max="13" width="12.85546875" customWidth="1"/>
    <col min="14" max="14" width="6.140625" customWidth="1"/>
    <col min="15" max="15" width="7.42578125" customWidth="1"/>
    <col min="16" max="16" width="8.28515625" customWidth="1"/>
    <col min="17" max="17" width="5.140625" customWidth="1"/>
    <col min="18" max="18" width="8.85546875" customWidth="1"/>
    <col min="19" max="20" width="7.85546875" customWidth="1"/>
    <col min="21" max="21" width="12.85546875" customWidth="1"/>
  </cols>
  <sheetData>
    <row r="1" spans="1:15" ht="38.25" customHeight="1" x14ac:dyDescent="0.2">
      <c r="A1" s="1655" t="s">
        <v>838</v>
      </c>
      <c r="B1" s="1655"/>
      <c r="C1" s="1655"/>
      <c r="D1" s="1655"/>
      <c r="E1" s="1655"/>
      <c r="F1" s="1655"/>
      <c r="G1" s="1655"/>
      <c r="H1" s="1655"/>
      <c r="I1" s="1655"/>
      <c r="J1" s="1655"/>
      <c r="K1" s="1655"/>
      <c r="L1" s="1"/>
      <c r="M1" s="1"/>
    </row>
    <row r="2" spans="1:15" ht="15" x14ac:dyDescent="0.25">
      <c r="A2" s="2"/>
      <c r="B2" s="1"/>
      <c r="C2" s="1"/>
      <c r="D2" s="1"/>
      <c r="E2" s="1"/>
      <c r="F2" s="1"/>
      <c r="G2" s="234" t="s">
        <v>0</v>
      </c>
      <c r="H2" s="1"/>
      <c r="I2" s="1"/>
      <c r="J2" s="1"/>
      <c r="K2" s="1"/>
      <c r="L2" s="1"/>
      <c r="M2" s="146" t="s">
        <v>64</v>
      </c>
    </row>
    <row r="3" spans="1:15" ht="14.25" customHeight="1" x14ac:dyDescent="0.2">
      <c r="A3" s="1629" t="s">
        <v>22</v>
      </c>
      <c r="B3" s="1661" t="s">
        <v>210</v>
      </c>
      <c r="C3" s="1677"/>
      <c r="D3" s="1677"/>
      <c r="E3" s="1677"/>
      <c r="F3" s="1662"/>
      <c r="G3" s="1637" t="s">
        <v>212</v>
      </c>
      <c r="H3" s="101"/>
      <c r="I3" s="1661" t="s">
        <v>210</v>
      </c>
      <c r="J3" s="1677"/>
      <c r="K3" s="1677"/>
      <c r="L3" s="1677"/>
      <c r="M3" s="1662"/>
    </row>
    <row r="4" spans="1:15" ht="41.25" customHeight="1" x14ac:dyDescent="0.2">
      <c r="A4" s="1630"/>
      <c r="B4" s="102" t="s">
        <v>214</v>
      </c>
      <c r="C4" s="102" t="s">
        <v>215</v>
      </c>
      <c r="D4" s="102" t="s">
        <v>216</v>
      </c>
      <c r="E4" s="102" t="s">
        <v>211</v>
      </c>
      <c r="F4" s="102" t="s">
        <v>638</v>
      </c>
      <c r="G4" s="1729"/>
      <c r="H4" s="385"/>
      <c r="I4" s="102" t="s">
        <v>214</v>
      </c>
      <c r="J4" s="102" t="s">
        <v>215</v>
      </c>
      <c r="K4" s="102" t="s">
        <v>216</v>
      </c>
      <c r="L4" s="102" t="s">
        <v>211</v>
      </c>
      <c r="M4" s="102" t="s">
        <v>638</v>
      </c>
    </row>
    <row r="5" spans="1:15" ht="18.75" customHeight="1" x14ac:dyDescent="0.2">
      <c r="A5" s="343" t="s">
        <v>23</v>
      </c>
      <c r="B5" s="603">
        <f>T_19!B5</f>
        <v>157</v>
      </c>
      <c r="C5" s="604">
        <f>T_19!C5</f>
        <v>17</v>
      </c>
      <c r="D5" s="604">
        <f>T_19!D5</f>
        <v>27</v>
      </c>
      <c r="E5" s="604">
        <f>T_19!E5</f>
        <v>72</v>
      </c>
      <c r="F5" s="604">
        <f>T_19!F5</f>
        <v>4</v>
      </c>
      <c r="G5" s="605">
        <f>SUM(B5:F5)</f>
        <v>277</v>
      </c>
      <c r="H5" s="607"/>
      <c r="I5" s="1408">
        <f>B5/G5*100</f>
        <v>56.678700361010826</v>
      </c>
      <c r="J5" s="1409">
        <f>C5/G5*100</f>
        <v>6.1371841155234659</v>
      </c>
      <c r="K5" s="1409">
        <f>D5/G5*100</f>
        <v>9.7472924187725631</v>
      </c>
      <c r="L5" s="1409">
        <f>E5/G5*100</f>
        <v>25.992779783393498</v>
      </c>
      <c r="M5" s="1371">
        <f>F5/G5*100</f>
        <v>1.4440433212996391</v>
      </c>
      <c r="O5" s="612"/>
    </row>
    <row r="6" spans="1:15" ht="13.5" customHeight="1" x14ac:dyDescent="0.2">
      <c r="A6" s="46" t="s">
        <v>24</v>
      </c>
      <c r="B6" s="600">
        <f>T_19!B6</f>
        <v>76</v>
      </c>
      <c r="C6" s="601">
        <f>T_19!C6</f>
        <v>12</v>
      </c>
      <c r="D6" s="601">
        <f>T_19!D6</f>
        <v>17</v>
      </c>
      <c r="E6" s="601">
        <f>T_19!E6</f>
        <v>61</v>
      </c>
      <c r="F6" s="601">
        <f>T_19!F6</f>
        <v>2</v>
      </c>
      <c r="G6" s="1005">
        <f t="shared" ref="G6:G35" si="0">SUM(B6:F6)</f>
        <v>168</v>
      </c>
      <c r="H6" s="607"/>
      <c r="I6" s="1410">
        <f t="shared" ref="I6:I36" si="1">B6/G6*100</f>
        <v>45.238095238095241</v>
      </c>
      <c r="J6" s="1411">
        <f t="shared" ref="J6:J36" si="2">C6/G6*100</f>
        <v>7.1428571428571423</v>
      </c>
      <c r="K6" s="1411">
        <f t="shared" ref="K6:K36" si="3">D6/G6*100</f>
        <v>10.119047619047619</v>
      </c>
      <c r="L6" s="1411">
        <f t="shared" ref="L6:L36" si="4">E6/G6*100</f>
        <v>36.30952380952381</v>
      </c>
      <c r="M6" s="1373">
        <f t="shared" ref="M6:M36" si="5">F6/G6*100</f>
        <v>1.1904761904761905</v>
      </c>
      <c r="O6" s="612"/>
    </row>
    <row r="7" spans="1:15" ht="13.5" customHeight="1" x14ac:dyDescent="0.2">
      <c r="A7" s="343" t="s">
        <v>25</v>
      </c>
      <c r="B7" s="603">
        <f>T_19!B7</f>
        <v>44</v>
      </c>
      <c r="C7" s="604">
        <f>T_19!C7</f>
        <v>6</v>
      </c>
      <c r="D7" s="604">
        <f>T_19!D7</f>
        <v>6</v>
      </c>
      <c r="E7" s="604">
        <f>T_19!E7</f>
        <v>25</v>
      </c>
      <c r="F7" s="604">
        <f>T_19!F7</f>
        <v>0</v>
      </c>
      <c r="G7" s="605">
        <f t="shared" si="0"/>
        <v>81</v>
      </c>
      <c r="H7" s="607"/>
      <c r="I7" s="1408">
        <f t="shared" si="1"/>
        <v>54.320987654320987</v>
      </c>
      <c r="J7" s="1409">
        <f t="shared" si="2"/>
        <v>7.4074074074074066</v>
      </c>
      <c r="K7" s="1409">
        <f t="shared" si="3"/>
        <v>7.4074074074074066</v>
      </c>
      <c r="L7" s="1409">
        <f t="shared" si="4"/>
        <v>30.864197530864196</v>
      </c>
      <c r="M7" s="1371">
        <f t="shared" si="5"/>
        <v>0</v>
      </c>
      <c r="O7" s="612"/>
    </row>
    <row r="8" spans="1:15" ht="13.5" customHeight="1" x14ac:dyDescent="0.2">
      <c r="A8" s="46" t="s">
        <v>26</v>
      </c>
      <c r="B8" s="600">
        <f>T_19!B8</f>
        <v>45</v>
      </c>
      <c r="C8" s="601">
        <f>T_19!C8</f>
        <v>12</v>
      </c>
      <c r="D8" s="601">
        <f>T_19!D8</f>
        <v>11</v>
      </c>
      <c r="E8" s="601">
        <f>T_19!E8</f>
        <v>12</v>
      </c>
      <c r="F8" s="601">
        <f>T_19!F8</f>
        <v>6</v>
      </c>
      <c r="G8" s="1005">
        <f t="shared" si="0"/>
        <v>86</v>
      </c>
      <c r="H8" s="607"/>
      <c r="I8" s="1410">
        <f t="shared" si="1"/>
        <v>52.325581395348841</v>
      </c>
      <c r="J8" s="1411">
        <f t="shared" si="2"/>
        <v>13.953488372093023</v>
      </c>
      <c r="K8" s="1411">
        <f t="shared" si="3"/>
        <v>12.790697674418606</v>
      </c>
      <c r="L8" s="1411">
        <f t="shared" si="4"/>
        <v>13.953488372093023</v>
      </c>
      <c r="M8" s="1373">
        <f t="shared" si="5"/>
        <v>6.9767441860465116</v>
      </c>
      <c r="O8" s="612"/>
    </row>
    <row r="9" spans="1:15" ht="13.5" customHeight="1" x14ac:dyDescent="0.2">
      <c r="A9" s="343" t="s">
        <v>27</v>
      </c>
      <c r="B9" s="603">
        <f>T_19!B9</f>
        <v>28</v>
      </c>
      <c r="C9" s="604">
        <f>T_19!C9</f>
        <v>10</v>
      </c>
      <c r="D9" s="604">
        <f>T_19!D9</f>
        <v>4</v>
      </c>
      <c r="E9" s="604">
        <f>T_19!E9</f>
        <v>8</v>
      </c>
      <c r="F9" s="604">
        <f>T_19!F9</f>
        <v>1</v>
      </c>
      <c r="G9" s="605">
        <f t="shared" si="0"/>
        <v>51</v>
      </c>
      <c r="H9" s="607"/>
      <c r="I9" s="1408">
        <f t="shared" si="1"/>
        <v>54.901960784313729</v>
      </c>
      <c r="J9" s="1409">
        <f t="shared" si="2"/>
        <v>19.607843137254903</v>
      </c>
      <c r="K9" s="1409">
        <f t="shared" si="3"/>
        <v>7.8431372549019605</v>
      </c>
      <c r="L9" s="1409">
        <f t="shared" si="4"/>
        <v>15.686274509803921</v>
      </c>
      <c r="M9" s="1371">
        <f t="shared" si="5"/>
        <v>1.9607843137254901</v>
      </c>
      <c r="O9" s="612"/>
    </row>
    <row r="10" spans="1:15" ht="13.5" customHeight="1" x14ac:dyDescent="0.2">
      <c r="A10" s="46" t="s">
        <v>28</v>
      </c>
      <c r="B10" s="600">
        <f>T_19!B10</f>
        <v>34</v>
      </c>
      <c r="C10" s="601">
        <f>T_19!C10</f>
        <v>7</v>
      </c>
      <c r="D10" s="601">
        <f>T_19!D10</f>
        <v>21</v>
      </c>
      <c r="E10" s="601">
        <f>T_19!E10</f>
        <v>41</v>
      </c>
      <c r="F10" s="601">
        <f>T_19!F10</f>
        <v>1</v>
      </c>
      <c r="G10" s="1005">
        <f t="shared" si="0"/>
        <v>104</v>
      </c>
      <c r="H10" s="607"/>
      <c r="I10" s="1410">
        <f t="shared" si="1"/>
        <v>32.692307692307693</v>
      </c>
      <c r="J10" s="1411">
        <f t="shared" si="2"/>
        <v>6.7307692307692308</v>
      </c>
      <c r="K10" s="1411">
        <f t="shared" si="3"/>
        <v>20.192307692307693</v>
      </c>
      <c r="L10" s="1411">
        <f t="shared" si="4"/>
        <v>39.42307692307692</v>
      </c>
      <c r="M10" s="1373">
        <f t="shared" si="5"/>
        <v>0.96153846153846156</v>
      </c>
      <c r="O10" s="612"/>
    </row>
    <row r="11" spans="1:15" ht="13.5" customHeight="1" x14ac:dyDescent="0.2">
      <c r="A11" s="343" t="s">
        <v>29</v>
      </c>
      <c r="B11" s="603">
        <f>T_19!B11</f>
        <v>124</v>
      </c>
      <c r="C11" s="604">
        <f>T_19!C11</f>
        <v>20</v>
      </c>
      <c r="D11" s="604">
        <f>T_19!D11</f>
        <v>20</v>
      </c>
      <c r="E11" s="604">
        <f>T_19!E11</f>
        <v>49</v>
      </c>
      <c r="F11" s="604">
        <f>T_19!F11</f>
        <v>1</v>
      </c>
      <c r="G11" s="605">
        <f t="shared" si="0"/>
        <v>214</v>
      </c>
      <c r="H11" s="607"/>
      <c r="I11" s="1408">
        <f t="shared" si="1"/>
        <v>57.943925233644855</v>
      </c>
      <c r="J11" s="1409">
        <f t="shared" si="2"/>
        <v>9.3457943925233646</v>
      </c>
      <c r="K11" s="1409">
        <f t="shared" si="3"/>
        <v>9.3457943925233646</v>
      </c>
      <c r="L11" s="1409">
        <f t="shared" si="4"/>
        <v>22.897196261682243</v>
      </c>
      <c r="M11" s="1371">
        <f t="shared" si="5"/>
        <v>0.46728971962616817</v>
      </c>
      <c r="O11" s="612"/>
    </row>
    <row r="12" spans="1:15" ht="13.5" customHeight="1" x14ac:dyDescent="0.2">
      <c r="A12" s="46" t="s">
        <v>30</v>
      </c>
      <c r="B12" s="600">
        <f>T_19!B12</f>
        <v>51</v>
      </c>
      <c r="C12" s="601">
        <f>T_19!C12</f>
        <v>14</v>
      </c>
      <c r="D12" s="601">
        <f>T_19!D12</f>
        <v>10</v>
      </c>
      <c r="E12" s="601">
        <f>T_19!E12</f>
        <v>10</v>
      </c>
      <c r="F12" s="601">
        <f>T_19!F12</f>
        <v>2</v>
      </c>
      <c r="G12" s="1005">
        <f t="shared" si="0"/>
        <v>87</v>
      </c>
      <c r="H12" s="607"/>
      <c r="I12" s="1410">
        <f t="shared" si="1"/>
        <v>58.620689655172406</v>
      </c>
      <c r="J12" s="1411">
        <f t="shared" si="2"/>
        <v>16.091954022988507</v>
      </c>
      <c r="K12" s="1411">
        <f t="shared" si="3"/>
        <v>11.494252873563218</v>
      </c>
      <c r="L12" s="1411">
        <f t="shared" si="4"/>
        <v>11.494252873563218</v>
      </c>
      <c r="M12" s="1373">
        <f t="shared" si="5"/>
        <v>2.2988505747126435</v>
      </c>
      <c r="O12" s="612"/>
    </row>
    <row r="13" spans="1:15" ht="13.5" customHeight="1" x14ac:dyDescent="0.2">
      <c r="A13" s="343" t="s">
        <v>31</v>
      </c>
      <c r="B13" s="603">
        <f>T_19!B13</f>
        <v>34</v>
      </c>
      <c r="C13" s="604">
        <f>T_19!C13</f>
        <v>3</v>
      </c>
      <c r="D13" s="604">
        <f>T_19!D13</f>
        <v>19</v>
      </c>
      <c r="E13" s="604">
        <f>T_19!E13</f>
        <v>10</v>
      </c>
      <c r="F13" s="606">
        <f>T_19!F13</f>
        <v>1</v>
      </c>
      <c r="G13" s="605">
        <f>SUM(B13:F13)</f>
        <v>67</v>
      </c>
      <c r="H13" s="607"/>
      <c r="I13" s="1408">
        <f t="shared" si="1"/>
        <v>50.746268656716417</v>
      </c>
      <c r="J13" s="1409">
        <f t="shared" si="2"/>
        <v>4.4776119402985071</v>
      </c>
      <c r="K13" s="1409">
        <f t="shared" si="3"/>
        <v>28.35820895522388</v>
      </c>
      <c r="L13" s="1409">
        <f t="shared" si="4"/>
        <v>14.925373134328357</v>
      </c>
      <c r="M13" s="1371">
        <f t="shared" si="5"/>
        <v>1.4925373134328357</v>
      </c>
      <c r="O13" s="612"/>
    </row>
    <row r="14" spans="1:15" ht="13.5" customHeight="1" x14ac:dyDescent="0.2">
      <c r="A14" s="375" t="s">
        <v>32</v>
      </c>
      <c r="B14" s="600">
        <f>T_19!B14</f>
        <v>45</v>
      </c>
      <c r="C14" s="601">
        <f>T_19!C14</f>
        <v>2</v>
      </c>
      <c r="D14" s="601">
        <f>T_19!D14</f>
        <v>6</v>
      </c>
      <c r="E14" s="601">
        <f>T_19!E14</f>
        <v>20</v>
      </c>
      <c r="F14" s="601">
        <f>T_19!F14</f>
        <v>3</v>
      </c>
      <c r="G14" s="1005">
        <f t="shared" si="0"/>
        <v>76</v>
      </c>
      <c r="H14" s="607"/>
      <c r="I14" s="1410">
        <f t="shared" si="1"/>
        <v>59.210526315789465</v>
      </c>
      <c r="J14" s="1411">
        <f t="shared" si="2"/>
        <v>2.6315789473684208</v>
      </c>
      <c r="K14" s="1411">
        <f t="shared" si="3"/>
        <v>7.8947368421052628</v>
      </c>
      <c r="L14" s="1411">
        <f t="shared" si="4"/>
        <v>26.315789473684209</v>
      </c>
      <c r="M14" s="1373">
        <f t="shared" si="5"/>
        <v>3.9473684210526314</v>
      </c>
      <c r="O14" s="612"/>
    </row>
    <row r="15" spans="1:15" ht="13.5" customHeight="1" x14ac:dyDescent="0.2">
      <c r="A15" s="343" t="s">
        <v>33</v>
      </c>
      <c r="B15" s="603">
        <f>T_19!B15</f>
        <v>58</v>
      </c>
      <c r="C15" s="604">
        <f>T_19!C15</f>
        <v>4</v>
      </c>
      <c r="D15" s="604">
        <f>T_19!D15</f>
        <v>9</v>
      </c>
      <c r="E15" s="604">
        <f>T_19!E15</f>
        <v>11</v>
      </c>
      <c r="F15" s="606">
        <f>T_19!F15</f>
        <v>2</v>
      </c>
      <c r="G15" s="605">
        <f t="shared" si="0"/>
        <v>84</v>
      </c>
      <c r="H15" s="607"/>
      <c r="I15" s="1408">
        <f t="shared" si="1"/>
        <v>69.047619047619051</v>
      </c>
      <c r="J15" s="1409">
        <f t="shared" si="2"/>
        <v>4.7619047619047619</v>
      </c>
      <c r="K15" s="1409">
        <f t="shared" si="3"/>
        <v>10.714285714285714</v>
      </c>
      <c r="L15" s="1409">
        <f t="shared" si="4"/>
        <v>13.095238095238097</v>
      </c>
      <c r="M15" s="1371">
        <f t="shared" si="5"/>
        <v>2.3809523809523809</v>
      </c>
      <c r="O15" s="612"/>
    </row>
    <row r="16" spans="1:15" ht="13.5" customHeight="1" x14ac:dyDescent="0.2">
      <c r="A16" s="46" t="s">
        <v>137</v>
      </c>
      <c r="B16" s="600">
        <f>T_19!B16</f>
        <v>222</v>
      </c>
      <c r="C16" s="601">
        <f>T_19!C16</f>
        <v>35</v>
      </c>
      <c r="D16" s="601">
        <f>T_19!D16</f>
        <v>62</v>
      </c>
      <c r="E16" s="601">
        <f>T_19!E16</f>
        <v>197</v>
      </c>
      <c r="F16" s="601">
        <f>T_19!F16</f>
        <v>7</v>
      </c>
      <c r="G16" s="1005">
        <f t="shared" si="0"/>
        <v>523</v>
      </c>
      <c r="H16" s="607"/>
      <c r="I16" s="1410">
        <f t="shared" si="1"/>
        <v>42.447418738049713</v>
      </c>
      <c r="J16" s="1411">
        <f t="shared" si="2"/>
        <v>6.6921606118546846</v>
      </c>
      <c r="K16" s="1411">
        <f t="shared" si="3"/>
        <v>11.854684512428298</v>
      </c>
      <c r="L16" s="1411">
        <f t="shared" si="4"/>
        <v>37.667304015296367</v>
      </c>
      <c r="M16" s="1373">
        <f t="shared" si="5"/>
        <v>1.338432122370937</v>
      </c>
      <c r="O16" s="612"/>
    </row>
    <row r="17" spans="1:15" ht="13.5" customHeight="1" x14ac:dyDescent="0.2">
      <c r="A17" s="343" t="s">
        <v>34</v>
      </c>
      <c r="B17" s="603">
        <f>T_19!B17</f>
        <v>52</v>
      </c>
      <c r="C17" s="604">
        <f>T_19!C17</f>
        <v>13</v>
      </c>
      <c r="D17" s="604">
        <f>T_19!D17</f>
        <v>13</v>
      </c>
      <c r="E17" s="604">
        <f>T_19!E17</f>
        <v>44</v>
      </c>
      <c r="F17" s="604">
        <f>T_19!F17</f>
        <v>0</v>
      </c>
      <c r="G17" s="605">
        <f t="shared" si="0"/>
        <v>122</v>
      </c>
      <c r="H17" s="607"/>
      <c r="I17" s="1408">
        <f t="shared" si="1"/>
        <v>42.622950819672127</v>
      </c>
      <c r="J17" s="1409">
        <f t="shared" si="2"/>
        <v>10.655737704918032</v>
      </c>
      <c r="K17" s="1409">
        <f t="shared" si="3"/>
        <v>10.655737704918032</v>
      </c>
      <c r="L17" s="1409">
        <f t="shared" si="4"/>
        <v>36.065573770491802</v>
      </c>
      <c r="M17" s="1371">
        <f t="shared" si="5"/>
        <v>0</v>
      </c>
      <c r="O17" s="612"/>
    </row>
    <row r="18" spans="1:15" ht="13.5" customHeight="1" x14ac:dyDescent="0.2">
      <c r="A18" s="46" t="s">
        <v>35</v>
      </c>
      <c r="B18" s="600">
        <f>T_19!B18</f>
        <v>129</v>
      </c>
      <c r="C18" s="601">
        <f>T_19!C18</f>
        <v>39</v>
      </c>
      <c r="D18" s="601">
        <f>T_19!D18</f>
        <v>53</v>
      </c>
      <c r="E18" s="601">
        <f>T_19!E18</f>
        <v>75</v>
      </c>
      <c r="F18" s="601">
        <f>T_19!F18</f>
        <v>6</v>
      </c>
      <c r="G18" s="1005">
        <f t="shared" si="0"/>
        <v>302</v>
      </c>
      <c r="H18" s="607"/>
      <c r="I18" s="1410">
        <f t="shared" si="1"/>
        <v>42.715231788079471</v>
      </c>
      <c r="J18" s="1411">
        <f t="shared" si="2"/>
        <v>12.913907284768211</v>
      </c>
      <c r="K18" s="1411">
        <f t="shared" si="3"/>
        <v>17.549668874172188</v>
      </c>
      <c r="L18" s="1411">
        <f t="shared" si="4"/>
        <v>24.834437086092713</v>
      </c>
      <c r="M18" s="1373">
        <f t="shared" si="5"/>
        <v>1.9867549668874174</v>
      </c>
      <c r="O18" s="612"/>
    </row>
    <row r="19" spans="1:15" ht="13.5" customHeight="1" x14ac:dyDescent="0.2">
      <c r="A19" s="343" t="s">
        <v>36</v>
      </c>
      <c r="B19" s="603">
        <f>T_19!B19</f>
        <v>566</v>
      </c>
      <c r="C19" s="604">
        <f>T_19!C19</f>
        <v>79</v>
      </c>
      <c r="D19" s="604">
        <f>T_19!D19</f>
        <v>134</v>
      </c>
      <c r="E19" s="604">
        <f>T_19!E19</f>
        <v>168</v>
      </c>
      <c r="F19" s="604">
        <f>T_19!F19</f>
        <v>15</v>
      </c>
      <c r="G19" s="605">
        <f t="shared" si="0"/>
        <v>962</v>
      </c>
      <c r="H19" s="607"/>
      <c r="I19" s="1408">
        <f t="shared" si="1"/>
        <v>58.835758835758831</v>
      </c>
      <c r="J19" s="1409">
        <f t="shared" si="2"/>
        <v>8.2120582120582117</v>
      </c>
      <c r="K19" s="1409">
        <f t="shared" si="3"/>
        <v>13.929313929313929</v>
      </c>
      <c r="L19" s="1409">
        <f t="shared" si="4"/>
        <v>17.463617463617464</v>
      </c>
      <c r="M19" s="1371">
        <f t="shared" si="5"/>
        <v>1.5592515592515594</v>
      </c>
      <c r="O19" s="612"/>
    </row>
    <row r="20" spans="1:15" ht="13.5" customHeight="1" x14ac:dyDescent="0.2">
      <c r="A20" s="46" t="s">
        <v>37</v>
      </c>
      <c r="B20" s="600">
        <f>T_19!B20</f>
        <v>56</v>
      </c>
      <c r="C20" s="601">
        <f>T_19!C20</f>
        <v>16</v>
      </c>
      <c r="D20" s="601">
        <f>T_19!D20</f>
        <v>17</v>
      </c>
      <c r="E20" s="601">
        <f>T_19!E20</f>
        <v>59</v>
      </c>
      <c r="F20" s="601">
        <f>T_19!F20</f>
        <v>5</v>
      </c>
      <c r="G20" s="1005">
        <f t="shared" si="0"/>
        <v>153</v>
      </c>
      <c r="H20" s="607"/>
      <c r="I20" s="1410">
        <f t="shared" si="1"/>
        <v>36.601307189542482</v>
      </c>
      <c r="J20" s="1411">
        <f t="shared" si="2"/>
        <v>10.457516339869281</v>
      </c>
      <c r="K20" s="1411">
        <f t="shared" si="3"/>
        <v>11.111111111111111</v>
      </c>
      <c r="L20" s="1411">
        <f t="shared" si="4"/>
        <v>38.562091503267979</v>
      </c>
      <c r="M20" s="1373">
        <f t="shared" si="5"/>
        <v>3.2679738562091507</v>
      </c>
      <c r="O20" s="612"/>
    </row>
    <row r="21" spans="1:15" ht="13.5" customHeight="1" x14ac:dyDescent="0.2">
      <c r="A21" s="343" t="s">
        <v>38</v>
      </c>
      <c r="B21" s="603">
        <f>T_19!B21</f>
        <v>58</v>
      </c>
      <c r="C21" s="604">
        <f>T_19!C21</f>
        <v>3</v>
      </c>
      <c r="D21" s="604">
        <f>T_19!D21</f>
        <v>14</v>
      </c>
      <c r="E21" s="604">
        <f>T_19!E21</f>
        <v>27</v>
      </c>
      <c r="F21" s="604">
        <f>T_19!F21</f>
        <v>1</v>
      </c>
      <c r="G21" s="605">
        <f t="shared" si="0"/>
        <v>103</v>
      </c>
      <c r="H21" s="607"/>
      <c r="I21" s="1408">
        <f t="shared" si="1"/>
        <v>56.310679611650485</v>
      </c>
      <c r="J21" s="1409">
        <f t="shared" si="2"/>
        <v>2.912621359223301</v>
      </c>
      <c r="K21" s="1409">
        <f t="shared" si="3"/>
        <v>13.592233009708737</v>
      </c>
      <c r="L21" s="1409">
        <f t="shared" si="4"/>
        <v>26.21359223300971</v>
      </c>
      <c r="M21" s="1371">
        <f t="shared" si="5"/>
        <v>0.97087378640776689</v>
      </c>
      <c r="O21" s="612"/>
    </row>
    <row r="22" spans="1:15" ht="13.5" customHeight="1" x14ac:dyDescent="0.2">
      <c r="A22" s="46" t="s">
        <v>39</v>
      </c>
      <c r="B22" s="600">
        <f>T_19!B22</f>
        <v>33</v>
      </c>
      <c r="C22" s="601">
        <f>T_19!C22</f>
        <v>7</v>
      </c>
      <c r="D22" s="601">
        <f>T_19!D22</f>
        <v>8</v>
      </c>
      <c r="E22" s="601">
        <f>T_19!E22</f>
        <v>22</v>
      </c>
      <c r="F22" s="601">
        <f>T_19!F22</f>
        <v>0</v>
      </c>
      <c r="G22" s="1005">
        <f t="shared" si="0"/>
        <v>70</v>
      </c>
      <c r="H22" s="607"/>
      <c r="I22" s="1410">
        <f t="shared" si="1"/>
        <v>47.142857142857139</v>
      </c>
      <c r="J22" s="1411">
        <f t="shared" si="2"/>
        <v>10</v>
      </c>
      <c r="K22" s="1411">
        <f t="shared" si="3"/>
        <v>11.428571428571429</v>
      </c>
      <c r="L22" s="1411">
        <f t="shared" si="4"/>
        <v>31.428571428571427</v>
      </c>
      <c r="M22" s="1373">
        <f t="shared" si="5"/>
        <v>0</v>
      </c>
      <c r="O22" s="612"/>
    </row>
    <row r="23" spans="1:15" ht="13.5" customHeight="1" x14ac:dyDescent="0.2">
      <c r="A23" s="343" t="s">
        <v>40</v>
      </c>
      <c r="B23" s="603">
        <f>T_19!B23</f>
        <v>18</v>
      </c>
      <c r="C23" s="604">
        <f>T_19!C23</f>
        <v>5</v>
      </c>
      <c r="D23" s="604">
        <f>T_19!D23</f>
        <v>8</v>
      </c>
      <c r="E23" s="604">
        <f>T_19!E23</f>
        <v>7</v>
      </c>
      <c r="F23" s="604">
        <f>T_19!F23</f>
        <v>1</v>
      </c>
      <c r="G23" s="605">
        <f t="shared" si="0"/>
        <v>39</v>
      </c>
      <c r="H23" s="607"/>
      <c r="I23" s="1408">
        <f t="shared" si="1"/>
        <v>46.153846153846153</v>
      </c>
      <c r="J23" s="1409">
        <f t="shared" si="2"/>
        <v>12.820512820512819</v>
      </c>
      <c r="K23" s="1409">
        <f t="shared" si="3"/>
        <v>20.512820512820511</v>
      </c>
      <c r="L23" s="1409">
        <f t="shared" si="4"/>
        <v>17.948717948717949</v>
      </c>
      <c r="M23" s="1371">
        <f t="shared" si="5"/>
        <v>2.5641025641025639</v>
      </c>
      <c r="O23" s="612"/>
    </row>
    <row r="24" spans="1:15" ht="13.5" customHeight="1" x14ac:dyDescent="0.2">
      <c r="A24" s="46" t="s">
        <v>393</v>
      </c>
      <c r="B24" s="600">
        <f>T_19!B24</f>
        <v>4</v>
      </c>
      <c r="C24" s="601">
        <f>T_19!C24</f>
        <v>3</v>
      </c>
      <c r="D24" s="601">
        <f>T_19!D24</f>
        <v>5</v>
      </c>
      <c r="E24" s="601">
        <f>T_19!E24</f>
        <v>5</v>
      </c>
      <c r="F24" s="601">
        <f>T_19!F24</f>
        <v>0</v>
      </c>
      <c r="G24" s="1005">
        <f t="shared" si="0"/>
        <v>17</v>
      </c>
      <c r="H24" s="607"/>
      <c r="I24" s="1410">
        <f t="shared" si="1"/>
        <v>23.52941176470588</v>
      </c>
      <c r="J24" s="1411">
        <f t="shared" si="2"/>
        <v>17.647058823529413</v>
      </c>
      <c r="K24" s="1411">
        <f t="shared" si="3"/>
        <v>29.411764705882355</v>
      </c>
      <c r="L24" s="1411">
        <f t="shared" si="4"/>
        <v>29.411764705882355</v>
      </c>
      <c r="M24" s="1373">
        <f t="shared" si="5"/>
        <v>0</v>
      </c>
      <c r="O24" s="612"/>
    </row>
    <row r="25" spans="1:15" ht="13.5" customHeight="1" x14ac:dyDescent="0.2">
      <c r="A25" s="343" t="s">
        <v>41</v>
      </c>
      <c r="B25" s="603">
        <f>T_19!B25</f>
        <v>96</v>
      </c>
      <c r="C25" s="604">
        <f>T_19!C25</f>
        <v>12</v>
      </c>
      <c r="D25" s="604">
        <f>T_19!D25</f>
        <v>24</v>
      </c>
      <c r="E25" s="604">
        <f>T_19!E25</f>
        <v>28</v>
      </c>
      <c r="F25" s="604">
        <f>T_19!F25</f>
        <v>2</v>
      </c>
      <c r="G25" s="605">
        <f t="shared" si="0"/>
        <v>162</v>
      </c>
      <c r="H25" s="607"/>
      <c r="I25" s="1408">
        <f t="shared" si="1"/>
        <v>59.259259259259252</v>
      </c>
      <c r="J25" s="1409">
        <f t="shared" si="2"/>
        <v>7.4074074074074066</v>
      </c>
      <c r="K25" s="1409">
        <f t="shared" si="3"/>
        <v>14.814814814814813</v>
      </c>
      <c r="L25" s="1409">
        <f t="shared" si="4"/>
        <v>17.283950617283949</v>
      </c>
      <c r="M25" s="1371">
        <f t="shared" si="5"/>
        <v>1.2345679012345678</v>
      </c>
      <c r="O25" s="612"/>
    </row>
    <row r="26" spans="1:15" ht="13.5" customHeight="1" x14ac:dyDescent="0.2">
      <c r="A26" s="46" t="s">
        <v>42</v>
      </c>
      <c r="B26" s="600">
        <f>T_19!B26</f>
        <v>165</v>
      </c>
      <c r="C26" s="601">
        <f>T_19!C26</f>
        <v>38</v>
      </c>
      <c r="D26" s="601">
        <f>T_19!D26</f>
        <v>23</v>
      </c>
      <c r="E26" s="601">
        <f>T_19!E26</f>
        <v>73</v>
      </c>
      <c r="F26" s="601">
        <f>T_19!F26</f>
        <v>8</v>
      </c>
      <c r="G26" s="1005">
        <f t="shared" si="0"/>
        <v>307</v>
      </c>
      <c r="H26" s="607"/>
      <c r="I26" s="1410">
        <f t="shared" si="1"/>
        <v>53.745928338762219</v>
      </c>
      <c r="J26" s="1411">
        <f t="shared" si="2"/>
        <v>12.37785016286645</v>
      </c>
      <c r="K26" s="1411">
        <f t="shared" si="3"/>
        <v>7.4918566775244306</v>
      </c>
      <c r="L26" s="1411">
        <f t="shared" si="4"/>
        <v>23.778501628664493</v>
      </c>
      <c r="M26" s="1373">
        <f t="shared" si="5"/>
        <v>2.6058631921824107</v>
      </c>
      <c r="O26" s="612"/>
    </row>
    <row r="27" spans="1:15" ht="13.5" customHeight="1" x14ac:dyDescent="0.2">
      <c r="A27" s="343" t="s">
        <v>43</v>
      </c>
      <c r="B27" s="603">
        <f>T_19!B27</f>
        <v>1</v>
      </c>
      <c r="C27" s="604">
        <f>T_19!C27</f>
        <v>1</v>
      </c>
      <c r="D27" s="604">
        <f>T_19!D27</f>
        <v>0</v>
      </c>
      <c r="E27" s="604">
        <f>T_19!E27</f>
        <v>4</v>
      </c>
      <c r="F27" s="604">
        <f>T_19!F27</f>
        <v>1</v>
      </c>
      <c r="G27" s="605">
        <f t="shared" si="0"/>
        <v>7</v>
      </c>
      <c r="H27" s="607"/>
      <c r="I27" s="1408">
        <f t="shared" si="1"/>
        <v>14.285714285714285</v>
      </c>
      <c r="J27" s="1409">
        <f t="shared" si="2"/>
        <v>14.285714285714285</v>
      </c>
      <c r="K27" s="1409">
        <f t="shared" si="3"/>
        <v>0</v>
      </c>
      <c r="L27" s="1409">
        <f t="shared" si="4"/>
        <v>57.142857142857139</v>
      </c>
      <c r="M27" s="1371">
        <f t="shared" si="5"/>
        <v>14.285714285714285</v>
      </c>
      <c r="O27" s="612"/>
    </row>
    <row r="28" spans="1:15" ht="13.5" customHeight="1" x14ac:dyDescent="0.2">
      <c r="A28" s="46" t="s">
        <v>44</v>
      </c>
      <c r="B28" s="600">
        <f>T_19!B28</f>
        <v>54</v>
      </c>
      <c r="C28" s="601">
        <f>T_19!C28</f>
        <v>6</v>
      </c>
      <c r="D28" s="601">
        <f>T_19!D28</f>
        <v>10</v>
      </c>
      <c r="E28" s="601">
        <f>T_19!E28</f>
        <v>45</v>
      </c>
      <c r="F28" s="601">
        <f>T_19!F28</f>
        <v>1</v>
      </c>
      <c r="G28" s="1005">
        <f t="shared" si="0"/>
        <v>116</v>
      </c>
      <c r="H28" s="607"/>
      <c r="I28" s="1410">
        <f t="shared" si="1"/>
        <v>46.551724137931032</v>
      </c>
      <c r="J28" s="1411">
        <f t="shared" si="2"/>
        <v>5.1724137931034484</v>
      </c>
      <c r="K28" s="1411">
        <f t="shared" si="3"/>
        <v>8.6206896551724146</v>
      </c>
      <c r="L28" s="1411">
        <f t="shared" si="4"/>
        <v>38.793103448275865</v>
      </c>
      <c r="M28" s="1373">
        <f t="shared" si="5"/>
        <v>0.86206896551724133</v>
      </c>
      <c r="O28" s="612"/>
    </row>
    <row r="29" spans="1:15" ht="13.5" customHeight="1" x14ac:dyDescent="0.2">
      <c r="A29" s="343" t="s">
        <v>45</v>
      </c>
      <c r="B29" s="603">
        <f>T_19!B29</f>
        <v>124</v>
      </c>
      <c r="C29" s="604">
        <f>T_19!C29</f>
        <v>11</v>
      </c>
      <c r="D29" s="604">
        <f>T_19!D29</f>
        <v>33</v>
      </c>
      <c r="E29" s="604">
        <f>T_19!E29</f>
        <v>45</v>
      </c>
      <c r="F29" s="604">
        <f>T_19!F29</f>
        <v>10</v>
      </c>
      <c r="G29" s="605">
        <f t="shared" si="0"/>
        <v>223</v>
      </c>
      <c r="H29" s="607"/>
      <c r="I29" s="1408">
        <f t="shared" si="1"/>
        <v>55.60538116591929</v>
      </c>
      <c r="J29" s="1409">
        <f t="shared" si="2"/>
        <v>4.9327354260089686</v>
      </c>
      <c r="K29" s="1409">
        <f t="shared" si="3"/>
        <v>14.798206278026907</v>
      </c>
      <c r="L29" s="1409">
        <f t="shared" si="4"/>
        <v>20.179372197309416</v>
      </c>
      <c r="M29" s="1371">
        <f t="shared" si="5"/>
        <v>4.4843049327354256</v>
      </c>
      <c r="O29" s="612"/>
    </row>
    <row r="30" spans="1:15" ht="13.5" customHeight="1" x14ac:dyDescent="0.2">
      <c r="A30" s="10" t="s">
        <v>46</v>
      </c>
      <c r="B30" s="600">
        <f>T_19!B30</f>
        <v>39</v>
      </c>
      <c r="C30" s="601">
        <f>T_19!C30</f>
        <v>9</v>
      </c>
      <c r="D30" s="601">
        <f>T_19!D30</f>
        <v>17</v>
      </c>
      <c r="E30" s="601">
        <f>T_19!E30</f>
        <v>33</v>
      </c>
      <c r="F30" s="601">
        <f>T_19!F30</f>
        <v>2</v>
      </c>
      <c r="G30" s="1005">
        <f t="shared" si="0"/>
        <v>100</v>
      </c>
      <c r="H30" s="607"/>
      <c r="I30" s="1410">
        <f t="shared" si="1"/>
        <v>39</v>
      </c>
      <c r="J30" s="1411">
        <f t="shared" si="2"/>
        <v>9</v>
      </c>
      <c r="K30" s="1411">
        <f t="shared" si="3"/>
        <v>17</v>
      </c>
      <c r="L30" s="1411">
        <f t="shared" si="4"/>
        <v>33</v>
      </c>
      <c r="M30" s="1373">
        <f t="shared" si="5"/>
        <v>2</v>
      </c>
      <c r="O30" s="612"/>
    </row>
    <row r="31" spans="1:15" ht="13.5" customHeight="1" x14ac:dyDescent="0.2">
      <c r="A31" s="343" t="s">
        <v>47</v>
      </c>
      <c r="B31" s="603">
        <f>T_19!B31</f>
        <v>2</v>
      </c>
      <c r="C31" s="604">
        <f>T_19!C31</f>
        <v>4</v>
      </c>
      <c r="D31" s="604">
        <f>T_19!D31</f>
        <v>2</v>
      </c>
      <c r="E31" s="604">
        <f>T_19!E31</f>
        <v>2</v>
      </c>
      <c r="F31" s="604">
        <f>T_19!F31</f>
        <v>3</v>
      </c>
      <c r="G31" s="605">
        <f t="shared" si="0"/>
        <v>13</v>
      </c>
      <c r="H31" s="607"/>
      <c r="I31" s="1408">
        <f t="shared" si="1"/>
        <v>15.384615384615385</v>
      </c>
      <c r="J31" s="1409">
        <f t="shared" si="2"/>
        <v>30.76923076923077</v>
      </c>
      <c r="K31" s="1409">
        <f>D31/G31*100</f>
        <v>15.384615384615385</v>
      </c>
      <c r="L31" s="1409">
        <f t="shared" si="4"/>
        <v>15.384615384615385</v>
      </c>
      <c r="M31" s="1371">
        <f t="shared" si="5"/>
        <v>23.076923076923077</v>
      </c>
      <c r="O31" s="612"/>
    </row>
    <row r="32" spans="1:15" ht="13.5" customHeight="1" x14ac:dyDescent="0.2">
      <c r="A32" s="46" t="s">
        <v>48</v>
      </c>
      <c r="B32" s="600">
        <f>T_19!B32</f>
        <v>69</v>
      </c>
      <c r="C32" s="601">
        <f>T_19!C32</f>
        <v>9</v>
      </c>
      <c r="D32" s="601">
        <f>T_19!D32</f>
        <v>14</v>
      </c>
      <c r="E32" s="601">
        <f>T_19!E32</f>
        <v>8</v>
      </c>
      <c r="F32" s="601">
        <f>T_19!F32</f>
        <v>5</v>
      </c>
      <c r="G32" s="1005">
        <f t="shared" si="0"/>
        <v>105</v>
      </c>
      <c r="H32" s="607"/>
      <c r="I32" s="1410">
        <f t="shared" si="1"/>
        <v>65.714285714285708</v>
      </c>
      <c r="J32" s="1411">
        <f t="shared" si="2"/>
        <v>8.5714285714285712</v>
      </c>
      <c r="K32" s="1411">
        <f t="shared" si="3"/>
        <v>13.333333333333334</v>
      </c>
      <c r="L32" s="1411">
        <f t="shared" si="4"/>
        <v>7.6190476190476195</v>
      </c>
      <c r="M32" s="1373">
        <f t="shared" si="5"/>
        <v>4.7619047619047619</v>
      </c>
      <c r="O32" s="612"/>
    </row>
    <row r="33" spans="1:15" ht="13.5" customHeight="1" x14ac:dyDescent="0.2">
      <c r="A33" s="343" t="s">
        <v>49</v>
      </c>
      <c r="B33" s="603">
        <f>T_19!B33</f>
        <v>154</v>
      </c>
      <c r="C33" s="604">
        <f>T_19!C33</f>
        <v>16</v>
      </c>
      <c r="D33" s="604">
        <f>T_19!D33</f>
        <v>49</v>
      </c>
      <c r="E33" s="604">
        <f>T_19!E33</f>
        <v>55</v>
      </c>
      <c r="F33" s="604">
        <f>T_19!F33</f>
        <v>4</v>
      </c>
      <c r="G33" s="605">
        <f t="shared" si="0"/>
        <v>278</v>
      </c>
      <c r="H33" s="607"/>
      <c r="I33" s="1408">
        <f t="shared" si="1"/>
        <v>55.39568345323741</v>
      </c>
      <c r="J33" s="1409">
        <f t="shared" si="2"/>
        <v>5.755395683453238</v>
      </c>
      <c r="K33" s="1409">
        <f t="shared" si="3"/>
        <v>17.625899280575538</v>
      </c>
      <c r="L33" s="1409">
        <f t="shared" si="4"/>
        <v>19.784172661870503</v>
      </c>
      <c r="M33" s="1371">
        <f t="shared" si="5"/>
        <v>1.4388489208633095</v>
      </c>
      <c r="O33" s="612"/>
    </row>
    <row r="34" spans="1:15" ht="13.5" customHeight="1" x14ac:dyDescent="0.2">
      <c r="A34" s="46" t="s">
        <v>50</v>
      </c>
      <c r="B34" s="600">
        <f>T_19!B34</f>
        <v>39</v>
      </c>
      <c r="C34" s="601">
        <f>T_19!C34</f>
        <v>13</v>
      </c>
      <c r="D34" s="601">
        <f>T_19!D34</f>
        <v>8</v>
      </c>
      <c r="E34" s="601">
        <f>T_19!E34</f>
        <v>26</v>
      </c>
      <c r="F34" s="601">
        <f>T_19!F34</f>
        <v>0</v>
      </c>
      <c r="G34" s="1005">
        <f t="shared" si="0"/>
        <v>86</v>
      </c>
      <c r="H34" s="607"/>
      <c r="I34" s="1410">
        <f t="shared" si="1"/>
        <v>45.348837209302324</v>
      </c>
      <c r="J34" s="1411">
        <f t="shared" si="2"/>
        <v>15.11627906976744</v>
      </c>
      <c r="K34" s="1411">
        <f t="shared" si="3"/>
        <v>9.3023255813953494</v>
      </c>
      <c r="L34" s="1411">
        <f t="shared" si="4"/>
        <v>30.232558139534881</v>
      </c>
      <c r="M34" s="1373">
        <f t="shared" si="5"/>
        <v>0</v>
      </c>
      <c r="O34" s="612"/>
    </row>
    <row r="35" spans="1:15" ht="13.5" customHeight="1" x14ac:dyDescent="0.2">
      <c r="A35" s="343" t="s">
        <v>51</v>
      </c>
      <c r="B35" s="603">
        <f>T_19!B35</f>
        <v>100</v>
      </c>
      <c r="C35" s="604">
        <f>T_19!C35</f>
        <v>7</v>
      </c>
      <c r="D35" s="604">
        <f>T_19!D35</f>
        <v>27</v>
      </c>
      <c r="E35" s="604">
        <f>T_19!E35</f>
        <v>23</v>
      </c>
      <c r="F35" s="604">
        <f>T_19!F35</f>
        <v>1</v>
      </c>
      <c r="G35" s="605">
        <f t="shared" si="0"/>
        <v>158</v>
      </c>
      <c r="H35" s="607"/>
      <c r="I35" s="1408">
        <f t="shared" si="1"/>
        <v>63.291139240506332</v>
      </c>
      <c r="J35" s="1409">
        <f t="shared" si="2"/>
        <v>4.4303797468354427</v>
      </c>
      <c r="K35" s="1409">
        <f>D35/G35*100</f>
        <v>17.088607594936708</v>
      </c>
      <c r="L35" s="1409">
        <f t="shared" si="4"/>
        <v>14.556962025316455</v>
      </c>
      <c r="M35" s="1371">
        <f t="shared" si="5"/>
        <v>0.63291139240506333</v>
      </c>
      <c r="O35" s="612"/>
    </row>
    <row r="36" spans="1:15" ht="13.5" customHeight="1" x14ac:dyDescent="0.2">
      <c r="A36" s="46" t="s">
        <v>52</v>
      </c>
      <c r="B36" s="600">
        <f>T_19!B36</f>
        <v>87</v>
      </c>
      <c r="C36" s="601">
        <f>T_19!C36</f>
        <v>9</v>
      </c>
      <c r="D36" s="601">
        <f>T_19!D36</f>
        <v>27</v>
      </c>
      <c r="E36" s="601">
        <f>T_19!E36</f>
        <v>45</v>
      </c>
      <c r="F36" s="601">
        <f>T_19!F36</f>
        <v>1</v>
      </c>
      <c r="G36" s="1005">
        <f>SUM(B36:F36)</f>
        <v>169</v>
      </c>
      <c r="H36" s="607"/>
      <c r="I36" s="1410">
        <f t="shared" si="1"/>
        <v>51.479289940828401</v>
      </c>
      <c r="J36" s="1411">
        <f t="shared" si="2"/>
        <v>5.3254437869822491</v>
      </c>
      <c r="K36" s="1411">
        <f t="shared" si="3"/>
        <v>15.976331360946746</v>
      </c>
      <c r="L36" s="1411">
        <f t="shared" si="4"/>
        <v>26.627218934911244</v>
      </c>
      <c r="M36" s="1373">
        <f t="shared" si="5"/>
        <v>0.59171597633136097</v>
      </c>
      <c r="O36" s="612"/>
    </row>
    <row r="37" spans="1:15" x14ac:dyDescent="0.2">
      <c r="A37" s="343"/>
      <c r="B37" s="608"/>
      <c r="C37" s="609"/>
      <c r="D37" s="609"/>
      <c r="E37" s="609"/>
      <c r="F37" s="609"/>
      <c r="G37" s="448"/>
      <c r="H37" s="612"/>
      <c r="I37" s="610"/>
      <c r="J37" s="611"/>
      <c r="K37" s="611"/>
      <c r="L37" s="611"/>
      <c r="M37" s="446"/>
      <c r="O37" s="612"/>
    </row>
    <row r="38" spans="1:15" ht="30" customHeight="1" x14ac:dyDescent="0.2">
      <c r="A38" s="232" t="s">
        <v>159</v>
      </c>
      <c r="B38" s="510">
        <f>SUM(B5:B36)</f>
        <v>2764</v>
      </c>
      <c r="C38" s="511">
        <f t="shared" ref="C38:G38" si="6">SUM(C5:C36)</f>
        <v>442</v>
      </c>
      <c r="D38" s="511">
        <f t="shared" si="6"/>
        <v>698</v>
      </c>
      <c r="E38" s="511">
        <f>SUM(E5:E36)</f>
        <v>1310</v>
      </c>
      <c r="F38" s="214">
        <f t="shared" si="6"/>
        <v>96</v>
      </c>
      <c r="G38" s="513">
        <f t="shared" si="6"/>
        <v>5310</v>
      </c>
      <c r="H38" s="599"/>
      <c r="I38" s="1412">
        <f>B38/G38*100</f>
        <v>52.052730696798491</v>
      </c>
      <c r="J38" s="1413">
        <f>C38/G38*100</f>
        <v>8.3239171374764602</v>
      </c>
      <c r="K38" s="1413">
        <f>D38/G38*100</f>
        <v>13.145009416195858</v>
      </c>
      <c r="L38" s="1413">
        <f>E38/G38*100</f>
        <v>24.670433145009415</v>
      </c>
      <c r="M38" s="1414">
        <f>F38/G38*100</f>
        <v>1.807909604519774</v>
      </c>
      <c r="O38" s="612"/>
    </row>
    <row r="39" spans="1:15" x14ac:dyDescent="0.2">
      <c r="A39" s="1"/>
      <c r="B39" s="1"/>
      <c r="C39" s="1"/>
      <c r="D39" s="1"/>
      <c r="E39" s="1"/>
      <c r="F39" s="1"/>
      <c r="G39" s="1"/>
      <c r="H39" s="1"/>
      <c r="I39" s="1"/>
      <c r="J39" s="1"/>
      <c r="K39" s="1"/>
      <c r="L39" s="1"/>
      <c r="M39" s="1"/>
      <c r="O39" s="612"/>
    </row>
    <row r="40" spans="1:15" x14ac:dyDescent="0.2">
      <c r="A40" s="1"/>
      <c r="B40" s="1"/>
      <c r="C40" s="1"/>
      <c r="D40" s="1"/>
      <c r="E40" s="1"/>
      <c r="F40" s="1"/>
      <c r="G40" s="1"/>
      <c r="H40" s="1"/>
      <c r="I40" s="1"/>
      <c r="J40" s="1"/>
      <c r="K40" s="1"/>
      <c r="L40" s="1"/>
      <c r="M40" s="1"/>
      <c r="O40" s="612"/>
    </row>
    <row r="41" spans="1:15" ht="15" x14ac:dyDescent="0.25">
      <c r="A41" s="1"/>
      <c r="B41" s="1"/>
      <c r="C41" s="1"/>
      <c r="D41" s="1"/>
      <c r="E41" s="1"/>
      <c r="F41" s="1"/>
      <c r="G41" s="234" t="s">
        <v>0</v>
      </c>
      <c r="H41" s="1"/>
      <c r="I41" s="1"/>
      <c r="J41" s="1"/>
      <c r="K41" s="1"/>
      <c r="L41" s="593"/>
      <c r="M41" s="145" t="s">
        <v>64</v>
      </c>
      <c r="O41" s="612"/>
    </row>
    <row r="42" spans="1:15" ht="14.25" customHeight="1" x14ac:dyDescent="0.2">
      <c r="A42" s="1629" t="s">
        <v>22</v>
      </c>
      <c r="B42" s="1661" t="s">
        <v>341</v>
      </c>
      <c r="C42" s="1677"/>
      <c r="D42" s="1677"/>
      <c r="E42" s="1677"/>
      <c r="F42" s="1662"/>
      <c r="G42" s="1637" t="s">
        <v>213</v>
      </c>
      <c r="H42" s="101"/>
      <c r="I42" s="1661" t="s">
        <v>341</v>
      </c>
      <c r="J42" s="1677"/>
      <c r="K42" s="1677"/>
      <c r="L42" s="1677"/>
      <c r="M42" s="1662"/>
      <c r="O42" s="612"/>
    </row>
    <row r="43" spans="1:15" ht="41.25" customHeight="1" x14ac:dyDescent="0.2">
      <c r="A43" s="1630"/>
      <c r="B43" s="102" t="s">
        <v>214</v>
      </c>
      <c r="C43" s="102" t="s">
        <v>215</v>
      </c>
      <c r="D43" s="102" t="s">
        <v>216</v>
      </c>
      <c r="E43" s="102" t="s">
        <v>211</v>
      </c>
      <c r="F43" s="102" t="s">
        <v>638</v>
      </c>
      <c r="G43" s="1729"/>
      <c r="H43" s="385"/>
      <c r="I43" s="765" t="s">
        <v>214</v>
      </c>
      <c r="J43" s="765" t="s">
        <v>215</v>
      </c>
      <c r="K43" s="765" t="s">
        <v>216</v>
      </c>
      <c r="L43" s="765" t="s">
        <v>211</v>
      </c>
      <c r="M43" s="765" t="s">
        <v>638</v>
      </c>
      <c r="O43" s="612"/>
    </row>
    <row r="44" spans="1:15" ht="18.75" customHeight="1" x14ac:dyDescent="0.2">
      <c r="A44" s="355" t="s">
        <v>23</v>
      </c>
      <c r="B44" s="613">
        <f>T_19!G5</f>
        <v>0</v>
      </c>
      <c r="C44" s="614">
        <f>T_19!H5</f>
        <v>1</v>
      </c>
      <c r="D44" s="614">
        <f>T_19!I5</f>
        <v>2</v>
      </c>
      <c r="E44" s="614">
        <f>T_19!J5</f>
        <v>0</v>
      </c>
      <c r="F44" s="615">
        <f>T_19!K5</f>
        <v>0</v>
      </c>
      <c r="G44" s="616">
        <f>SUM(B44:F44)</f>
        <v>3</v>
      </c>
      <c r="I44" s="1415">
        <f>IFERROR(B44/G44*100,0)</f>
        <v>0</v>
      </c>
      <c r="J44" s="1416">
        <f>IFERROR(C44/G44*100,0)</f>
        <v>33.333333333333329</v>
      </c>
      <c r="K44" s="1416">
        <f>IFERROR(D44/G44*100,0)</f>
        <v>66.666666666666657</v>
      </c>
      <c r="L44" s="1416">
        <f>IFERROR(E44/G44*100,0)</f>
        <v>0</v>
      </c>
      <c r="M44" s="1417">
        <f>IFERROR(F44/G44*100,0)</f>
        <v>0</v>
      </c>
      <c r="O44" s="612"/>
    </row>
    <row r="45" spans="1:15" ht="13.5" customHeight="1" x14ac:dyDescent="0.2">
      <c r="A45" s="5" t="s">
        <v>24</v>
      </c>
      <c r="B45" s="519">
        <f>T_19!G6</f>
        <v>1</v>
      </c>
      <c r="C45" s="520">
        <f>T_19!H6</f>
        <v>0</v>
      </c>
      <c r="D45" s="520">
        <f>T_19!I6</f>
        <v>0</v>
      </c>
      <c r="E45" s="520">
        <f>T_19!J6</f>
        <v>0</v>
      </c>
      <c r="F45" s="483">
        <f>T_19!K6</f>
        <v>0</v>
      </c>
      <c r="G45" s="562">
        <f t="shared" ref="G45:G75" si="7">SUM(B45:F45)</f>
        <v>1</v>
      </c>
      <c r="I45" s="1410">
        <f t="shared" ref="I45:I77" si="8">IFERROR(B45/G45*100,0)</f>
        <v>100</v>
      </c>
      <c r="J45" s="1411">
        <f t="shared" ref="J45:J77" si="9">IFERROR(C45/G45*100,0)</f>
        <v>0</v>
      </c>
      <c r="K45" s="1411">
        <f t="shared" ref="K45:K75" si="10">IFERROR(D45/G45*100,0)</f>
        <v>0</v>
      </c>
      <c r="L45" s="1411">
        <f t="shared" ref="L45:L77" si="11">IFERROR(E45/G45*100,0)</f>
        <v>0</v>
      </c>
      <c r="M45" s="1373">
        <f t="shared" ref="M45:M77" si="12">IFERROR(F45/G45*100,0)</f>
        <v>0</v>
      </c>
      <c r="O45" s="612"/>
    </row>
    <row r="46" spans="1:15" ht="13.5" customHeight="1" x14ac:dyDescent="0.2">
      <c r="A46" s="355" t="s">
        <v>25</v>
      </c>
      <c r="B46" s="613">
        <f>T_19!G7</f>
        <v>0</v>
      </c>
      <c r="C46" s="614">
        <f>T_19!H7</f>
        <v>0</v>
      </c>
      <c r="D46" s="614">
        <f>T_19!I7</f>
        <v>0</v>
      </c>
      <c r="E46" s="614">
        <f>T_19!J7</f>
        <v>0</v>
      </c>
      <c r="F46" s="615">
        <f>T_19!K7</f>
        <v>0</v>
      </c>
      <c r="G46" s="616">
        <f t="shared" si="7"/>
        <v>0</v>
      </c>
      <c r="I46" s="1408">
        <f t="shared" si="8"/>
        <v>0</v>
      </c>
      <c r="J46" s="1409">
        <f t="shared" si="9"/>
        <v>0</v>
      </c>
      <c r="K46" s="1409">
        <f t="shared" si="10"/>
        <v>0</v>
      </c>
      <c r="L46" s="1409">
        <f t="shared" si="11"/>
        <v>0</v>
      </c>
      <c r="M46" s="1371">
        <f t="shared" si="12"/>
        <v>0</v>
      </c>
      <c r="O46" s="612"/>
    </row>
    <row r="47" spans="1:15" ht="13.5" customHeight="1" x14ac:dyDescent="0.2">
      <c r="A47" s="5" t="s">
        <v>26</v>
      </c>
      <c r="B47" s="519">
        <f>T_19!G8</f>
        <v>1</v>
      </c>
      <c r="C47" s="520">
        <f>T_19!H8</f>
        <v>0</v>
      </c>
      <c r="D47" s="520">
        <f>T_19!I8</f>
        <v>0</v>
      </c>
      <c r="E47" s="520">
        <f>T_19!J8</f>
        <v>0</v>
      </c>
      <c r="F47" s="483">
        <f>T_19!K8</f>
        <v>0</v>
      </c>
      <c r="G47" s="562">
        <f t="shared" si="7"/>
        <v>1</v>
      </c>
      <c r="I47" s="1410">
        <f t="shared" si="8"/>
        <v>100</v>
      </c>
      <c r="J47" s="1411">
        <f t="shared" si="9"/>
        <v>0</v>
      </c>
      <c r="K47" s="1411">
        <f t="shared" si="10"/>
        <v>0</v>
      </c>
      <c r="L47" s="1411">
        <f t="shared" si="11"/>
        <v>0</v>
      </c>
      <c r="M47" s="1373">
        <f t="shared" si="12"/>
        <v>0</v>
      </c>
      <c r="O47" s="612"/>
    </row>
    <row r="48" spans="1:15" ht="13.5" customHeight="1" x14ac:dyDescent="0.2">
      <c r="A48" s="355" t="s">
        <v>27</v>
      </c>
      <c r="B48" s="613">
        <f>T_19!G9</f>
        <v>0</v>
      </c>
      <c r="C48" s="614">
        <f>T_19!H9</f>
        <v>0</v>
      </c>
      <c r="D48" s="614">
        <f>T_19!I9</f>
        <v>0</v>
      </c>
      <c r="E48" s="614">
        <f>T_19!J9</f>
        <v>0</v>
      </c>
      <c r="F48" s="615">
        <f>T_19!K9</f>
        <v>0</v>
      </c>
      <c r="G48" s="616">
        <f t="shared" si="7"/>
        <v>0</v>
      </c>
      <c r="I48" s="1408">
        <f t="shared" si="8"/>
        <v>0</v>
      </c>
      <c r="J48" s="1409">
        <f t="shared" si="9"/>
        <v>0</v>
      </c>
      <c r="K48" s="1409">
        <f t="shared" si="10"/>
        <v>0</v>
      </c>
      <c r="L48" s="1409">
        <f t="shared" si="11"/>
        <v>0</v>
      </c>
      <c r="M48" s="1371">
        <f t="shared" si="12"/>
        <v>0</v>
      </c>
      <c r="O48" s="612"/>
    </row>
    <row r="49" spans="1:15" ht="13.5" customHeight="1" x14ac:dyDescent="0.2">
      <c r="A49" s="5" t="s">
        <v>28</v>
      </c>
      <c r="B49" s="519">
        <f>T_19!G10</f>
        <v>0</v>
      </c>
      <c r="C49" s="520">
        <f>T_19!H10</f>
        <v>1</v>
      </c>
      <c r="D49" s="520">
        <f>T_19!I10</f>
        <v>2</v>
      </c>
      <c r="E49" s="520">
        <f>T_19!J10</f>
        <v>0</v>
      </c>
      <c r="F49" s="483">
        <f>T_19!K10</f>
        <v>0</v>
      </c>
      <c r="G49" s="562">
        <f t="shared" si="7"/>
        <v>3</v>
      </c>
      <c r="I49" s="1410">
        <f t="shared" si="8"/>
        <v>0</v>
      </c>
      <c r="J49" s="1411">
        <f t="shared" si="9"/>
        <v>33.333333333333329</v>
      </c>
      <c r="K49" s="1411">
        <f t="shared" si="10"/>
        <v>66.666666666666657</v>
      </c>
      <c r="L49" s="1411">
        <f t="shared" si="11"/>
        <v>0</v>
      </c>
      <c r="M49" s="1373">
        <f t="shared" si="12"/>
        <v>0</v>
      </c>
      <c r="O49" s="612"/>
    </row>
    <row r="50" spans="1:15" ht="13.5" customHeight="1" x14ac:dyDescent="0.2">
      <c r="A50" s="355" t="s">
        <v>29</v>
      </c>
      <c r="B50" s="613">
        <f>T_19!G11</f>
        <v>0</v>
      </c>
      <c r="C50" s="614">
        <f>T_19!H11</f>
        <v>0</v>
      </c>
      <c r="D50" s="614">
        <f>T_19!I11</f>
        <v>0</v>
      </c>
      <c r="E50" s="614">
        <f>T_19!J11</f>
        <v>0</v>
      </c>
      <c r="F50" s="615">
        <f>T_19!K11</f>
        <v>0</v>
      </c>
      <c r="G50" s="616">
        <f t="shared" si="7"/>
        <v>0</v>
      </c>
      <c r="I50" s="1408">
        <f t="shared" si="8"/>
        <v>0</v>
      </c>
      <c r="J50" s="1409">
        <f t="shared" si="9"/>
        <v>0</v>
      </c>
      <c r="K50" s="1409">
        <f t="shared" si="10"/>
        <v>0</v>
      </c>
      <c r="L50" s="1409">
        <f t="shared" si="11"/>
        <v>0</v>
      </c>
      <c r="M50" s="1371">
        <f t="shared" si="12"/>
        <v>0</v>
      </c>
      <c r="O50" s="612"/>
    </row>
    <row r="51" spans="1:15" ht="13.5" customHeight="1" x14ac:dyDescent="0.2">
      <c r="A51" s="5" t="s">
        <v>30</v>
      </c>
      <c r="B51" s="519">
        <f>T_19!G12</f>
        <v>0</v>
      </c>
      <c r="C51" s="520">
        <f>T_19!H12</f>
        <v>1</v>
      </c>
      <c r="D51" s="520">
        <f>T_19!I12</f>
        <v>0</v>
      </c>
      <c r="E51" s="520">
        <f>T_19!J12</f>
        <v>0</v>
      </c>
      <c r="F51" s="483">
        <f>T_19!K12</f>
        <v>0</v>
      </c>
      <c r="G51" s="562">
        <f t="shared" si="7"/>
        <v>1</v>
      </c>
      <c r="I51" s="1410">
        <f t="shared" si="8"/>
        <v>0</v>
      </c>
      <c r="J51" s="1411">
        <f t="shared" si="9"/>
        <v>100</v>
      </c>
      <c r="K51" s="1411">
        <f t="shared" si="10"/>
        <v>0</v>
      </c>
      <c r="L51" s="1411">
        <f t="shared" si="11"/>
        <v>0</v>
      </c>
      <c r="M51" s="1373">
        <f t="shared" si="12"/>
        <v>0</v>
      </c>
      <c r="O51" s="612"/>
    </row>
    <row r="52" spans="1:15" ht="13.5" customHeight="1" x14ac:dyDescent="0.2">
      <c r="A52" s="355" t="s">
        <v>31</v>
      </c>
      <c r="B52" s="613">
        <f>T_19!G13</f>
        <v>0</v>
      </c>
      <c r="C52" s="614">
        <f>T_19!H13</f>
        <v>0</v>
      </c>
      <c r="D52" s="614">
        <f>T_19!I13</f>
        <v>0</v>
      </c>
      <c r="E52" s="614">
        <f>T_19!J13</f>
        <v>0</v>
      </c>
      <c r="F52" s="615">
        <f>T_19!K13</f>
        <v>0</v>
      </c>
      <c r="G52" s="616">
        <f t="shared" si="7"/>
        <v>0</v>
      </c>
      <c r="I52" s="1408">
        <f t="shared" si="8"/>
        <v>0</v>
      </c>
      <c r="J52" s="1409">
        <f t="shared" si="9"/>
        <v>0</v>
      </c>
      <c r="K52" s="1409">
        <f t="shared" si="10"/>
        <v>0</v>
      </c>
      <c r="L52" s="1409">
        <f t="shared" si="11"/>
        <v>0</v>
      </c>
      <c r="M52" s="1371">
        <f t="shared" si="12"/>
        <v>0</v>
      </c>
      <c r="O52" s="612"/>
    </row>
    <row r="53" spans="1:15" ht="13.5" customHeight="1" x14ac:dyDescent="0.2">
      <c r="A53" s="5" t="s">
        <v>32</v>
      </c>
      <c r="B53" s="519">
        <f>T_19!G14</f>
        <v>0</v>
      </c>
      <c r="C53" s="520">
        <f>T_19!H14</f>
        <v>0</v>
      </c>
      <c r="D53" s="520">
        <f>T_19!I14</f>
        <v>0</v>
      </c>
      <c r="E53" s="520">
        <f>T_19!J14</f>
        <v>2</v>
      </c>
      <c r="F53" s="483">
        <f>T_19!K14</f>
        <v>0</v>
      </c>
      <c r="G53" s="562">
        <f t="shared" si="7"/>
        <v>2</v>
      </c>
      <c r="I53" s="1410">
        <f t="shared" si="8"/>
        <v>0</v>
      </c>
      <c r="J53" s="1411">
        <f t="shared" si="9"/>
        <v>0</v>
      </c>
      <c r="K53" s="1411">
        <f t="shared" si="10"/>
        <v>0</v>
      </c>
      <c r="L53" s="1411">
        <f t="shared" si="11"/>
        <v>100</v>
      </c>
      <c r="M53" s="1373">
        <f t="shared" si="12"/>
        <v>0</v>
      </c>
      <c r="O53" s="612"/>
    </row>
    <row r="54" spans="1:15" ht="13.5" customHeight="1" x14ac:dyDescent="0.2">
      <c r="A54" s="355" t="s">
        <v>33</v>
      </c>
      <c r="B54" s="613">
        <f>T_19!G15</f>
        <v>0</v>
      </c>
      <c r="C54" s="614">
        <f>T_19!H15</f>
        <v>0</v>
      </c>
      <c r="D54" s="614">
        <f>T_19!I15</f>
        <v>0</v>
      </c>
      <c r="E54" s="614">
        <f>T_19!J15</f>
        <v>0</v>
      </c>
      <c r="F54" s="615">
        <f>T_19!K15</f>
        <v>0</v>
      </c>
      <c r="G54" s="616">
        <f t="shared" si="7"/>
        <v>0</v>
      </c>
      <c r="I54" s="1408">
        <f t="shared" si="8"/>
        <v>0</v>
      </c>
      <c r="J54" s="1409">
        <f t="shared" si="9"/>
        <v>0</v>
      </c>
      <c r="K54" s="1409">
        <f t="shared" si="10"/>
        <v>0</v>
      </c>
      <c r="L54" s="1409">
        <f t="shared" si="11"/>
        <v>0</v>
      </c>
      <c r="M54" s="1371">
        <f t="shared" si="12"/>
        <v>0</v>
      </c>
      <c r="O54" s="612"/>
    </row>
    <row r="55" spans="1:15" ht="13.5" customHeight="1" x14ac:dyDescent="0.2">
      <c r="A55" s="5" t="s">
        <v>137</v>
      </c>
      <c r="B55" s="519">
        <f>T_19!G16</f>
        <v>1</v>
      </c>
      <c r="C55" s="520">
        <f>T_19!H16</f>
        <v>0</v>
      </c>
      <c r="D55" s="520">
        <f>T_19!I16</f>
        <v>0</v>
      </c>
      <c r="E55" s="520">
        <f>T_19!J16</f>
        <v>0</v>
      </c>
      <c r="F55" s="483">
        <f>T_19!K16</f>
        <v>0</v>
      </c>
      <c r="G55" s="562">
        <f t="shared" si="7"/>
        <v>1</v>
      </c>
      <c r="I55" s="1410">
        <f t="shared" si="8"/>
        <v>100</v>
      </c>
      <c r="J55" s="1411">
        <f t="shared" si="9"/>
        <v>0</v>
      </c>
      <c r="K55" s="1411">
        <f t="shared" si="10"/>
        <v>0</v>
      </c>
      <c r="L55" s="1411">
        <f t="shared" si="11"/>
        <v>0</v>
      </c>
      <c r="M55" s="1373">
        <f t="shared" si="12"/>
        <v>0</v>
      </c>
      <c r="O55" s="612"/>
    </row>
    <row r="56" spans="1:15" ht="13.5" customHeight="1" x14ac:dyDescent="0.2">
      <c r="A56" s="355" t="s">
        <v>34</v>
      </c>
      <c r="B56" s="613">
        <f>T_19!G17</f>
        <v>1</v>
      </c>
      <c r="C56" s="614">
        <f>T_19!H17</f>
        <v>1</v>
      </c>
      <c r="D56" s="614">
        <f>T_19!I17</f>
        <v>0</v>
      </c>
      <c r="E56" s="614">
        <f>T_19!J17</f>
        <v>0</v>
      </c>
      <c r="F56" s="615">
        <f>T_19!K17</f>
        <v>0</v>
      </c>
      <c r="G56" s="616">
        <f t="shared" si="7"/>
        <v>2</v>
      </c>
      <c r="I56" s="1408">
        <f t="shared" si="8"/>
        <v>50</v>
      </c>
      <c r="J56" s="1409">
        <f t="shared" si="9"/>
        <v>50</v>
      </c>
      <c r="K56" s="1409">
        <f t="shared" si="10"/>
        <v>0</v>
      </c>
      <c r="L56" s="1409">
        <f t="shared" si="11"/>
        <v>0</v>
      </c>
      <c r="M56" s="1371">
        <f t="shared" si="12"/>
        <v>0</v>
      </c>
      <c r="O56" s="612"/>
    </row>
    <row r="57" spans="1:15" ht="13.5" customHeight="1" x14ac:dyDescent="0.2">
      <c r="A57" s="5" t="s">
        <v>35</v>
      </c>
      <c r="B57" s="519">
        <f>T_19!G18</f>
        <v>0</v>
      </c>
      <c r="C57" s="520">
        <f>T_19!H18</f>
        <v>0</v>
      </c>
      <c r="D57" s="520">
        <f>T_19!I18</f>
        <v>0</v>
      </c>
      <c r="E57" s="520">
        <f>T_19!J18</f>
        <v>2</v>
      </c>
      <c r="F57" s="483">
        <f>T_19!K18</f>
        <v>0</v>
      </c>
      <c r="G57" s="562">
        <f t="shared" si="7"/>
        <v>2</v>
      </c>
      <c r="I57" s="1410">
        <f t="shared" si="8"/>
        <v>0</v>
      </c>
      <c r="J57" s="1411">
        <f t="shared" si="9"/>
        <v>0</v>
      </c>
      <c r="K57" s="1411">
        <f t="shared" si="10"/>
        <v>0</v>
      </c>
      <c r="L57" s="1411">
        <f t="shared" si="11"/>
        <v>100</v>
      </c>
      <c r="M57" s="1373">
        <f t="shared" si="12"/>
        <v>0</v>
      </c>
      <c r="O57" s="612"/>
    </row>
    <row r="58" spans="1:15" ht="13.5" customHeight="1" x14ac:dyDescent="0.2">
      <c r="A58" s="355" t="s">
        <v>36</v>
      </c>
      <c r="B58" s="613">
        <f>T_19!G19</f>
        <v>3</v>
      </c>
      <c r="C58" s="614">
        <f>T_19!H19</f>
        <v>1</v>
      </c>
      <c r="D58" s="614">
        <f>T_19!I19</f>
        <v>0</v>
      </c>
      <c r="E58" s="614">
        <f>T_19!J19</f>
        <v>1</v>
      </c>
      <c r="F58" s="615">
        <f>T_19!K19</f>
        <v>0</v>
      </c>
      <c r="G58" s="616">
        <f t="shared" si="7"/>
        <v>5</v>
      </c>
      <c r="I58" s="1408">
        <f t="shared" si="8"/>
        <v>60</v>
      </c>
      <c r="J58" s="1409">
        <f t="shared" si="9"/>
        <v>20</v>
      </c>
      <c r="K58" s="1409">
        <f t="shared" si="10"/>
        <v>0</v>
      </c>
      <c r="L58" s="1409">
        <f t="shared" si="11"/>
        <v>20</v>
      </c>
      <c r="M58" s="1371">
        <f t="shared" si="12"/>
        <v>0</v>
      </c>
      <c r="O58" s="612"/>
    </row>
    <row r="59" spans="1:15" ht="13.5" customHeight="1" x14ac:dyDescent="0.2">
      <c r="A59" s="5" t="s">
        <v>37</v>
      </c>
      <c r="B59" s="519">
        <f>T_19!G20</f>
        <v>0</v>
      </c>
      <c r="C59" s="520">
        <f>T_19!H20</f>
        <v>0</v>
      </c>
      <c r="D59" s="520">
        <f>T_19!I20</f>
        <v>0</v>
      </c>
      <c r="E59" s="520">
        <f>T_19!J20</f>
        <v>1</v>
      </c>
      <c r="F59" s="483">
        <f>T_19!K20</f>
        <v>1</v>
      </c>
      <c r="G59" s="562">
        <f t="shared" si="7"/>
        <v>2</v>
      </c>
      <c r="I59" s="1410">
        <f t="shared" si="8"/>
        <v>0</v>
      </c>
      <c r="J59" s="1411">
        <f t="shared" si="9"/>
        <v>0</v>
      </c>
      <c r="K59" s="1411">
        <f t="shared" si="10"/>
        <v>0</v>
      </c>
      <c r="L59" s="1411">
        <f t="shared" si="11"/>
        <v>50</v>
      </c>
      <c r="M59" s="1373">
        <f t="shared" si="12"/>
        <v>50</v>
      </c>
      <c r="O59" s="612"/>
    </row>
    <row r="60" spans="1:15" ht="13.5" customHeight="1" x14ac:dyDescent="0.2">
      <c r="A60" s="355" t="s">
        <v>38</v>
      </c>
      <c r="B60" s="613">
        <f>T_19!G21</f>
        <v>0</v>
      </c>
      <c r="C60" s="614">
        <f>T_19!H21</f>
        <v>0</v>
      </c>
      <c r="D60" s="614">
        <f>T_19!I21</f>
        <v>0</v>
      </c>
      <c r="E60" s="614">
        <f>T_19!J21</f>
        <v>0</v>
      </c>
      <c r="F60" s="615">
        <f>T_19!K21</f>
        <v>0</v>
      </c>
      <c r="G60" s="616">
        <f t="shared" si="7"/>
        <v>0</v>
      </c>
      <c r="I60" s="1408">
        <f t="shared" si="8"/>
        <v>0</v>
      </c>
      <c r="J60" s="1409">
        <f t="shared" si="9"/>
        <v>0</v>
      </c>
      <c r="K60" s="1409">
        <f t="shared" si="10"/>
        <v>0</v>
      </c>
      <c r="L60" s="1409">
        <f t="shared" si="11"/>
        <v>0</v>
      </c>
      <c r="M60" s="1371">
        <f t="shared" si="12"/>
        <v>0</v>
      </c>
      <c r="O60" s="612"/>
    </row>
    <row r="61" spans="1:15" ht="13.5" customHeight="1" x14ac:dyDescent="0.2">
      <c r="A61" s="5" t="s">
        <v>39</v>
      </c>
      <c r="B61" s="519">
        <f>T_19!G22</f>
        <v>0</v>
      </c>
      <c r="C61" s="520">
        <f>T_19!H22</f>
        <v>0</v>
      </c>
      <c r="D61" s="520">
        <f>T_19!I22</f>
        <v>0</v>
      </c>
      <c r="E61" s="520">
        <f>T_19!J22</f>
        <v>0</v>
      </c>
      <c r="F61" s="483">
        <f>T_19!K22</f>
        <v>0</v>
      </c>
      <c r="G61" s="562">
        <f t="shared" si="7"/>
        <v>0</v>
      </c>
      <c r="I61" s="1410">
        <f t="shared" si="8"/>
        <v>0</v>
      </c>
      <c r="J61" s="1411">
        <f t="shared" si="9"/>
        <v>0</v>
      </c>
      <c r="K61" s="1411">
        <f t="shared" si="10"/>
        <v>0</v>
      </c>
      <c r="L61" s="1411">
        <f t="shared" si="11"/>
        <v>0</v>
      </c>
      <c r="M61" s="1373">
        <f t="shared" si="12"/>
        <v>0</v>
      </c>
      <c r="O61" s="612"/>
    </row>
    <row r="62" spans="1:15" ht="13.5" customHeight="1" x14ac:dyDescent="0.2">
      <c r="A62" s="355" t="s">
        <v>40</v>
      </c>
      <c r="B62" s="613">
        <f>T_19!G23</f>
        <v>0</v>
      </c>
      <c r="C62" s="614">
        <f>T_19!H23</f>
        <v>0</v>
      </c>
      <c r="D62" s="614">
        <f>T_19!I23</f>
        <v>0</v>
      </c>
      <c r="E62" s="614">
        <f>T_19!J23</f>
        <v>0</v>
      </c>
      <c r="F62" s="615">
        <f>T_19!K23</f>
        <v>0</v>
      </c>
      <c r="G62" s="616">
        <f t="shared" si="7"/>
        <v>0</v>
      </c>
      <c r="I62" s="1408">
        <f t="shared" si="8"/>
        <v>0</v>
      </c>
      <c r="J62" s="1409">
        <f t="shared" si="9"/>
        <v>0</v>
      </c>
      <c r="K62" s="1409">
        <f t="shared" si="10"/>
        <v>0</v>
      </c>
      <c r="L62" s="1409">
        <f t="shared" si="11"/>
        <v>0</v>
      </c>
      <c r="M62" s="1371">
        <f t="shared" si="12"/>
        <v>0</v>
      </c>
      <c r="O62" s="612"/>
    </row>
    <row r="63" spans="1:15" ht="13.5" customHeight="1" x14ac:dyDescent="0.2">
      <c r="A63" s="5" t="s">
        <v>393</v>
      </c>
      <c r="B63" s="519">
        <f>T_19!G24</f>
        <v>0</v>
      </c>
      <c r="C63" s="520">
        <f>T_19!H24</f>
        <v>0</v>
      </c>
      <c r="D63" s="520">
        <f>T_19!I24</f>
        <v>1</v>
      </c>
      <c r="E63" s="520">
        <f>T_19!J24</f>
        <v>0</v>
      </c>
      <c r="F63" s="483">
        <f>T_19!K24</f>
        <v>0</v>
      </c>
      <c r="G63" s="562">
        <f t="shared" si="7"/>
        <v>1</v>
      </c>
      <c r="I63" s="1410">
        <f t="shared" si="8"/>
        <v>0</v>
      </c>
      <c r="J63" s="1411">
        <f t="shared" si="9"/>
        <v>0</v>
      </c>
      <c r="K63" s="1411">
        <f t="shared" si="10"/>
        <v>100</v>
      </c>
      <c r="L63" s="1411">
        <f t="shared" si="11"/>
        <v>0</v>
      </c>
      <c r="M63" s="1373">
        <f t="shared" si="12"/>
        <v>0</v>
      </c>
      <c r="O63" s="612"/>
    </row>
    <row r="64" spans="1:15" ht="13.5" customHeight="1" x14ac:dyDescent="0.2">
      <c r="A64" s="355" t="s">
        <v>41</v>
      </c>
      <c r="B64" s="613">
        <f>T_19!G25</f>
        <v>0</v>
      </c>
      <c r="C64" s="614">
        <f>T_19!H25</f>
        <v>0</v>
      </c>
      <c r="D64" s="614">
        <f>T_19!I25</f>
        <v>0</v>
      </c>
      <c r="E64" s="614">
        <f>T_19!J25</f>
        <v>0</v>
      </c>
      <c r="F64" s="615">
        <f>T_19!K25</f>
        <v>0</v>
      </c>
      <c r="G64" s="616">
        <f t="shared" si="7"/>
        <v>0</v>
      </c>
      <c r="I64" s="1408">
        <f t="shared" si="8"/>
        <v>0</v>
      </c>
      <c r="J64" s="1409">
        <f t="shared" si="9"/>
        <v>0</v>
      </c>
      <c r="K64" s="1409">
        <f t="shared" si="10"/>
        <v>0</v>
      </c>
      <c r="L64" s="1409">
        <f t="shared" si="11"/>
        <v>0</v>
      </c>
      <c r="M64" s="1371">
        <f t="shared" si="12"/>
        <v>0</v>
      </c>
      <c r="O64" s="612"/>
    </row>
    <row r="65" spans="1:15" ht="13.5" customHeight="1" x14ac:dyDescent="0.2">
      <c r="A65" s="5" t="s">
        <v>42</v>
      </c>
      <c r="B65" s="519">
        <f>T_19!G26</f>
        <v>1</v>
      </c>
      <c r="C65" s="520">
        <f>T_19!H26</f>
        <v>0</v>
      </c>
      <c r="D65" s="520">
        <f>T_19!I26</f>
        <v>0</v>
      </c>
      <c r="E65" s="520">
        <f>T_19!J26</f>
        <v>0</v>
      </c>
      <c r="F65" s="483">
        <f>T_19!K26</f>
        <v>0</v>
      </c>
      <c r="G65" s="562">
        <f t="shared" si="7"/>
        <v>1</v>
      </c>
      <c r="I65" s="1410">
        <f t="shared" si="8"/>
        <v>100</v>
      </c>
      <c r="J65" s="1411">
        <f t="shared" si="9"/>
        <v>0</v>
      </c>
      <c r="K65" s="1411">
        <f t="shared" si="10"/>
        <v>0</v>
      </c>
      <c r="L65" s="1411">
        <f t="shared" si="11"/>
        <v>0</v>
      </c>
      <c r="M65" s="1373">
        <f t="shared" si="12"/>
        <v>0</v>
      </c>
      <c r="O65" s="612"/>
    </row>
    <row r="66" spans="1:15" ht="13.5" customHeight="1" x14ac:dyDescent="0.2">
      <c r="A66" s="355" t="s">
        <v>43</v>
      </c>
      <c r="B66" s="613">
        <f>T_19!G27</f>
        <v>0</v>
      </c>
      <c r="C66" s="614">
        <f>T_19!H27</f>
        <v>0</v>
      </c>
      <c r="D66" s="614">
        <f>T_19!I27</f>
        <v>0</v>
      </c>
      <c r="E66" s="614">
        <f>T_19!J27</f>
        <v>0</v>
      </c>
      <c r="F66" s="615">
        <f>T_19!K27</f>
        <v>0</v>
      </c>
      <c r="G66" s="616">
        <f t="shared" si="7"/>
        <v>0</v>
      </c>
      <c r="I66" s="1408">
        <f t="shared" si="8"/>
        <v>0</v>
      </c>
      <c r="J66" s="1409">
        <f t="shared" si="9"/>
        <v>0</v>
      </c>
      <c r="K66" s="1409">
        <f t="shared" si="10"/>
        <v>0</v>
      </c>
      <c r="L66" s="1409">
        <f t="shared" si="11"/>
        <v>0</v>
      </c>
      <c r="M66" s="1371">
        <f t="shared" si="12"/>
        <v>0</v>
      </c>
      <c r="O66" s="612"/>
    </row>
    <row r="67" spans="1:15" ht="13.5" customHeight="1" x14ac:dyDescent="0.2">
      <c r="A67" s="5" t="s">
        <v>44</v>
      </c>
      <c r="B67" s="519">
        <f>T_19!G28</f>
        <v>0</v>
      </c>
      <c r="C67" s="520">
        <f>T_19!H28</f>
        <v>0</v>
      </c>
      <c r="D67" s="520">
        <f>T_19!I28</f>
        <v>0</v>
      </c>
      <c r="E67" s="520">
        <f>T_19!J28</f>
        <v>0</v>
      </c>
      <c r="F67" s="483">
        <f>T_19!K28</f>
        <v>0</v>
      </c>
      <c r="G67" s="562">
        <f t="shared" si="7"/>
        <v>0</v>
      </c>
      <c r="I67" s="1410">
        <f t="shared" si="8"/>
        <v>0</v>
      </c>
      <c r="J67" s="1411">
        <f t="shared" si="9"/>
        <v>0</v>
      </c>
      <c r="K67" s="1411">
        <f t="shared" si="10"/>
        <v>0</v>
      </c>
      <c r="L67" s="1411">
        <f t="shared" si="11"/>
        <v>0</v>
      </c>
      <c r="M67" s="1373">
        <f t="shared" si="12"/>
        <v>0</v>
      </c>
      <c r="O67" s="612"/>
    </row>
    <row r="68" spans="1:15" ht="13.5" customHeight="1" x14ac:dyDescent="0.2">
      <c r="A68" s="355" t="s">
        <v>45</v>
      </c>
      <c r="B68" s="617">
        <f>T_19!G29</f>
        <v>0</v>
      </c>
      <c r="C68" s="618">
        <f>T_19!H29</f>
        <v>0</v>
      </c>
      <c r="D68" s="618">
        <f>T_19!I29</f>
        <v>1</v>
      </c>
      <c r="E68" s="618">
        <f>T_19!J29</f>
        <v>0</v>
      </c>
      <c r="F68" s="619">
        <f>T_19!K29</f>
        <v>0</v>
      </c>
      <c r="G68" s="616">
        <f t="shared" si="7"/>
        <v>1</v>
      </c>
      <c r="H68" s="624"/>
      <c r="I68" s="1408">
        <f t="shared" si="8"/>
        <v>0</v>
      </c>
      <c r="J68" s="1409">
        <f t="shared" si="9"/>
        <v>0</v>
      </c>
      <c r="K68" s="1409">
        <f t="shared" si="10"/>
        <v>100</v>
      </c>
      <c r="L68" s="1409">
        <f t="shared" si="11"/>
        <v>0</v>
      </c>
      <c r="M68" s="1371">
        <f t="shared" si="12"/>
        <v>0</v>
      </c>
      <c r="O68" s="612"/>
    </row>
    <row r="69" spans="1:15" ht="13.5" customHeight="1" x14ac:dyDescent="0.2">
      <c r="A69" s="30" t="s">
        <v>46</v>
      </c>
      <c r="B69" s="554">
        <f>T_19!G30</f>
        <v>0</v>
      </c>
      <c r="C69" s="602">
        <f>T_19!H30</f>
        <v>1</v>
      </c>
      <c r="D69" s="602">
        <f>T_19!I30</f>
        <v>0</v>
      </c>
      <c r="E69" s="602">
        <f>T_19!J30</f>
        <v>0</v>
      </c>
      <c r="F69" s="505">
        <f>T_19!K30</f>
        <v>0</v>
      </c>
      <c r="G69" s="562">
        <f t="shared" si="7"/>
        <v>1</v>
      </c>
      <c r="H69" s="624"/>
      <c r="I69" s="1410">
        <f t="shared" si="8"/>
        <v>0</v>
      </c>
      <c r="J69" s="1411">
        <f t="shared" si="9"/>
        <v>100</v>
      </c>
      <c r="K69" s="1411">
        <f t="shared" si="10"/>
        <v>0</v>
      </c>
      <c r="L69" s="1411">
        <f t="shared" si="11"/>
        <v>0</v>
      </c>
      <c r="M69" s="1373">
        <f t="shared" si="12"/>
        <v>0</v>
      </c>
      <c r="O69" s="612"/>
    </row>
    <row r="70" spans="1:15" ht="13.5" customHeight="1" x14ac:dyDescent="0.2">
      <c r="A70" s="355" t="s">
        <v>47</v>
      </c>
      <c r="B70" s="620">
        <f>T_19!G31</f>
        <v>0</v>
      </c>
      <c r="C70" s="621">
        <f>T_19!H31</f>
        <v>0</v>
      </c>
      <c r="D70" s="618">
        <f>T_19!I31</f>
        <v>0</v>
      </c>
      <c r="E70" s="618">
        <f>T_19!J31</f>
        <v>0</v>
      </c>
      <c r="F70" s="619">
        <f>T_19!K31</f>
        <v>0</v>
      </c>
      <c r="G70" s="616">
        <f t="shared" si="7"/>
        <v>0</v>
      </c>
      <c r="H70" s="624"/>
      <c r="I70" s="1408">
        <f t="shared" si="8"/>
        <v>0</v>
      </c>
      <c r="J70" s="1409">
        <f t="shared" si="9"/>
        <v>0</v>
      </c>
      <c r="K70" s="1409">
        <f t="shared" si="10"/>
        <v>0</v>
      </c>
      <c r="L70" s="1409">
        <f>IFERROR(E70/G70*100,0)</f>
        <v>0</v>
      </c>
      <c r="M70" s="1371">
        <f t="shared" si="12"/>
        <v>0</v>
      </c>
      <c r="O70" s="612"/>
    </row>
    <row r="71" spans="1:15" ht="13.5" customHeight="1" x14ac:dyDescent="0.2">
      <c r="A71" s="5" t="s">
        <v>48</v>
      </c>
      <c r="B71" s="554">
        <f>T_19!G32</f>
        <v>0</v>
      </c>
      <c r="C71" s="602">
        <f>T_19!H32</f>
        <v>1</v>
      </c>
      <c r="D71" s="179">
        <f>T_19!I32</f>
        <v>0</v>
      </c>
      <c r="E71" s="179">
        <f>T_19!J32</f>
        <v>0</v>
      </c>
      <c r="F71" s="505">
        <f>T_19!K32</f>
        <v>2</v>
      </c>
      <c r="G71" s="562">
        <f t="shared" si="7"/>
        <v>3</v>
      </c>
      <c r="H71" s="624"/>
      <c r="I71" s="1410">
        <f t="shared" si="8"/>
        <v>0</v>
      </c>
      <c r="J71" s="1411">
        <f t="shared" si="9"/>
        <v>33.333333333333329</v>
      </c>
      <c r="K71" s="1411">
        <f t="shared" si="10"/>
        <v>0</v>
      </c>
      <c r="L71" s="1411">
        <f t="shared" si="11"/>
        <v>0</v>
      </c>
      <c r="M71" s="1373">
        <f t="shared" si="12"/>
        <v>66.666666666666657</v>
      </c>
      <c r="O71" s="612"/>
    </row>
    <row r="72" spans="1:15" ht="13.5" customHeight="1" x14ac:dyDescent="0.2">
      <c r="A72" s="355" t="s">
        <v>49</v>
      </c>
      <c r="B72" s="620">
        <f>T_19!G33</f>
        <v>3</v>
      </c>
      <c r="C72" s="618">
        <f>T_19!H33</f>
        <v>0</v>
      </c>
      <c r="D72" s="618">
        <f>T_19!I33</f>
        <v>1</v>
      </c>
      <c r="E72" s="618">
        <f>T_19!J33</f>
        <v>0</v>
      </c>
      <c r="F72" s="619">
        <f>T_19!K33</f>
        <v>0</v>
      </c>
      <c r="G72" s="616">
        <f t="shared" si="7"/>
        <v>4</v>
      </c>
      <c r="H72" s="624"/>
      <c r="I72" s="1408">
        <f t="shared" si="8"/>
        <v>75</v>
      </c>
      <c r="J72" s="1409">
        <f t="shared" si="9"/>
        <v>0</v>
      </c>
      <c r="K72" s="1409">
        <f t="shared" si="10"/>
        <v>25</v>
      </c>
      <c r="L72" s="1409">
        <f t="shared" si="11"/>
        <v>0</v>
      </c>
      <c r="M72" s="1371">
        <f t="shared" si="12"/>
        <v>0</v>
      </c>
      <c r="O72" s="612"/>
    </row>
    <row r="73" spans="1:15" ht="13.5" customHeight="1" x14ac:dyDescent="0.2">
      <c r="A73" s="5" t="s">
        <v>50</v>
      </c>
      <c r="B73" s="541">
        <f>T_19!G34</f>
        <v>1</v>
      </c>
      <c r="C73" s="602">
        <f>T_19!H34</f>
        <v>0</v>
      </c>
      <c r="D73" s="179">
        <f>T_19!I34</f>
        <v>1</v>
      </c>
      <c r="E73" s="179">
        <f>T_19!J34</f>
        <v>0</v>
      </c>
      <c r="F73" s="505">
        <f>T_19!K34</f>
        <v>0</v>
      </c>
      <c r="G73" s="562">
        <f t="shared" si="7"/>
        <v>2</v>
      </c>
      <c r="H73" s="624"/>
      <c r="I73" s="1410">
        <f t="shared" si="8"/>
        <v>50</v>
      </c>
      <c r="J73" s="1411">
        <f t="shared" si="9"/>
        <v>0</v>
      </c>
      <c r="K73" s="1411">
        <f t="shared" si="10"/>
        <v>50</v>
      </c>
      <c r="L73" s="1411">
        <f t="shared" si="11"/>
        <v>0</v>
      </c>
      <c r="M73" s="1373">
        <f t="shared" si="12"/>
        <v>0</v>
      </c>
      <c r="O73" s="612"/>
    </row>
    <row r="74" spans="1:15" ht="13.5" customHeight="1" x14ac:dyDescent="0.2">
      <c r="A74" s="355" t="s">
        <v>51</v>
      </c>
      <c r="B74" s="622">
        <f>T_19!G35</f>
        <v>0</v>
      </c>
      <c r="C74" s="621">
        <f>T_19!H35</f>
        <v>1</v>
      </c>
      <c r="D74" s="621">
        <f>T_19!I35</f>
        <v>0</v>
      </c>
      <c r="E74" s="621">
        <f>T_19!J35</f>
        <v>0</v>
      </c>
      <c r="F74" s="623">
        <f>T_19!K35</f>
        <v>0</v>
      </c>
      <c r="G74" s="616">
        <f t="shared" si="7"/>
        <v>1</v>
      </c>
      <c r="H74" s="624"/>
      <c r="I74" s="1408">
        <f t="shared" si="8"/>
        <v>0</v>
      </c>
      <c r="J74" s="1409">
        <f t="shared" si="9"/>
        <v>100</v>
      </c>
      <c r="K74" s="1409">
        <f t="shared" si="10"/>
        <v>0</v>
      </c>
      <c r="L74" s="1409">
        <f t="shared" si="11"/>
        <v>0</v>
      </c>
      <c r="M74" s="1371">
        <f t="shared" si="12"/>
        <v>0</v>
      </c>
      <c r="O74" s="612"/>
    </row>
    <row r="75" spans="1:15" ht="13.5" customHeight="1" x14ac:dyDescent="0.2">
      <c r="A75" s="5" t="s">
        <v>52</v>
      </c>
      <c r="B75" s="554">
        <f>T_19!G36</f>
        <v>0</v>
      </c>
      <c r="C75" s="179">
        <f>T_19!H36</f>
        <v>0</v>
      </c>
      <c r="D75" s="179">
        <f>T_19!I36</f>
        <v>0</v>
      </c>
      <c r="E75" s="602">
        <f>T_19!J36</f>
        <v>0</v>
      </c>
      <c r="F75" s="505">
        <f>T_19!K36</f>
        <v>0</v>
      </c>
      <c r="G75" s="562">
        <f t="shared" si="7"/>
        <v>0</v>
      </c>
      <c r="H75" s="624"/>
      <c r="I75" s="1410">
        <f t="shared" si="8"/>
        <v>0</v>
      </c>
      <c r="J75" s="1411">
        <f t="shared" si="9"/>
        <v>0</v>
      </c>
      <c r="K75" s="1411">
        <f t="shared" si="10"/>
        <v>0</v>
      </c>
      <c r="L75" s="1411">
        <f t="shared" si="11"/>
        <v>0</v>
      </c>
      <c r="M75" s="1373">
        <f t="shared" si="12"/>
        <v>0</v>
      </c>
      <c r="O75" s="612"/>
    </row>
    <row r="76" spans="1:15" ht="13.5" customHeight="1" x14ac:dyDescent="0.2">
      <c r="A76" s="343"/>
      <c r="B76" s="622"/>
      <c r="C76" s="621"/>
      <c r="D76" s="621"/>
      <c r="E76" s="621"/>
      <c r="F76" s="623"/>
      <c r="G76" s="616"/>
      <c r="H76" s="624"/>
      <c r="I76" s="1408"/>
      <c r="J76" s="1409"/>
      <c r="K76" s="1409"/>
      <c r="L76" s="1409"/>
      <c r="M76" s="1371"/>
      <c r="O76" s="612"/>
    </row>
    <row r="77" spans="1:15" ht="30" customHeight="1" x14ac:dyDescent="0.2">
      <c r="A77" s="232" t="s">
        <v>159</v>
      </c>
      <c r="B77" s="128">
        <f>SUM(B44:B76)</f>
        <v>12</v>
      </c>
      <c r="C77" s="168">
        <f t="shared" ref="C77:F77" si="13">SUM(C44:C76)</f>
        <v>8</v>
      </c>
      <c r="D77" s="168">
        <f t="shared" si="13"/>
        <v>8</v>
      </c>
      <c r="E77" s="168">
        <f t="shared" si="13"/>
        <v>6</v>
      </c>
      <c r="F77" s="235">
        <f t="shared" si="13"/>
        <v>3</v>
      </c>
      <c r="G77" s="235">
        <f>SUM(G44:G75)</f>
        <v>37</v>
      </c>
      <c r="H77" s="560"/>
      <c r="I77" s="1418">
        <f t="shared" si="8"/>
        <v>32.432432432432435</v>
      </c>
      <c r="J77" s="1419">
        <f t="shared" si="9"/>
        <v>21.621621621621621</v>
      </c>
      <c r="K77" s="1419">
        <f>IFERROR(D77/G77*100,0)</f>
        <v>21.621621621621621</v>
      </c>
      <c r="L77" s="1419">
        <f t="shared" si="11"/>
        <v>16.216216216216218</v>
      </c>
      <c r="M77" s="1420">
        <f t="shared" si="12"/>
        <v>8.1081081081081088</v>
      </c>
      <c r="O77" s="612"/>
    </row>
    <row r="78" spans="1:15" x14ac:dyDescent="0.2">
      <c r="A78" s="1"/>
      <c r="B78" s="1"/>
      <c r="C78" s="1"/>
      <c r="D78" s="1"/>
      <c r="E78" s="1"/>
      <c r="F78" s="1"/>
      <c r="G78" s="1"/>
      <c r="H78" s="1"/>
      <c r="I78" s="1"/>
      <c r="J78" s="1"/>
      <c r="K78" s="1"/>
      <c r="L78" s="1"/>
      <c r="M78" s="1"/>
    </row>
    <row r="79" spans="1:15" x14ac:dyDescent="0.2">
      <c r="A79" s="1"/>
      <c r="B79" s="1"/>
      <c r="C79" s="1"/>
      <c r="D79" s="1"/>
      <c r="E79" s="1"/>
      <c r="F79" s="1"/>
      <c r="G79" s="1"/>
      <c r="H79" s="1"/>
      <c r="I79" s="1"/>
      <c r="J79" s="1"/>
      <c r="K79" s="1"/>
      <c r="L79" s="1"/>
      <c r="M79" s="1"/>
    </row>
    <row r="80" spans="1:15" ht="15" x14ac:dyDescent="0.25">
      <c r="A80" s="1"/>
      <c r="B80" s="1"/>
      <c r="C80" s="1"/>
      <c r="D80" s="1"/>
      <c r="E80" s="1"/>
      <c r="F80" s="1"/>
      <c r="G80" s="234" t="s">
        <v>0</v>
      </c>
      <c r="H80" s="1"/>
      <c r="I80" s="1"/>
      <c r="J80" s="1"/>
      <c r="K80" s="1"/>
      <c r="L80" s="593"/>
      <c r="M80" s="146" t="s">
        <v>64</v>
      </c>
    </row>
    <row r="81" spans="1:15" x14ac:dyDescent="0.2">
      <c r="A81" s="1629" t="s">
        <v>22</v>
      </c>
      <c r="B81" s="1661" t="s">
        <v>342</v>
      </c>
      <c r="C81" s="1677"/>
      <c r="D81" s="1677"/>
      <c r="E81" s="1677"/>
      <c r="F81" s="1662"/>
      <c r="G81" s="1637" t="s">
        <v>195</v>
      </c>
      <c r="H81" s="101"/>
      <c r="I81" s="1661" t="s">
        <v>342</v>
      </c>
      <c r="J81" s="1677"/>
      <c r="K81" s="1677"/>
      <c r="L81" s="1677"/>
      <c r="M81" s="1662"/>
    </row>
    <row r="82" spans="1:15" ht="41.25" customHeight="1" x14ac:dyDescent="0.2">
      <c r="A82" s="1630"/>
      <c r="B82" s="765" t="s">
        <v>214</v>
      </c>
      <c r="C82" s="765" t="s">
        <v>215</v>
      </c>
      <c r="D82" s="765" t="s">
        <v>216</v>
      </c>
      <c r="E82" s="765" t="s">
        <v>211</v>
      </c>
      <c r="F82" s="765" t="s">
        <v>638</v>
      </c>
      <c r="G82" s="1729"/>
      <c r="H82" s="385"/>
      <c r="I82" s="102" t="s">
        <v>214</v>
      </c>
      <c r="J82" s="102" t="s">
        <v>215</v>
      </c>
      <c r="K82" s="102" t="s">
        <v>216</v>
      </c>
      <c r="L82" s="102" t="s">
        <v>211</v>
      </c>
      <c r="M82" s="102" t="s">
        <v>638</v>
      </c>
    </row>
    <row r="83" spans="1:15" ht="18.75" customHeight="1" x14ac:dyDescent="0.2">
      <c r="A83" s="343" t="s">
        <v>23</v>
      </c>
      <c r="B83" s="810">
        <f>T_19!L5</f>
        <v>14</v>
      </c>
      <c r="C83" s="811">
        <f>T_19!M5</f>
        <v>5</v>
      </c>
      <c r="D83" s="811">
        <f>T_19!N5</f>
        <v>0</v>
      </c>
      <c r="E83" s="811">
        <f>T_19!O5</f>
        <v>8</v>
      </c>
      <c r="F83" s="812">
        <f>T_19!P5</f>
        <v>2</v>
      </c>
      <c r="G83" s="616">
        <f>SUM(B83:F83)</f>
        <v>29</v>
      </c>
      <c r="H83" s="164"/>
      <c r="I83" s="1408">
        <f>SUM((B83/G83)*100)</f>
        <v>48.275862068965516</v>
      </c>
      <c r="J83" s="1409">
        <f>SUM((C83/G83)*100)</f>
        <v>17.241379310344829</v>
      </c>
      <c r="K83" s="1409">
        <f>SUM((D83/G83)*100)</f>
        <v>0</v>
      </c>
      <c r="L83" s="1409">
        <f>SUM((E83/G83)*100)</f>
        <v>27.586206896551722</v>
      </c>
      <c r="M83" s="1371">
        <f>SUM((F83/G83)*100)</f>
        <v>6.8965517241379306</v>
      </c>
      <c r="O83" s="612"/>
    </row>
    <row r="84" spans="1:15" x14ac:dyDescent="0.2">
      <c r="A84" s="46" t="s">
        <v>24</v>
      </c>
      <c r="B84" s="600">
        <f>T_19!L6</f>
        <v>7</v>
      </c>
      <c r="C84" s="601">
        <f>T_19!M6</f>
        <v>5</v>
      </c>
      <c r="D84" s="598">
        <f>T_19!N6</f>
        <v>2</v>
      </c>
      <c r="E84" s="601">
        <f>T_19!O6</f>
        <v>18</v>
      </c>
      <c r="F84" s="807">
        <f>T_19!P6</f>
        <v>0</v>
      </c>
      <c r="G84" s="562">
        <f t="shared" ref="G84:G114" si="14">SUM(B84:F84)</f>
        <v>32</v>
      </c>
      <c r="H84" s="164"/>
      <c r="I84" s="1421">
        <f t="shared" ref="I84:I116" si="15">SUM((B84/G84)*100)</f>
        <v>21.875</v>
      </c>
      <c r="J84" s="1422">
        <f t="shared" ref="J84:J116" si="16">SUM((C84/G84)*100)</f>
        <v>15.625</v>
      </c>
      <c r="K84" s="1422">
        <f t="shared" ref="K84:K116" si="17">SUM((D84/G84)*100)</f>
        <v>6.25</v>
      </c>
      <c r="L84" s="1422">
        <f t="shared" ref="L84:L116" si="18">SUM((E84/G84)*100)</f>
        <v>56.25</v>
      </c>
      <c r="M84" s="1423">
        <f t="shared" ref="M84:M116" si="19">SUM((F84/G84)*100)</f>
        <v>0</v>
      </c>
      <c r="O84" s="612"/>
    </row>
    <row r="85" spans="1:15" x14ac:dyDescent="0.2">
      <c r="A85" s="343" t="s">
        <v>25</v>
      </c>
      <c r="B85" s="603">
        <f>T_19!L7</f>
        <v>9</v>
      </c>
      <c r="C85" s="604">
        <f>T_19!M7</f>
        <v>2</v>
      </c>
      <c r="D85" s="606">
        <f>T_19!N7</f>
        <v>2</v>
      </c>
      <c r="E85" s="604">
        <f>T_19!O7</f>
        <v>5</v>
      </c>
      <c r="F85" s="813">
        <f>T_19!P7</f>
        <v>0</v>
      </c>
      <c r="G85" s="616">
        <f t="shared" si="14"/>
        <v>18</v>
      </c>
      <c r="H85" s="164"/>
      <c r="I85" s="1408">
        <f t="shared" si="15"/>
        <v>50</v>
      </c>
      <c r="J85" s="1409">
        <f t="shared" si="16"/>
        <v>11.111111111111111</v>
      </c>
      <c r="K85" s="1409">
        <f t="shared" si="17"/>
        <v>11.111111111111111</v>
      </c>
      <c r="L85" s="1409">
        <f t="shared" si="18"/>
        <v>27.777777777777779</v>
      </c>
      <c r="M85" s="1371">
        <f t="shared" si="19"/>
        <v>0</v>
      </c>
      <c r="O85" s="612"/>
    </row>
    <row r="86" spans="1:15" x14ac:dyDescent="0.2">
      <c r="A86" s="46" t="s">
        <v>26</v>
      </c>
      <c r="B86" s="600">
        <f>T_19!L8</f>
        <v>10</v>
      </c>
      <c r="C86" s="601">
        <f>T_19!M8</f>
        <v>1</v>
      </c>
      <c r="D86" s="598">
        <f>T_19!N8</f>
        <v>4</v>
      </c>
      <c r="E86" s="601">
        <f>T_19!O8</f>
        <v>3</v>
      </c>
      <c r="F86" s="807">
        <f>T_19!P8</f>
        <v>0</v>
      </c>
      <c r="G86" s="562">
        <f t="shared" si="14"/>
        <v>18</v>
      </c>
      <c r="H86" s="164"/>
      <c r="I86" s="1421">
        <f t="shared" si="15"/>
        <v>55.555555555555557</v>
      </c>
      <c r="J86" s="1422">
        <f t="shared" si="16"/>
        <v>5.5555555555555554</v>
      </c>
      <c r="K86" s="1422">
        <f t="shared" si="17"/>
        <v>22.222222222222221</v>
      </c>
      <c r="L86" s="1422">
        <f t="shared" si="18"/>
        <v>16.666666666666664</v>
      </c>
      <c r="M86" s="1423">
        <f t="shared" si="19"/>
        <v>0</v>
      </c>
      <c r="O86" s="612"/>
    </row>
    <row r="87" spans="1:15" x14ac:dyDescent="0.2">
      <c r="A87" s="343" t="s">
        <v>27</v>
      </c>
      <c r="B87" s="603">
        <f>T_19!L9</f>
        <v>6</v>
      </c>
      <c r="C87" s="604">
        <f>T_19!M9</f>
        <v>1</v>
      </c>
      <c r="D87" s="604">
        <f>T_19!N9</f>
        <v>0</v>
      </c>
      <c r="E87" s="604">
        <f>T_19!O9</f>
        <v>1</v>
      </c>
      <c r="F87" s="813">
        <f>T_19!P9</f>
        <v>0</v>
      </c>
      <c r="G87" s="616">
        <f t="shared" si="14"/>
        <v>8</v>
      </c>
      <c r="H87" s="164"/>
      <c r="I87" s="1408">
        <f t="shared" si="15"/>
        <v>75</v>
      </c>
      <c r="J87" s="1409">
        <f t="shared" si="16"/>
        <v>12.5</v>
      </c>
      <c r="K87" s="1409">
        <f t="shared" si="17"/>
        <v>0</v>
      </c>
      <c r="L87" s="1409">
        <f t="shared" si="18"/>
        <v>12.5</v>
      </c>
      <c r="M87" s="1371">
        <f t="shared" si="19"/>
        <v>0</v>
      </c>
      <c r="O87" s="612"/>
    </row>
    <row r="88" spans="1:15" x14ac:dyDescent="0.2">
      <c r="A88" s="46" t="s">
        <v>28</v>
      </c>
      <c r="B88" s="600">
        <f>T_19!L10</f>
        <v>3</v>
      </c>
      <c r="C88" s="598">
        <f>T_19!M10</f>
        <v>0</v>
      </c>
      <c r="D88" s="601">
        <f>T_19!N10</f>
        <v>0</v>
      </c>
      <c r="E88" s="601">
        <f>T_19!O10</f>
        <v>1</v>
      </c>
      <c r="F88" s="807">
        <f>T_19!P10</f>
        <v>0</v>
      </c>
      <c r="G88" s="562">
        <f t="shared" si="14"/>
        <v>4</v>
      </c>
      <c r="H88" s="164"/>
      <c r="I88" s="1421">
        <f t="shared" si="15"/>
        <v>75</v>
      </c>
      <c r="J88" s="1422">
        <f t="shared" si="16"/>
        <v>0</v>
      </c>
      <c r="K88" s="1422">
        <f t="shared" si="17"/>
        <v>0</v>
      </c>
      <c r="L88" s="1422">
        <f t="shared" si="18"/>
        <v>25</v>
      </c>
      <c r="M88" s="1423">
        <f t="shared" si="19"/>
        <v>0</v>
      </c>
      <c r="O88" s="612"/>
    </row>
    <row r="89" spans="1:15" x14ac:dyDescent="0.2">
      <c r="A89" s="343" t="s">
        <v>29</v>
      </c>
      <c r="B89" s="603">
        <f>T_19!L11</f>
        <v>22</v>
      </c>
      <c r="C89" s="604">
        <f>T_19!M11</f>
        <v>3</v>
      </c>
      <c r="D89" s="604">
        <f>T_19!N11</f>
        <v>2</v>
      </c>
      <c r="E89" s="604">
        <f>T_19!O11</f>
        <v>7</v>
      </c>
      <c r="F89" s="813">
        <f>T_19!P11</f>
        <v>0</v>
      </c>
      <c r="G89" s="616">
        <f t="shared" si="14"/>
        <v>34</v>
      </c>
      <c r="H89" s="164"/>
      <c r="I89" s="1408">
        <f t="shared" si="15"/>
        <v>64.705882352941174</v>
      </c>
      <c r="J89" s="1409">
        <f t="shared" si="16"/>
        <v>8.8235294117647065</v>
      </c>
      <c r="K89" s="1409">
        <f t="shared" si="17"/>
        <v>5.8823529411764701</v>
      </c>
      <c r="L89" s="1409">
        <f t="shared" si="18"/>
        <v>20.588235294117645</v>
      </c>
      <c r="M89" s="1371">
        <f t="shared" si="19"/>
        <v>0</v>
      </c>
      <c r="O89" s="612"/>
    </row>
    <row r="90" spans="1:15" x14ac:dyDescent="0.2">
      <c r="A90" s="46" t="s">
        <v>30</v>
      </c>
      <c r="B90" s="600">
        <f>T_19!L12</f>
        <v>15</v>
      </c>
      <c r="C90" s="601">
        <f>T_19!M12</f>
        <v>6</v>
      </c>
      <c r="D90" s="601">
        <f>T_19!N12</f>
        <v>2</v>
      </c>
      <c r="E90" s="601">
        <f>T_19!O12</f>
        <v>1</v>
      </c>
      <c r="F90" s="1069">
        <f>T_19!P12</f>
        <v>2</v>
      </c>
      <c r="G90" s="562">
        <f t="shared" si="14"/>
        <v>26</v>
      </c>
      <c r="H90" s="164"/>
      <c r="I90" s="1421">
        <f t="shared" si="15"/>
        <v>57.692307692307686</v>
      </c>
      <c r="J90" s="1422">
        <f t="shared" si="16"/>
        <v>23.076923076923077</v>
      </c>
      <c r="K90" s="1422">
        <f t="shared" si="17"/>
        <v>7.6923076923076925</v>
      </c>
      <c r="L90" s="1422">
        <f t="shared" si="18"/>
        <v>3.8461538461538463</v>
      </c>
      <c r="M90" s="1423">
        <f t="shared" si="19"/>
        <v>7.6923076923076925</v>
      </c>
      <c r="O90" s="612"/>
    </row>
    <row r="91" spans="1:15" x14ac:dyDescent="0.2">
      <c r="A91" s="343" t="s">
        <v>31</v>
      </c>
      <c r="B91" s="603">
        <f>T_19!L13</f>
        <v>7</v>
      </c>
      <c r="C91" s="604">
        <f>T_19!M13</f>
        <v>0</v>
      </c>
      <c r="D91" s="604">
        <f>T_19!N13</f>
        <v>4</v>
      </c>
      <c r="E91" s="604">
        <f>T_19!O13</f>
        <v>2</v>
      </c>
      <c r="F91" s="808">
        <f>T_19!P13</f>
        <v>0</v>
      </c>
      <c r="G91" s="616">
        <f t="shared" si="14"/>
        <v>13</v>
      </c>
      <c r="H91" s="164"/>
      <c r="I91" s="1408">
        <f t="shared" si="15"/>
        <v>53.846153846153847</v>
      </c>
      <c r="J91" s="1409">
        <f t="shared" si="16"/>
        <v>0</v>
      </c>
      <c r="K91" s="1409">
        <f t="shared" si="17"/>
        <v>30.76923076923077</v>
      </c>
      <c r="L91" s="1409">
        <f t="shared" si="18"/>
        <v>15.384615384615385</v>
      </c>
      <c r="M91" s="1371">
        <f t="shared" si="19"/>
        <v>0</v>
      </c>
      <c r="O91" s="612"/>
    </row>
    <row r="92" spans="1:15" x14ac:dyDescent="0.2">
      <c r="A92" s="46" t="s">
        <v>32</v>
      </c>
      <c r="B92" s="600">
        <f>T_19!L14</f>
        <v>5</v>
      </c>
      <c r="C92" s="601">
        <f>T_19!M14</f>
        <v>0</v>
      </c>
      <c r="D92" s="601">
        <f>T_19!N14</f>
        <v>0</v>
      </c>
      <c r="E92" s="598">
        <f>T_19!O14</f>
        <v>2</v>
      </c>
      <c r="F92" s="807">
        <f>T_19!P14</f>
        <v>0</v>
      </c>
      <c r="G92" s="562">
        <f t="shared" si="14"/>
        <v>7</v>
      </c>
      <c r="H92" s="164"/>
      <c r="I92" s="1421">
        <f t="shared" si="15"/>
        <v>71.428571428571431</v>
      </c>
      <c r="J92" s="1422">
        <f t="shared" si="16"/>
        <v>0</v>
      </c>
      <c r="K92" s="1422">
        <f t="shared" si="17"/>
        <v>0</v>
      </c>
      <c r="L92" s="1422">
        <f t="shared" si="18"/>
        <v>28.571428571428569</v>
      </c>
      <c r="M92" s="1423">
        <f t="shared" si="19"/>
        <v>0</v>
      </c>
      <c r="O92" s="612"/>
    </row>
    <row r="93" spans="1:15" x14ac:dyDescent="0.2">
      <c r="A93" s="343" t="s">
        <v>33</v>
      </c>
      <c r="B93" s="603">
        <f>T_19!L15</f>
        <v>7</v>
      </c>
      <c r="C93" s="604">
        <f>T_19!M15</f>
        <v>0</v>
      </c>
      <c r="D93" s="606">
        <f>T_19!N15</f>
        <v>0</v>
      </c>
      <c r="E93" s="604">
        <f>T_19!O15</f>
        <v>2</v>
      </c>
      <c r="F93" s="808">
        <f>T_19!P15</f>
        <v>0</v>
      </c>
      <c r="G93" s="616">
        <f t="shared" si="14"/>
        <v>9</v>
      </c>
      <c r="H93" s="164"/>
      <c r="I93" s="1408">
        <f t="shared" si="15"/>
        <v>77.777777777777786</v>
      </c>
      <c r="J93" s="1409">
        <f t="shared" si="16"/>
        <v>0</v>
      </c>
      <c r="K93" s="1409">
        <f t="shared" si="17"/>
        <v>0</v>
      </c>
      <c r="L93" s="1409">
        <f t="shared" si="18"/>
        <v>22.222222222222221</v>
      </c>
      <c r="M93" s="1371">
        <f t="shared" si="19"/>
        <v>0</v>
      </c>
      <c r="O93" s="612"/>
    </row>
    <row r="94" spans="1:15" x14ac:dyDescent="0.2">
      <c r="A94" s="46" t="s">
        <v>137</v>
      </c>
      <c r="B94" s="600">
        <f>T_19!L16</f>
        <v>38</v>
      </c>
      <c r="C94" s="601">
        <f>T_19!M16</f>
        <v>9</v>
      </c>
      <c r="D94" s="601">
        <f>T_19!N16</f>
        <v>7</v>
      </c>
      <c r="E94" s="601">
        <f>T_19!O16</f>
        <v>22</v>
      </c>
      <c r="F94" s="807">
        <f>T_19!P16</f>
        <v>3</v>
      </c>
      <c r="G94" s="562">
        <f t="shared" si="14"/>
        <v>79</v>
      </c>
      <c r="H94" s="164"/>
      <c r="I94" s="1421">
        <f t="shared" si="15"/>
        <v>48.101265822784811</v>
      </c>
      <c r="J94" s="1422">
        <f t="shared" si="16"/>
        <v>11.39240506329114</v>
      </c>
      <c r="K94" s="1422">
        <f t="shared" si="17"/>
        <v>8.8607594936708853</v>
      </c>
      <c r="L94" s="1422">
        <f t="shared" si="18"/>
        <v>27.848101265822784</v>
      </c>
      <c r="M94" s="1423">
        <f t="shared" si="19"/>
        <v>3.79746835443038</v>
      </c>
      <c r="O94" s="612"/>
    </row>
    <row r="95" spans="1:15" x14ac:dyDescent="0.2">
      <c r="A95" s="343" t="s">
        <v>34</v>
      </c>
      <c r="B95" s="603">
        <f>T_19!L17</f>
        <v>16</v>
      </c>
      <c r="C95" s="604">
        <f>T_19!M17</f>
        <v>0</v>
      </c>
      <c r="D95" s="604">
        <f>T_19!N17</f>
        <v>1</v>
      </c>
      <c r="E95" s="604">
        <f>T_19!O17</f>
        <v>3</v>
      </c>
      <c r="F95" s="808">
        <f>T_19!P17</f>
        <v>0</v>
      </c>
      <c r="G95" s="616">
        <f t="shared" si="14"/>
        <v>20</v>
      </c>
      <c r="H95" s="164"/>
      <c r="I95" s="1408">
        <f t="shared" si="15"/>
        <v>80</v>
      </c>
      <c r="J95" s="1409">
        <f t="shared" si="16"/>
        <v>0</v>
      </c>
      <c r="K95" s="1409">
        <f t="shared" si="17"/>
        <v>5</v>
      </c>
      <c r="L95" s="1409">
        <f t="shared" si="18"/>
        <v>15</v>
      </c>
      <c r="M95" s="1371">
        <f t="shared" si="19"/>
        <v>0</v>
      </c>
      <c r="O95" s="612"/>
    </row>
    <row r="96" spans="1:15" x14ac:dyDescent="0.2">
      <c r="A96" s="46" t="s">
        <v>35</v>
      </c>
      <c r="B96" s="600">
        <f>T_19!L18</f>
        <v>13</v>
      </c>
      <c r="C96" s="601">
        <f>T_19!M18</f>
        <v>8</v>
      </c>
      <c r="D96" s="598">
        <f>T_19!N18</f>
        <v>6</v>
      </c>
      <c r="E96" s="601">
        <f>T_19!O18</f>
        <v>5</v>
      </c>
      <c r="F96" s="807">
        <f>T_19!P18</f>
        <v>0</v>
      </c>
      <c r="G96" s="562">
        <f t="shared" si="14"/>
        <v>32</v>
      </c>
      <c r="H96" s="164"/>
      <c r="I96" s="1421">
        <f t="shared" si="15"/>
        <v>40.625</v>
      </c>
      <c r="J96" s="1422">
        <f t="shared" si="16"/>
        <v>25</v>
      </c>
      <c r="K96" s="1422">
        <f t="shared" si="17"/>
        <v>18.75</v>
      </c>
      <c r="L96" s="1422">
        <f t="shared" si="18"/>
        <v>15.625</v>
      </c>
      <c r="M96" s="1423">
        <f t="shared" si="19"/>
        <v>0</v>
      </c>
      <c r="O96" s="612"/>
    </row>
    <row r="97" spans="1:15" x14ac:dyDescent="0.2">
      <c r="A97" s="343" t="s">
        <v>36</v>
      </c>
      <c r="B97" s="603">
        <f>T_19!L19</f>
        <v>101</v>
      </c>
      <c r="C97" s="604">
        <f>T_19!M19</f>
        <v>24</v>
      </c>
      <c r="D97" s="604">
        <f>T_19!N19</f>
        <v>14</v>
      </c>
      <c r="E97" s="604">
        <f>T_19!O19</f>
        <v>42</v>
      </c>
      <c r="F97" s="813">
        <f>T_19!P19</f>
        <v>4</v>
      </c>
      <c r="G97" s="616">
        <f t="shared" si="14"/>
        <v>185</v>
      </c>
      <c r="H97" s="164"/>
      <c r="I97" s="1408">
        <f t="shared" si="15"/>
        <v>54.594594594594589</v>
      </c>
      <c r="J97" s="1409">
        <f t="shared" si="16"/>
        <v>12.972972972972974</v>
      </c>
      <c r="K97" s="1409">
        <f t="shared" si="17"/>
        <v>7.5675675675675684</v>
      </c>
      <c r="L97" s="1409">
        <f t="shared" si="18"/>
        <v>22.702702702702705</v>
      </c>
      <c r="M97" s="1371">
        <f t="shared" si="19"/>
        <v>2.1621621621621623</v>
      </c>
      <c r="O97" s="612"/>
    </row>
    <row r="98" spans="1:15" x14ac:dyDescent="0.2">
      <c r="A98" s="46" t="s">
        <v>37</v>
      </c>
      <c r="B98" s="600">
        <f>T_19!L20</f>
        <v>18</v>
      </c>
      <c r="C98" s="601">
        <f>T_19!M20</f>
        <v>4</v>
      </c>
      <c r="D98" s="601">
        <f>T_19!N20</f>
        <v>4</v>
      </c>
      <c r="E98" s="601">
        <f>T_19!O20</f>
        <v>5</v>
      </c>
      <c r="F98" s="807">
        <f>T_19!P20</f>
        <v>0</v>
      </c>
      <c r="G98" s="562">
        <f t="shared" si="14"/>
        <v>31</v>
      </c>
      <c r="H98" s="164"/>
      <c r="I98" s="1421">
        <f t="shared" si="15"/>
        <v>58.064516129032263</v>
      </c>
      <c r="J98" s="1422">
        <f t="shared" si="16"/>
        <v>12.903225806451612</v>
      </c>
      <c r="K98" s="1422">
        <f t="shared" si="17"/>
        <v>12.903225806451612</v>
      </c>
      <c r="L98" s="1422">
        <f t="shared" si="18"/>
        <v>16.129032258064516</v>
      </c>
      <c r="M98" s="1423">
        <f t="shared" si="19"/>
        <v>0</v>
      </c>
      <c r="O98" s="612"/>
    </row>
    <row r="99" spans="1:15" x14ac:dyDescent="0.2">
      <c r="A99" s="343" t="s">
        <v>38</v>
      </c>
      <c r="B99" s="603">
        <f>T_19!L21</f>
        <v>11</v>
      </c>
      <c r="C99" s="604">
        <f>T_19!M21</f>
        <v>0</v>
      </c>
      <c r="D99" s="604">
        <f>T_19!N21</f>
        <v>1</v>
      </c>
      <c r="E99" s="604">
        <f>T_19!O21</f>
        <v>2</v>
      </c>
      <c r="F99" s="808">
        <f>T_19!P21</f>
        <v>0</v>
      </c>
      <c r="G99" s="616">
        <f t="shared" si="14"/>
        <v>14</v>
      </c>
      <c r="H99" s="164"/>
      <c r="I99" s="1408">
        <f t="shared" si="15"/>
        <v>78.571428571428569</v>
      </c>
      <c r="J99" s="1409">
        <f t="shared" si="16"/>
        <v>0</v>
      </c>
      <c r="K99" s="1409">
        <f t="shared" si="17"/>
        <v>7.1428571428571423</v>
      </c>
      <c r="L99" s="1409">
        <f t="shared" si="18"/>
        <v>14.285714285714285</v>
      </c>
      <c r="M99" s="1371">
        <f t="shared" si="19"/>
        <v>0</v>
      </c>
      <c r="O99" s="612"/>
    </row>
    <row r="100" spans="1:15" x14ac:dyDescent="0.2">
      <c r="A100" s="46" t="s">
        <v>39</v>
      </c>
      <c r="B100" s="600">
        <f>T_19!L22</f>
        <v>11</v>
      </c>
      <c r="C100" s="601">
        <f>T_19!M22</f>
        <v>0</v>
      </c>
      <c r="D100" s="601">
        <f>T_19!N22</f>
        <v>2</v>
      </c>
      <c r="E100" s="601">
        <f>T_19!O22</f>
        <v>2</v>
      </c>
      <c r="F100" s="807">
        <f>T_19!P22</f>
        <v>0</v>
      </c>
      <c r="G100" s="562">
        <f t="shared" si="14"/>
        <v>15</v>
      </c>
      <c r="H100" s="164"/>
      <c r="I100" s="1421">
        <f t="shared" si="15"/>
        <v>73.333333333333329</v>
      </c>
      <c r="J100" s="1422">
        <f t="shared" si="16"/>
        <v>0</v>
      </c>
      <c r="K100" s="1422">
        <f t="shared" si="17"/>
        <v>13.333333333333334</v>
      </c>
      <c r="L100" s="1422">
        <f t="shared" si="18"/>
        <v>13.333333333333334</v>
      </c>
      <c r="M100" s="1423">
        <f t="shared" si="19"/>
        <v>0</v>
      </c>
      <c r="O100" s="612"/>
    </row>
    <row r="101" spans="1:15" x14ac:dyDescent="0.2">
      <c r="A101" s="343" t="s">
        <v>40</v>
      </c>
      <c r="B101" s="603">
        <f>T_19!L23</f>
        <v>6</v>
      </c>
      <c r="C101" s="604">
        <f>T_19!M23</f>
        <v>2</v>
      </c>
      <c r="D101" s="606">
        <f>T_19!N23</f>
        <v>3</v>
      </c>
      <c r="E101" s="604">
        <f>T_19!O23</f>
        <v>2</v>
      </c>
      <c r="F101" s="813">
        <f>T_19!P23</f>
        <v>0</v>
      </c>
      <c r="G101" s="616">
        <f t="shared" si="14"/>
        <v>13</v>
      </c>
      <c r="H101" s="164"/>
      <c r="I101" s="1408">
        <f t="shared" si="15"/>
        <v>46.153846153846153</v>
      </c>
      <c r="J101" s="1409">
        <f t="shared" si="16"/>
        <v>15.384615384615385</v>
      </c>
      <c r="K101" s="1409">
        <f t="shared" si="17"/>
        <v>23.076923076923077</v>
      </c>
      <c r="L101" s="1409">
        <f t="shared" si="18"/>
        <v>15.384615384615385</v>
      </c>
      <c r="M101" s="1371">
        <f t="shared" si="19"/>
        <v>0</v>
      </c>
      <c r="O101" s="612"/>
    </row>
    <row r="102" spans="1:15" x14ac:dyDescent="0.2">
      <c r="A102" s="46" t="s">
        <v>393</v>
      </c>
      <c r="B102" s="600">
        <f>T_19!L24</f>
        <v>0</v>
      </c>
      <c r="C102" s="601">
        <f>T_19!M24</f>
        <v>1</v>
      </c>
      <c r="D102" s="598">
        <f>T_19!N24</f>
        <v>1</v>
      </c>
      <c r="E102" s="601">
        <f>T_19!O24</f>
        <v>0</v>
      </c>
      <c r="F102" s="814">
        <f>T_19!P24</f>
        <v>0</v>
      </c>
      <c r="G102" s="562">
        <f t="shared" si="14"/>
        <v>2</v>
      </c>
      <c r="H102" s="164"/>
      <c r="I102" s="1421">
        <f t="shared" si="15"/>
        <v>0</v>
      </c>
      <c r="J102" s="1422">
        <f t="shared" si="16"/>
        <v>50</v>
      </c>
      <c r="K102" s="1422">
        <f t="shared" si="17"/>
        <v>50</v>
      </c>
      <c r="L102" s="1422">
        <f t="shared" si="18"/>
        <v>0</v>
      </c>
      <c r="M102" s="1423">
        <f t="shared" si="19"/>
        <v>0</v>
      </c>
      <c r="O102" s="612"/>
    </row>
    <row r="103" spans="1:15" x14ac:dyDescent="0.2">
      <c r="A103" s="343" t="s">
        <v>41</v>
      </c>
      <c r="B103" s="603">
        <f>T_19!L25</f>
        <v>12</v>
      </c>
      <c r="C103" s="604">
        <f>T_19!M25</f>
        <v>3</v>
      </c>
      <c r="D103" s="604">
        <f>T_19!N25</f>
        <v>1</v>
      </c>
      <c r="E103" s="604">
        <f>T_19!O25</f>
        <v>2</v>
      </c>
      <c r="F103" s="813">
        <f>T_19!P25</f>
        <v>0</v>
      </c>
      <c r="G103" s="616">
        <f>SUM(B103:F103)</f>
        <v>18</v>
      </c>
      <c r="H103" s="164"/>
      <c r="I103" s="1408">
        <f t="shared" si="15"/>
        <v>66.666666666666657</v>
      </c>
      <c r="J103" s="1409">
        <f t="shared" si="16"/>
        <v>16.666666666666664</v>
      </c>
      <c r="K103" s="1409">
        <f t="shared" si="17"/>
        <v>5.5555555555555554</v>
      </c>
      <c r="L103" s="1409">
        <f t="shared" si="18"/>
        <v>11.111111111111111</v>
      </c>
      <c r="M103" s="1371">
        <f t="shared" si="19"/>
        <v>0</v>
      </c>
      <c r="O103" s="612"/>
    </row>
    <row r="104" spans="1:15" x14ac:dyDescent="0.2">
      <c r="A104" s="46" t="s">
        <v>42</v>
      </c>
      <c r="B104" s="600">
        <f>T_19!L26</f>
        <v>44</v>
      </c>
      <c r="C104" s="601">
        <f>T_19!M26</f>
        <v>12</v>
      </c>
      <c r="D104" s="601">
        <f>T_19!N26</f>
        <v>3</v>
      </c>
      <c r="E104" s="601">
        <f>T_19!O26</f>
        <v>25</v>
      </c>
      <c r="F104" s="814">
        <f>T_19!P26</f>
        <v>0</v>
      </c>
      <c r="G104" s="562">
        <f t="shared" si="14"/>
        <v>84</v>
      </c>
      <c r="H104" s="164"/>
      <c r="I104" s="1421">
        <f t="shared" si="15"/>
        <v>52.380952380952387</v>
      </c>
      <c r="J104" s="1422">
        <f t="shared" si="16"/>
        <v>14.285714285714285</v>
      </c>
      <c r="K104" s="1422">
        <f t="shared" si="17"/>
        <v>3.5714285714285712</v>
      </c>
      <c r="L104" s="1422">
        <f t="shared" si="18"/>
        <v>29.761904761904763</v>
      </c>
      <c r="M104" s="1423">
        <f t="shared" si="19"/>
        <v>0</v>
      </c>
      <c r="O104" s="612"/>
    </row>
    <row r="105" spans="1:15" x14ac:dyDescent="0.2">
      <c r="A105" s="343" t="s">
        <v>43</v>
      </c>
      <c r="B105" s="603">
        <f>T_19!L27</f>
        <v>0</v>
      </c>
      <c r="C105" s="606">
        <f>T_19!M27</f>
        <v>3</v>
      </c>
      <c r="D105" s="606">
        <f>T_19!N27</f>
        <v>0</v>
      </c>
      <c r="E105" s="604">
        <f>T_19!O27</f>
        <v>0</v>
      </c>
      <c r="F105" s="808">
        <f>T_19!P27</f>
        <v>0</v>
      </c>
      <c r="G105" s="616">
        <f t="shared" si="14"/>
        <v>3</v>
      </c>
      <c r="H105" s="164"/>
      <c r="I105" s="1408">
        <f t="shared" si="15"/>
        <v>0</v>
      </c>
      <c r="J105" s="1409">
        <f t="shared" si="16"/>
        <v>100</v>
      </c>
      <c r="K105" s="1409">
        <f t="shared" si="17"/>
        <v>0</v>
      </c>
      <c r="L105" s="1409">
        <f t="shared" si="18"/>
        <v>0</v>
      </c>
      <c r="M105" s="1371">
        <f t="shared" si="19"/>
        <v>0</v>
      </c>
      <c r="O105" s="612"/>
    </row>
    <row r="106" spans="1:15" x14ac:dyDescent="0.2">
      <c r="A106" s="46" t="s">
        <v>44</v>
      </c>
      <c r="B106" s="600">
        <f>T_19!L28</f>
        <v>11</v>
      </c>
      <c r="C106" s="601">
        <f>T_19!M28</f>
        <v>3</v>
      </c>
      <c r="D106" s="601">
        <f>T_19!N28</f>
        <v>0</v>
      </c>
      <c r="E106" s="601">
        <f>T_19!O28</f>
        <v>6</v>
      </c>
      <c r="F106" s="807">
        <f>T_19!P28</f>
        <v>0</v>
      </c>
      <c r="G106" s="562">
        <f t="shared" si="14"/>
        <v>20</v>
      </c>
      <c r="H106" s="164"/>
      <c r="I106" s="1421">
        <f t="shared" si="15"/>
        <v>55.000000000000007</v>
      </c>
      <c r="J106" s="1422">
        <f t="shared" si="16"/>
        <v>15</v>
      </c>
      <c r="K106" s="1422">
        <f t="shared" si="17"/>
        <v>0</v>
      </c>
      <c r="L106" s="1422">
        <f t="shared" si="18"/>
        <v>30</v>
      </c>
      <c r="M106" s="1423">
        <f t="shared" si="19"/>
        <v>0</v>
      </c>
      <c r="O106" s="612"/>
    </row>
    <row r="107" spans="1:15" x14ac:dyDescent="0.2">
      <c r="A107" s="343" t="s">
        <v>45</v>
      </c>
      <c r="B107" s="603">
        <f>T_19!L29</f>
        <v>25</v>
      </c>
      <c r="C107" s="604">
        <f>T_19!M29</f>
        <v>2</v>
      </c>
      <c r="D107" s="604">
        <f>T_19!N29</f>
        <v>3</v>
      </c>
      <c r="E107" s="604">
        <f>T_19!O29</f>
        <v>3</v>
      </c>
      <c r="F107" s="808">
        <f>T_19!P29</f>
        <v>4</v>
      </c>
      <c r="G107" s="616">
        <f t="shared" si="14"/>
        <v>37</v>
      </c>
      <c r="H107" s="164"/>
      <c r="I107" s="1408">
        <f t="shared" si="15"/>
        <v>67.567567567567565</v>
      </c>
      <c r="J107" s="1409">
        <f t="shared" si="16"/>
        <v>5.4054054054054053</v>
      </c>
      <c r="K107" s="1409">
        <f t="shared" si="17"/>
        <v>8.1081081081081088</v>
      </c>
      <c r="L107" s="1409">
        <f t="shared" si="18"/>
        <v>8.1081081081081088</v>
      </c>
      <c r="M107" s="1371">
        <f t="shared" si="19"/>
        <v>10.810810810810811</v>
      </c>
      <c r="O107" s="612"/>
    </row>
    <row r="108" spans="1:15" x14ac:dyDescent="0.2">
      <c r="A108" s="379" t="s">
        <v>46</v>
      </c>
      <c r="B108" s="600">
        <f>T_19!L30</f>
        <v>9</v>
      </c>
      <c r="C108" s="601">
        <f>T_19!M30</f>
        <v>0</v>
      </c>
      <c r="D108" s="601">
        <f>T_19!N30</f>
        <v>1</v>
      </c>
      <c r="E108" s="601">
        <f>T_19!O30</f>
        <v>6</v>
      </c>
      <c r="F108" s="814">
        <f>T_19!P30</f>
        <v>0</v>
      </c>
      <c r="G108" s="562">
        <f t="shared" si="14"/>
        <v>16</v>
      </c>
      <c r="H108" s="164"/>
      <c r="I108" s="1421">
        <f t="shared" si="15"/>
        <v>56.25</v>
      </c>
      <c r="J108" s="1422">
        <f t="shared" si="16"/>
        <v>0</v>
      </c>
      <c r="K108" s="1422">
        <f t="shared" si="17"/>
        <v>6.25</v>
      </c>
      <c r="L108" s="1422">
        <f t="shared" si="18"/>
        <v>37.5</v>
      </c>
      <c r="M108" s="1423">
        <f t="shared" si="19"/>
        <v>0</v>
      </c>
      <c r="O108" s="612"/>
    </row>
    <row r="109" spans="1:15" x14ac:dyDescent="0.2">
      <c r="A109" s="343" t="s">
        <v>47</v>
      </c>
      <c r="B109" s="603">
        <f>T_19!L31</f>
        <v>1</v>
      </c>
      <c r="C109" s="604">
        <f>T_19!M31</f>
        <v>4</v>
      </c>
      <c r="D109" s="606">
        <f>T_19!N31</f>
        <v>0</v>
      </c>
      <c r="E109" s="606">
        <f>T_19!O31</f>
        <v>0</v>
      </c>
      <c r="F109" s="808">
        <f>T_19!P31</f>
        <v>0</v>
      </c>
      <c r="G109" s="616">
        <f t="shared" si="14"/>
        <v>5</v>
      </c>
      <c r="H109" s="164"/>
      <c r="I109" s="1408">
        <f t="shared" si="15"/>
        <v>20</v>
      </c>
      <c r="J109" s="1409">
        <f t="shared" si="16"/>
        <v>80</v>
      </c>
      <c r="K109" s="1409">
        <f t="shared" si="17"/>
        <v>0</v>
      </c>
      <c r="L109" s="1409">
        <f t="shared" si="18"/>
        <v>0</v>
      </c>
      <c r="M109" s="1371">
        <f t="shared" si="19"/>
        <v>0</v>
      </c>
      <c r="O109" s="612"/>
    </row>
    <row r="110" spans="1:15" x14ac:dyDescent="0.2">
      <c r="A110" s="46" t="s">
        <v>48</v>
      </c>
      <c r="B110" s="600">
        <f>T_19!L32</f>
        <v>12</v>
      </c>
      <c r="C110" s="601">
        <f>T_19!M32</f>
        <v>3</v>
      </c>
      <c r="D110" s="601">
        <f>T_19!N32</f>
        <v>2</v>
      </c>
      <c r="E110" s="601">
        <f>T_19!O32</f>
        <v>1</v>
      </c>
      <c r="F110" s="807">
        <f>T_19!P32</f>
        <v>2</v>
      </c>
      <c r="G110" s="562">
        <f t="shared" si="14"/>
        <v>20</v>
      </c>
      <c r="H110" s="164"/>
      <c r="I110" s="1421">
        <f t="shared" si="15"/>
        <v>60</v>
      </c>
      <c r="J110" s="1422">
        <f t="shared" si="16"/>
        <v>15</v>
      </c>
      <c r="K110" s="1422">
        <f t="shared" si="17"/>
        <v>10</v>
      </c>
      <c r="L110" s="1422">
        <f t="shared" si="18"/>
        <v>5</v>
      </c>
      <c r="M110" s="1423">
        <f t="shared" si="19"/>
        <v>10</v>
      </c>
      <c r="O110" s="612"/>
    </row>
    <row r="111" spans="1:15" x14ac:dyDescent="0.2">
      <c r="A111" s="343" t="s">
        <v>49</v>
      </c>
      <c r="B111" s="603">
        <f>T_19!L33</f>
        <v>33</v>
      </c>
      <c r="C111" s="604">
        <f>T_19!M33</f>
        <v>3</v>
      </c>
      <c r="D111" s="604">
        <f>T_19!N33</f>
        <v>7</v>
      </c>
      <c r="E111" s="604">
        <f>T_19!O33</f>
        <v>15</v>
      </c>
      <c r="F111" s="808">
        <f>T_19!P33</f>
        <v>2</v>
      </c>
      <c r="G111" s="616">
        <f t="shared" si="14"/>
        <v>60</v>
      </c>
      <c r="H111" s="164"/>
      <c r="I111" s="1408">
        <f t="shared" si="15"/>
        <v>55.000000000000007</v>
      </c>
      <c r="J111" s="1409">
        <f t="shared" si="16"/>
        <v>5</v>
      </c>
      <c r="K111" s="1409">
        <f t="shared" si="17"/>
        <v>11.666666666666666</v>
      </c>
      <c r="L111" s="1409">
        <f t="shared" si="18"/>
        <v>25</v>
      </c>
      <c r="M111" s="1371">
        <f t="shared" si="19"/>
        <v>3.3333333333333335</v>
      </c>
      <c r="O111" s="612"/>
    </row>
    <row r="112" spans="1:15" x14ac:dyDescent="0.2">
      <c r="A112" s="46" t="s">
        <v>50</v>
      </c>
      <c r="B112" s="600">
        <f>T_19!L34</f>
        <v>5</v>
      </c>
      <c r="C112" s="601">
        <f>T_19!M34</f>
        <v>2</v>
      </c>
      <c r="D112" s="598">
        <f>T_19!N34</f>
        <v>1</v>
      </c>
      <c r="E112" s="601">
        <f>T_19!O34</f>
        <v>7</v>
      </c>
      <c r="F112" s="807">
        <f>T_19!P34</f>
        <v>0</v>
      </c>
      <c r="G112" s="562">
        <f t="shared" si="14"/>
        <v>15</v>
      </c>
      <c r="H112" s="164"/>
      <c r="I112" s="1421">
        <f t="shared" si="15"/>
        <v>33.333333333333329</v>
      </c>
      <c r="J112" s="1422">
        <f t="shared" si="16"/>
        <v>13.333333333333334</v>
      </c>
      <c r="K112" s="1422">
        <f t="shared" si="17"/>
        <v>6.666666666666667</v>
      </c>
      <c r="L112" s="1422">
        <f t="shared" si="18"/>
        <v>46.666666666666664</v>
      </c>
      <c r="M112" s="1423">
        <f t="shared" si="19"/>
        <v>0</v>
      </c>
      <c r="O112" s="612"/>
    </row>
    <row r="113" spans="1:15" x14ac:dyDescent="0.2">
      <c r="A113" s="343" t="s">
        <v>51</v>
      </c>
      <c r="B113" s="603">
        <f>T_19!L35</f>
        <v>13</v>
      </c>
      <c r="C113" s="606">
        <f>T_19!M35</f>
        <v>2</v>
      </c>
      <c r="D113" s="606">
        <f>T_19!N35</f>
        <v>1</v>
      </c>
      <c r="E113" s="604">
        <f>T_19!O35</f>
        <v>4</v>
      </c>
      <c r="F113" s="808">
        <f>T_19!P35</f>
        <v>2</v>
      </c>
      <c r="G113" s="616">
        <f t="shared" si="14"/>
        <v>22</v>
      </c>
      <c r="H113" s="164"/>
      <c r="I113" s="1408">
        <f t="shared" si="15"/>
        <v>59.090909090909093</v>
      </c>
      <c r="J113" s="1409">
        <f t="shared" si="16"/>
        <v>9.0909090909090917</v>
      </c>
      <c r="K113" s="1409">
        <f t="shared" si="17"/>
        <v>4.5454545454545459</v>
      </c>
      <c r="L113" s="1409">
        <f t="shared" si="18"/>
        <v>18.181818181818183</v>
      </c>
      <c r="M113" s="1371">
        <f t="shared" si="19"/>
        <v>9.0909090909090917</v>
      </c>
      <c r="O113" s="612"/>
    </row>
    <row r="114" spans="1:15" x14ac:dyDescent="0.2">
      <c r="A114" s="46" t="s">
        <v>52</v>
      </c>
      <c r="B114" s="600">
        <f>T_19!L36</f>
        <v>17</v>
      </c>
      <c r="C114" s="601">
        <f>T_19!M36</f>
        <v>3</v>
      </c>
      <c r="D114" s="601">
        <f>T_19!N36</f>
        <v>3</v>
      </c>
      <c r="E114" s="601">
        <f>T_19!O36</f>
        <v>9</v>
      </c>
      <c r="F114" s="1069">
        <f>T_19!P36</f>
        <v>0</v>
      </c>
      <c r="G114" s="562">
        <f t="shared" si="14"/>
        <v>32</v>
      </c>
      <c r="H114" s="164"/>
      <c r="I114" s="1421">
        <f t="shared" si="15"/>
        <v>53.125</v>
      </c>
      <c r="J114" s="1422">
        <f t="shared" si="16"/>
        <v>9.375</v>
      </c>
      <c r="K114" s="1422">
        <f t="shared" si="17"/>
        <v>9.375</v>
      </c>
      <c r="L114" s="1422">
        <f t="shared" si="18"/>
        <v>28.125</v>
      </c>
      <c r="M114" s="1423">
        <f t="shared" si="19"/>
        <v>0</v>
      </c>
      <c r="O114" s="612"/>
    </row>
    <row r="115" spans="1:15" x14ac:dyDescent="0.2">
      <c r="A115" s="343"/>
      <c r="B115" s="608"/>
      <c r="C115" s="609"/>
      <c r="D115" s="609"/>
      <c r="E115" s="609"/>
      <c r="F115" s="623"/>
      <c r="G115" s="616"/>
      <c r="H115" s="164"/>
      <c r="I115" s="1408"/>
      <c r="J115" s="1409"/>
      <c r="K115" s="1409"/>
      <c r="L115" s="1409"/>
      <c r="M115" s="1371"/>
      <c r="O115" s="612"/>
    </row>
    <row r="116" spans="1:15" ht="30" customHeight="1" x14ac:dyDescent="0.2">
      <c r="A116" s="232" t="s">
        <v>159</v>
      </c>
      <c r="B116" s="97">
        <f>SUM(B83:B114)</f>
        <v>501</v>
      </c>
      <c r="C116" s="98">
        <f t="shared" ref="C116:F116" si="20">SUM(C83:C114)</f>
        <v>111</v>
      </c>
      <c r="D116" s="98">
        <f t="shared" si="20"/>
        <v>77</v>
      </c>
      <c r="E116" s="98">
        <f t="shared" si="20"/>
        <v>211</v>
      </c>
      <c r="F116" s="99">
        <f t="shared" si="20"/>
        <v>21</v>
      </c>
      <c r="G116" s="100">
        <f>SUM(G83:G114)</f>
        <v>921</v>
      </c>
      <c r="H116" s="809"/>
      <c r="I116" s="1424">
        <f t="shared" si="15"/>
        <v>54.397394136807819</v>
      </c>
      <c r="J116" s="1425">
        <f t="shared" si="16"/>
        <v>12.052117263843648</v>
      </c>
      <c r="K116" s="1425">
        <f t="shared" si="17"/>
        <v>8.3604777415852336</v>
      </c>
      <c r="L116" s="1425">
        <f t="shared" si="18"/>
        <v>22.909880564603689</v>
      </c>
      <c r="M116" s="1426">
        <f t="shared" si="19"/>
        <v>2.2801302931596092</v>
      </c>
      <c r="O116" s="612"/>
    </row>
    <row r="117" spans="1:15" x14ac:dyDescent="0.2">
      <c r="B117" s="1"/>
      <c r="C117" s="1"/>
      <c r="D117" s="1"/>
      <c r="E117" s="1"/>
      <c r="F117" s="1"/>
      <c r="G117" s="1"/>
      <c r="H117" s="1"/>
      <c r="I117" s="1"/>
      <c r="J117" s="1"/>
      <c r="K117" s="1"/>
      <c r="L117" s="1"/>
      <c r="M117" s="1"/>
    </row>
    <row r="118" spans="1:15" x14ac:dyDescent="0.2">
      <c r="A118" s="2" t="s">
        <v>162</v>
      </c>
      <c r="B118" s="1"/>
      <c r="C118" s="1"/>
      <c r="D118" s="1"/>
      <c r="E118" s="1"/>
      <c r="F118" s="1"/>
      <c r="G118" s="1"/>
      <c r="H118" s="1"/>
      <c r="I118" s="1"/>
      <c r="J118" s="1"/>
      <c r="K118" s="1"/>
      <c r="L118" s="1"/>
      <c r="M118" s="1"/>
    </row>
    <row r="119" spans="1:15" x14ac:dyDescent="0.2">
      <c r="A119" s="1649" t="s">
        <v>963</v>
      </c>
      <c r="B119" s="1649"/>
      <c r="C119" s="1649"/>
      <c r="D119" s="1649"/>
      <c r="E119" s="1649"/>
      <c r="F119" s="1649"/>
      <c r="G119" s="1649"/>
      <c r="H119" s="1649"/>
      <c r="I119" s="1649"/>
      <c r="J119" s="1649"/>
      <c r="K119" s="1649"/>
      <c r="L119" s="1"/>
      <c r="M119" s="1"/>
    </row>
    <row r="121" spans="1:15" x14ac:dyDescent="0.2">
      <c r="A121" s="386" t="s">
        <v>169</v>
      </c>
    </row>
  </sheetData>
  <sheetProtection algorithmName="SHA-512" hashValue="itOBUiPZfTV59cGd9o4SmYPEEPBG88MDCUN1cKEZTScgUCkImdVEikSpf2kV4YEsTLO5pGO/acj3P8Hjj9NkwA==" saltValue="ErT3NbMoEqpV8xm/EDTMAA==" spinCount="100000" sheet="1" objects="1" scenarios="1"/>
  <mergeCells count="14">
    <mergeCell ref="A81:A82"/>
    <mergeCell ref="G81:G82"/>
    <mergeCell ref="I81:M81"/>
    <mergeCell ref="B81:F81"/>
    <mergeCell ref="A119:K119"/>
    <mergeCell ref="A1:K1"/>
    <mergeCell ref="I3:M3"/>
    <mergeCell ref="A3:A4"/>
    <mergeCell ref="A42:A43"/>
    <mergeCell ref="G42:G43"/>
    <mergeCell ref="I42:M42"/>
    <mergeCell ref="B3:F3"/>
    <mergeCell ref="B42:F42"/>
    <mergeCell ref="G3:G4"/>
  </mergeCells>
  <hyperlinks>
    <hyperlink ref="A121" location="Contents!A1" display="Return to contents" xr:uid="{00000000-0004-0000-5500-000000000000}"/>
  </hyperlinks>
  <pageMargins left="0.70866141732283472" right="0.70866141732283472" top="0.74803149606299213" bottom="0.74803149606299213" header="0.31496062992125984" footer="0.31496062992125984"/>
  <pageSetup paperSize="9" scale="82" orientation="landscape" r:id="rId1"/>
  <rowBreaks count="1" manualBreakCount="1">
    <brk id="79" max="16383" man="1"/>
  </rowBreaks>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8"/>
  <dimension ref="A2:P37"/>
  <sheetViews>
    <sheetView topLeftCell="M1" workbookViewId="0">
      <selection activeCell="A2" sqref="A2"/>
    </sheetView>
  </sheetViews>
  <sheetFormatPr defaultRowHeight="12.75" x14ac:dyDescent="0.2"/>
  <cols>
    <col min="1" max="1" width="20.28515625" bestFit="1" customWidth="1"/>
    <col min="2" max="2" width="47.5703125" bestFit="1" customWidth="1"/>
    <col min="3" max="3" width="52.85546875" bestFit="1" customWidth="1"/>
    <col min="4" max="4" width="36.28515625" bestFit="1" customWidth="1"/>
    <col min="5" max="5" width="30.140625" bestFit="1" customWidth="1"/>
    <col min="6" max="6" width="47.42578125" bestFit="1" customWidth="1"/>
    <col min="7" max="7" width="47" bestFit="1" customWidth="1"/>
    <col min="8" max="8" width="52.28515625" bestFit="1" customWidth="1"/>
    <col min="9" max="9" width="35.7109375" bestFit="1" customWidth="1"/>
    <col min="10" max="10" width="29.42578125" bestFit="1" customWidth="1"/>
    <col min="11" max="11" width="46.85546875" bestFit="1" customWidth="1"/>
    <col min="12" max="12" width="47.5703125" bestFit="1" customWidth="1"/>
    <col min="13" max="13" width="52.85546875" bestFit="1" customWidth="1"/>
    <col min="14" max="14" width="36.28515625" bestFit="1" customWidth="1"/>
    <col min="15" max="15" width="30.140625" bestFit="1" customWidth="1"/>
    <col min="16" max="16" width="47.42578125" bestFit="1" customWidth="1"/>
  </cols>
  <sheetData>
    <row r="2" spans="1:16" x14ac:dyDescent="0.2">
      <c r="A2" s="1300" t="s">
        <v>839</v>
      </c>
      <c r="B2" t="s">
        <v>603</v>
      </c>
    </row>
    <row r="4" spans="1:16" x14ac:dyDescent="0.2">
      <c r="A4" s="1300" t="s">
        <v>658</v>
      </c>
      <c r="B4" t="s">
        <v>840</v>
      </c>
      <c r="C4" t="s">
        <v>841</v>
      </c>
      <c r="D4" t="s">
        <v>842</v>
      </c>
      <c r="E4" t="s">
        <v>843</v>
      </c>
      <c r="F4" t="s">
        <v>844</v>
      </c>
      <c r="G4" t="s">
        <v>845</v>
      </c>
      <c r="H4" t="s">
        <v>846</v>
      </c>
      <c r="I4" t="s">
        <v>847</v>
      </c>
      <c r="J4" t="s">
        <v>848</v>
      </c>
      <c r="K4" t="s">
        <v>849</v>
      </c>
      <c r="L4" t="s">
        <v>850</v>
      </c>
      <c r="M4" t="s">
        <v>851</v>
      </c>
      <c r="N4" t="s">
        <v>852</v>
      </c>
      <c r="O4" t="s">
        <v>853</v>
      </c>
      <c r="P4" t="s">
        <v>854</v>
      </c>
    </row>
    <row r="5" spans="1:16" x14ac:dyDescent="0.2">
      <c r="A5" s="1301" t="s">
        <v>23</v>
      </c>
      <c r="B5">
        <v>157</v>
      </c>
      <c r="C5">
        <v>17</v>
      </c>
      <c r="D5">
        <v>27</v>
      </c>
      <c r="E5">
        <v>72</v>
      </c>
      <c r="F5">
        <v>4</v>
      </c>
      <c r="H5">
        <v>1</v>
      </c>
      <c r="I5">
        <v>2</v>
      </c>
      <c r="L5">
        <v>14</v>
      </c>
      <c r="M5">
        <v>5</v>
      </c>
      <c r="O5">
        <v>8</v>
      </c>
      <c r="P5">
        <v>2</v>
      </c>
    </row>
    <row r="6" spans="1:16" x14ac:dyDescent="0.2">
      <c r="A6" s="1301" t="s">
        <v>24</v>
      </c>
      <c r="B6">
        <v>76</v>
      </c>
      <c r="C6">
        <v>12</v>
      </c>
      <c r="D6">
        <v>17</v>
      </c>
      <c r="E6">
        <v>61</v>
      </c>
      <c r="F6">
        <v>2</v>
      </c>
      <c r="G6">
        <v>1</v>
      </c>
      <c r="L6">
        <v>7</v>
      </c>
      <c r="M6">
        <v>5</v>
      </c>
      <c r="N6">
        <v>2</v>
      </c>
      <c r="O6">
        <v>18</v>
      </c>
    </row>
    <row r="7" spans="1:16" x14ac:dyDescent="0.2">
      <c r="A7" s="1301" t="s">
        <v>25</v>
      </c>
      <c r="B7">
        <v>44</v>
      </c>
      <c r="C7">
        <v>6</v>
      </c>
      <c r="D7">
        <v>6</v>
      </c>
      <c r="E7">
        <v>25</v>
      </c>
      <c r="L7">
        <v>9</v>
      </c>
      <c r="M7">
        <v>2</v>
      </c>
      <c r="N7">
        <v>2</v>
      </c>
      <c r="O7">
        <v>5</v>
      </c>
    </row>
    <row r="8" spans="1:16" x14ac:dyDescent="0.2">
      <c r="A8" s="1301" t="s">
        <v>26</v>
      </c>
      <c r="B8">
        <v>45</v>
      </c>
      <c r="C8">
        <v>12</v>
      </c>
      <c r="D8">
        <v>11</v>
      </c>
      <c r="E8">
        <v>12</v>
      </c>
      <c r="F8">
        <v>6</v>
      </c>
      <c r="G8">
        <v>1</v>
      </c>
      <c r="L8">
        <v>10</v>
      </c>
      <c r="M8">
        <v>1</v>
      </c>
      <c r="N8">
        <v>4</v>
      </c>
      <c r="O8">
        <v>3</v>
      </c>
    </row>
    <row r="9" spans="1:16" x14ac:dyDescent="0.2">
      <c r="A9" s="1301" t="s">
        <v>27</v>
      </c>
      <c r="B9">
        <v>28</v>
      </c>
      <c r="C9">
        <v>10</v>
      </c>
      <c r="D9">
        <v>4</v>
      </c>
      <c r="E9">
        <v>8</v>
      </c>
      <c r="F9">
        <v>1</v>
      </c>
      <c r="L9">
        <v>6</v>
      </c>
      <c r="M9">
        <v>1</v>
      </c>
      <c r="O9">
        <v>1</v>
      </c>
    </row>
    <row r="10" spans="1:16" x14ac:dyDescent="0.2">
      <c r="A10" s="1301" t="s">
        <v>28</v>
      </c>
      <c r="B10">
        <v>34</v>
      </c>
      <c r="C10">
        <v>7</v>
      </c>
      <c r="D10">
        <v>21</v>
      </c>
      <c r="E10">
        <v>41</v>
      </c>
      <c r="F10">
        <v>1</v>
      </c>
      <c r="H10">
        <v>1</v>
      </c>
      <c r="I10">
        <v>2</v>
      </c>
      <c r="L10">
        <v>3</v>
      </c>
      <c r="O10">
        <v>1</v>
      </c>
    </row>
    <row r="11" spans="1:16" x14ac:dyDescent="0.2">
      <c r="A11" s="1301" t="s">
        <v>29</v>
      </c>
      <c r="B11">
        <v>124</v>
      </c>
      <c r="C11">
        <v>20</v>
      </c>
      <c r="D11">
        <v>20</v>
      </c>
      <c r="E11">
        <v>49</v>
      </c>
      <c r="F11">
        <v>1</v>
      </c>
      <c r="L11">
        <v>22</v>
      </c>
      <c r="M11">
        <v>3</v>
      </c>
      <c r="N11">
        <v>2</v>
      </c>
      <c r="O11">
        <v>7</v>
      </c>
    </row>
    <row r="12" spans="1:16" x14ac:dyDescent="0.2">
      <c r="A12" s="1301" t="s">
        <v>30</v>
      </c>
      <c r="B12">
        <v>51</v>
      </c>
      <c r="C12">
        <v>14</v>
      </c>
      <c r="D12">
        <v>10</v>
      </c>
      <c r="E12">
        <v>10</v>
      </c>
      <c r="F12">
        <v>2</v>
      </c>
      <c r="H12">
        <v>1</v>
      </c>
      <c r="L12">
        <v>15</v>
      </c>
      <c r="M12">
        <v>6</v>
      </c>
      <c r="N12">
        <v>2</v>
      </c>
      <c r="O12">
        <v>1</v>
      </c>
      <c r="P12">
        <v>2</v>
      </c>
    </row>
    <row r="13" spans="1:16" x14ac:dyDescent="0.2">
      <c r="A13" s="1301" t="s">
        <v>31</v>
      </c>
      <c r="B13">
        <v>34</v>
      </c>
      <c r="C13">
        <v>3</v>
      </c>
      <c r="D13">
        <v>19</v>
      </c>
      <c r="E13">
        <v>10</v>
      </c>
      <c r="F13">
        <v>1</v>
      </c>
      <c r="L13">
        <v>7</v>
      </c>
      <c r="N13">
        <v>4</v>
      </c>
      <c r="O13">
        <v>2</v>
      </c>
    </row>
    <row r="14" spans="1:16" x14ac:dyDescent="0.2">
      <c r="A14" s="1301" t="s">
        <v>32</v>
      </c>
      <c r="B14">
        <v>45</v>
      </c>
      <c r="C14">
        <v>2</v>
      </c>
      <c r="D14">
        <v>6</v>
      </c>
      <c r="E14">
        <v>20</v>
      </c>
      <c r="F14">
        <v>3</v>
      </c>
      <c r="J14">
        <v>2</v>
      </c>
      <c r="L14">
        <v>5</v>
      </c>
      <c r="O14">
        <v>2</v>
      </c>
    </row>
    <row r="15" spans="1:16" x14ac:dyDescent="0.2">
      <c r="A15" s="1301" t="s">
        <v>33</v>
      </c>
      <c r="B15">
        <v>58</v>
      </c>
      <c r="C15">
        <v>4</v>
      </c>
      <c r="D15">
        <v>9</v>
      </c>
      <c r="E15">
        <v>11</v>
      </c>
      <c r="F15">
        <v>2</v>
      </c>
      <c r="L15">
        <v>7</v>
      </c>
      <c r="O15">
        <v>2</v>
      </c>
    </row>
    <row r="16" spans="1:16" x14ac:dyDescent="0.2">
      <c r="A16" s="1301" t="s">
        <v>665</v>
      </c>
      <c r="B16">
        <v>222</v>
      </c>
      <c r="C16">
        <v>35</v>
      </c>
      <c r="D16">
        <v>62</v>
      </c>
      <c r="E16">
        <v>197</v>
      </c>
      <c r="F16">
        <v>7</v>
      </c>
      <c r="G16">
        <v>1</v>
      </c>
      <c r="L16">
        <v>38</v>
      </c>
      <c r="M16">
        <v>9</v>
      </c>
      <c r="N16">
        <v>7</v>
      </c>
      <c r="O16">
        <v>22</v>
      </c>
      <c r="P16">
        <v>3</v>
      </c>
    </row>
    <row r="17" spans="1:16" x14ac:dyDescent="0.2">
      <c r="A17" s="1301" t="s">
        <v>34</v>
      </c>
      <c r="B17">
        <v>52</v>
      </c>
      <c r="C17">
        <v>13</v>
      </c>
      <c r="D17">
        <v>13</v>
      </c>
      <c r="E17">
        <v>44</v>
      </c>
      <c r="G17">
        <v>1</v>
      </c>
      <c r="H17">
        <v>1</v>
      </c>
      <c r="L17">
        <v>16</v>
      </c>
      <c r="N17">
        <v>1</v>
      </c>
      <c r="O17">
        <v>3</v>
      </c>
    </row>
    <row r="18" spans="1:16" x14ac:dyDescent="0.2">
      <c r="A18" s="1301" t="s">
        <v>35</v>
      </c>
      <c r="B18">
        <v>129</v>
      </c>
      <c r="C18">
        <v>39</v>
      </c>
      <c r="D18">
        <v>53</v>
      </c>
      <c r="E18">
        <v>75</v>
      </c>
      <c r="F18">
        <v>6</v>
      </c>
      <c r="J18">
        <v>2</v>
      </c>
      <c r="L18">
        <v>13</v>
      </c>
      <c r="M18">
        <v>8</v>
      </c>
      <c r="N18">
        <v>6</v>
      </c>
      <c r="O18">
        <v>5</v>
      </c>
    </row>
    <row r="19" spans="1:16" x14ac:dyDescent="0.2">
      <c r="A19" s="1301" t="s">
        <v>36</v>
      </c>
      <c r="B19">
        <v>566</v>
      </c>
      <c r="C19">
        <v>79</v>
      </c>
      <c r="D19">
        <v>134</v>
      </c>
      <c r="E19">
        <v>168</v>
      </c>
      <c r="F19">
        <v>15</v>
      </c>
      <c r="G19">
        <v>3</v>
      </c>
      <c r="H19">
        <v>1</v>
      </c>
      <c r="J19">
        <v>1</v>
      </c>
      <c r="L19">
        <v>101</v>
      </c>
      <c r="M19">
        <v>24</v>
      </c>
      <c r="N19">
        <v>14</v>
      </c>
      <c r="O19">
        <v>42</v>
      </c>
      <c r="P19">
        <v>4</v>
      </c>
    </row>
    <row r="20" spans="1:16" x14ac:dyDescent="0.2">
      <c r="A20" s="1301" t="s">
        <v>37</v>
      </c>
      <c r="B20">
        <v>56</v>
      </c>
      <c r="C20">
        <v>16</v>
      </c>
      <c r="D20">
        <v>17</v>
      </c>
      <c r="E20">
        <v>59</v>
      </c>
      <c r="F20">
        <v>5</v>
      </c>
      <c r="J20">
        <v>1</v>
      </c>
      <c r="K20">
        <v>1</v>
      </c>
      <c r="L20">
        <v>18</v>
      </c>
      <c r="M20">
        <v>4</v>
      </c>
      <c r="N20">
        <v>4</v>
      </c>
      <c r="O20">
        <v>5</v>
      </c>
    </row>
    <row r="21" spans="1:16" x14ac:dyDescent="0.2">
      <c r="A21" s="1301" t="s">
        <v>38</v>
      </c>
      <c r="B21">
        <v>58</v>
      </c>
      <c r="C21">
        <v>3</v>
      </c>
      <c r="D21">
        <v>14</v>
      </c>
      <c r="E21">
        <v>27</v>
      </c>
      <c r="F21">
        <v>1</v>
      </c>
      <c r="L21">
        <v>11</v>
      </c>
      <c r="N21">
        <v>1</v>
      </c>
      <c r="O21">
        <v>2</v>
      </c>
    </row>
    <row r="22" spans="1:16" x14ac:dyDescent="0.2">
      <c r="A22" s="1301" t="s">
        <v>39</v>
      </c>
      <c r="B22">
        <v>33</v>
      </c>
      <c r="C22">
        <v>7</v>
      </c>
      <c r="D22">
        <v>8</v>
      </c>
      <c r="E22">
        <v>22</v>
      </c>
      <c r="L22">
        <v>11</v>
      </c>
      <c r="N22">
        <v>2</v>
      </c>
      <c r="O22">
        <v>2</v>
      </c>
    </row>
    <row r="23" spans="1:16" x14ac:dyDescent="0.2">
      <c r="A23" s="1301" t="s">
        <v>40</v>
      </c>
      <c r="B23">
        <v>18</v>
      </c>
      <c r="C23">
        <v>5</v>
      </c>
      <c r="D23">
        <v>8</v>
      </c>
      <c r="E23">
        <v>7</v>
      </c>
      <c r="F23">
        <v>1</v>
      </c>
      <c r="L23">
        <v>6</v>
      </c>
      <c r="M23">
        <v>2</v>
      </c>
      <c r="N23">
        <v>3</v>
      </c>
      <c r="O23">
        <v>2</v>
      </c>
    </row>
    <row r="24" spans="1:16" x14ac:dyDescent="0.2">
      <c r="A24" s="1301" t="s">
        <v>393</v>
      </c>
      <c r="B24">
        <v>4</v>
      </c>
      <c r="C24">
        <v>3</v>
      </c>
      <c r="D24">
        <v>5</v>
      </c>
      <c r="E24">
        <v>5</v>
      </c>
      <c r="I24">
        <v>1</v>
      </c>
      <c r="M24">
        <v>1</v>
      </c>
      <c r="N24">
        <v>1</v>
      </c>
    </row>
    <row r="25" spans="1:16" x14ac:dyDescent="0.2">
      <c r="A25" s="1301" t="s">
        <v>41</v>
      </c>
      <c r="B25">
        <v>96</v>
      </c>
      <c r="C25">
        <v>12</v>
      </c>
      <c r="D25">
        <v>24</v>
      </c>
      <c r="E25">
        <v>28</v>
      </c>
      <c r="F25">
        <v>2</v>
      </c>
      <c r="L25">
        <v>12</v>
      </c>
      <c r="M25">
        <v>3</v>
      </c>
      <c r="N25">
        <v>1</v>
      </c>
      <c r="O25">
        <v>2</v>
      </c>
    </row>
    <row r="26" spans="1:16" x14ac:dyDescent="0.2">
      <c r="A26" s="1301" t="s">
        <v>42</v>
      </c>
      <c r="B26">
        <v>165</v>
      </c>
      <c r="C26">
        <v>38</v>
      </c>
      <c r="D26">
        <v>23</v>
      </c>
      <c r="E26">
        <v>73</v>
      </c>
      <c r="F26">
        <v>8</v>
      </c>
      <c r="G26">
        <v>1</v>
      </c>
      <c r="L26">
        <v>44</v>
      </c>
      <c r="M26">
        <v>12</v>
      </c>
      <c r="N26">
        <v>3</v>
      </c>
      <c r="O26">
        <v>25</v>
      </c>
    </row>
    <row r="27" spans="1:16" x14ac:dyDescent="0.2">
      <c r="A27" s="1301" t="s">
        <v>43</v>
      </c>
      <c r="B27">
        <v>1</v>
      </c>
      <c r="C27">
        <v>1</v>
      </c>
      <c r="E27">
        <v>4</v>
      </c>
      <c r="F27">
        <v>1</v>
      </c>
      <c r="M27">
        <v>3</v>
      </c>
    </row>
    <row r="28" spans="1:16" x14ac:dyDescent="0.2">
      <c r="A28" s="1301" t="s">
        <v>44</v>
      </c>
      <c r="B28">
        <v>54</v>
      </c>
      <c r="C28">
        <v>6</v>
      </c>
      <c r="D28">
        <v>10</v>
      </c>
      <c r="E28">
        <v>45</v>
      </c>
      <c r="F28">
        <v>1</v>
      </c>
      <c r="L28">
        <v>11</v>
      </c>
      <c r="M28">
        <v>3</v>
      </c>
      <c r="O28">
        <v>6</v>
      </c>
    </row>
    <row r="29" spans="1:16" x14ac:dyDescent="0.2">
      <c r="A29" s="1301" t="s">
        <v>45</v>
      </c>
      <c r="B29">
        <v>124</v>
      </c>
      <c r="C29">
        <v>11</v>
      </c>
      <c r="D29">
        <v>33</v>
      </c>
      <c r="E29">
        <v>45</v>
      </c>
      <c r="F29">
        <v>10</v>
      </c>
      <c r="I29">
        <v>1</v>
      </c>
      <c r="L29">
        <v>25</v>
      </c>
      <c r="M29">
        <v>2</v>
      </c>
      <c r="N29">
        <v>3</v>
      </c>
      <c r="O29">
        <v>3</v>
      </c>
      <c r="P29">
        <v>4</v>
      </c>
    </row>
    <row r="30" spans="1:16" x14ac:dyDescent="0.2">
      <c r="A30" s="1301" t="s">
        <v>46</v>
      </c>
      <c r="B30">
        <v>39</v>
      </c>
      <c r="C30">
        <v>9</v>
      </c>
      <c r="D30">
        <v>17</v>
      </c>
      <c r="E30">
        <v>33</v>
      </c>
      <c r="F30">
        <v>2</v>
      </c>
      <c r="H30">
        <v>1</v>
      </c>
      <c r="L30">
        <v>9</v>
      </c>
      <c r="N30">
        <v>1</v>
      </c>
      <c r="O30">
        <v>6</v>
      </c>
    </row>
    <row r="31" spans="1:16" x14ac:dyDescent="0.2">
      <c r="A31" s="1301" t="s">
        <v>47</v>
      </c>
      <c r="B31">
        <v>2</v>
      </c>
      <c r="C31">
        <v>4</v>
      </c>
      <c r="D31">
        <v>2</v>
      </c>
      <c r="E31">
        <v>2</v>
      </c>
      <c r="F31">
        <v>3</v>
      </c>
      <c r="L31">
        <v>1</v>
      </c>
      <c r="M31">
        <v>4</v>
      </c>
    </row>
    <row r="32" spans="1:16" x14ac:dyDescent="0.2">
      <c r="A32" s="1301" t="s">
        <v>48</v>
      </c>
      <c r="B32">
        <v>69</v>
      </c>
      <c r="C32">
        <v>9</v>
      </c>
      <c r="D32">
        <v>14</v>
      </c>
      <c r="E32">
        <v>8</v>
      </c>
      <c r="F32">
        <v>5</v>
      </c>
      <c r="H32">
        <v>1</v>
      </c>
      <c r="K32">
        <v>2</v>
      </c>
      <c r="L32">
        <v>12</v>
      </c>
      <c r="M32">
        <v>3</v>
      </c>
      <c r="N32">
        <v>2</v>
      </c>
      <c r="O32">
        <v>1</v>
      </c>
      <c r="P32">
        <v>2</v>
      </c>
    </row>
    <row r="33" spans="1:16" x14ac:dyDescent="0.2">
      <c r="A33" s="1301" t="s">
        <v>49</v>
      </c>
      <c r="B33">
        <v>154</v>
      </c>
      <c r="C33">
        <v>16</v>
      </c>
      <c r="D33">
        <v>49</v>
      </c>
      <c r="E33">
        <v>55</v>
      </c>
      <c r="F33">
        <v>4</v>
      </c>
      <c r="G33">
        <v>3</v>
      </c>
      <c r="I33">
        <v>1</v>
      </c>
      <c r="L33">
        <v>33</v>
      </c>
      <c r="M33">
        <v>3</v>
      </c>
      <c r="N33">
        <v>7</v>
      </c>
      <c r="O33">
        <v>15</v>
      </c>
      <c r="P33">
        <v>2</v>
      </c>
    </row>
    <row r="34" spans="1:16" x14ac:dyDescent="0.2">
      <c r="A34" s="1301" t="s">
        <v>50</v>
      </c>
      <c r="B34">
        <v>39</v>
      </c>
      <c r="C34">
        <v>13</v>
      </c>
      <c r="D34">
        <v>8</v>
      </c>
      <c r="E34">
        <v>26</v>
      </c>
      <c r="G34">
        <v>1</v>
      </c>
      <c r="I34">
        <v>1</v>
      </c>
      <c r="L34">
        <v>5</v>
      </c>
      <c r="M34">
        <v>2</v>
      </c>
      <c r="N34">
        <v>1</v>
      </c>
      <c r="O34">
        <v>7</v>
      </c>
    </row>
    <row r="35" spans="1:16" x14ac:dyDescent="0.2">
      <c r="A35" s="1301" t="s">
        <v>51</v>
      </c>
      <c r="B35">
        <v>100</v>
      </c>
      <c r="C35">
        <v>7</v>
      </c>
      <c r="D35">
        <v>27</v>
      </c>
      <c r="E35">
        <v>23</v>
      </c>
      <c r="F35">
        <v>1</v>
      </c>
      <c r="H35">
        <v>1</v>
      </c>
      <c r="L35">
        <v>13</v>
      </c>
      <c r="M35">
        <v>2</v>
      </c>
      <c r="N35">
        <v>1</v>
      </c>
      <c r="O35">
        <v>4</v>
      </c>
      <c r="P35">
        <v>2</v>
      </c>
    </row>
    <row r="36" spans="1:16" x14ac:dyDescent="0.2">
      <c r="A36" s="1301" t="s">
        <v>52</v>
      </c>
      <c r="B36">
        <v>87</v>
      </c>
      <c r="C36">
        <v>9</v>
      </c>
      <c r="D36">
        <v>27</v>
      </c>
      <c r="E36">
        <v>45</v>
      </c>
      <c r="F36">
        <v>1</v>
      </c>
      <c r="L36">
        <v>17</v>
      </c>
      <c r="M36">
        <v>3</v>
      </c>
      <c r="N36">
        <v>3</v>
      </c>
      <c r="O36">
        <v>9</v>
      </c>
    </row>
    <row r="37" spans="1:16" x14ac:dyDescent="0.2">
      <c r="A37" s="1301" t="s">
        <v>666</v>
      </c>
      <c r="B37">
        <v>2764</v>
      </c>
      <c r="C37">
        <v>442</v>
      </c>
      <c r="D37">
        <v>698</v>
      </c>
      <c r="E37">
        <v>1310</v>
      </c>
      <c r="F37">
        <v>96</v>
      </c>
      <c r="G37">
        <v>12</v>
      </c>
      <c r="H37">
        <v>8</v>
      </c>
      <c r="I37">
        <v>8</v>
      </c>
      <c r="J37">
        <v>6</v>
      </c>
      <c r="K37">
        <v>3</v>
      </c>
      <c r="L37">
        <v>501</v>
      </c>
      <c r="M37">
        <v>111</v>
      </c>
      <c r="N37">
        <v>77</v>
      </c>
      <c r="O37">
        <v>211</v>
      </c>
      <c r="P37">
        <v>21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40">
    <tabColor theme="4"/>
    <pageSetUpPr fitToPage="1"/>
  </sheetPr>
  <dimension ref="A1:I43"/>
  <sheetViews>
    <sheetView showGridLines="0" zoomScaleNormal="100" workbookViewId="0">
      <selection sqref="A1:H1"/>
    </sheetView>
  </sheetViews>
  <sheetFormatPr defaultRowHeight="12.75" x14ac:dyDescent="0.2"/>
  <cols>
    <col min="1" max="1" width="32.28515625" customWidth="1"/>
    <col min="2" max="2" width="10.7109375" customWidth="1"/>
    <col min="3" max="3" width="11.7109375" customWidth="1"/>
    <col min="4" max="5" width="10.85546875" customWidth="1"/>
    <col min="6" max="6" width="11.85546875" customWidth="1"/>
    <col min="8" max="8" width="7" customWidth="1"/>
  </cols>
  <sheetData>
    <row r="1" spans="1:9" ht="38.25" customHeight="1" x14ac:dyDescent="0.2">
      <c r="A1" s="1752" t="s">
        <v>933</v>
      </c>
      <c r="B1" s="1752"/>
      <c r="C1" s="1752"/>
      <c r="D1" s="1752"/>
      <c r="E1" s="1752"/>
      <c r="F1" s="1752"/>
      <c r="G1" s="1752"/>
      <c r="H1" s="1752"/>
      <c r="I1" s="1"/>
    </row>
    <row r="2" spans="1:9" ht="15" x14ac:dyDescent="0.25">
      <c r="B2" s="1"/>
      <c r="C2" s="13"/>
      <c r="D2" s="1"/>
      <c r="E2" s="1"/>
      <c r="F2" s="234" t="s">
        <v>0</v>
      </c>
      <c r="G2" s="1"/>
      <c r="H2" s="1"/>
      <c r="I2" s="1"/>
    </row>
    <row r="3" spans="1:9" ht="14.25" x14ac:dyDescent="0.2">
      <c r="B3" s="141" t="s">
        <v>145</v>
      </c>
      <c r="C3" s="141" t="s">
        <v>145</v>
      </c>
      <c r="D3" s="141" t="s">
        <v>145</v>
      </c>
      <c r="E3" s="141" t="s">
        <v>145</v>
      </c>
      <c r="F3" s="1331" t="s">
        <v>143</v>
      </c>
      <c r="G3" s="1"/>
      <c r="H3" s="1"/>
      <c r="I3" s="1"/>
    </row>
    <row r="4" spans="1:9" ht="15" customHeight="1" x14ac:dyDescent="0.2">
      <c r="A4" s="1263" t="s">
        <v>217</v>
      </c>
      <c r="B4" s="1200" t="s">
        <v>17</v>
      </c>
      <c r="C4" s="1200" t="s">
        <v>147</v>
      </c>
      <c r="D4" s="1200" t="s">
        <v>160</v>
      </c>
      <c r="E4" s="1200" t="s">
        <v>379</v>
      </c>
      <c r="F4" s="1201" t="s">
        <v>603</v>
      </c>
      <c r="G4" s="1"/>
    </row>
    <row r="5" spans="1:9" ht="18.75" customHeight="1" x14ac:dyDescent="0.2">
      <c r="A5" s="501" t="s">
        <v>218</v>
      </c>
      <c r="B5" s="1347">
        <v>376</v>
      </c>
      <c r="C5" s="1348">
        <v>378</v>
      </c>
      <c r="D5" s="594">
        <f>T19b!B5</f>
        <v>364</v>
      </c>
      <c r="E5" s="594">
        <f>T19b!C5</f>
        <v>355</v>
      </c>
      <c r="F5" s="595">
        <f>T19b!D5</f>
        <v>398</v>
      </c>
      <c r="G5" s="1"/>
    </row>
    <row r="6" spans="1:9" ht="13.5" customHeight="1" x14ac:dyDescent="0.2">
      <c r="A6" s="501" t="s">
        <v>219</v>
      </c>
      <c r="B6" s="1349">
        <v>70</v>
      </c>
      <c r="C6" s="1349">
        <v>69</v>
      </c>
      <c r="D6" s="1">
        <f>T19b!B6</f>
        <v>61</v>
      </c>
      <c r="E6" s="1">
        <f>T19b!C6</f>
        <v>56</v>
      </c>
      <c r="F6" s="151">
        <f>T19b!D6</f>
        <v>54</v>
      </c>
      <c r="G6" s="1"/>
    </row>
    <row r="7" spans="1:9" ht="13.5" customHeight="1" x14ac:dyDescent="0.2">
      <c r="A7" s="501" t="s">
        <v>220</v>
      </c>
      <c r="B7" s="1349">
        <v>65</v>
      </c>
      <c r="C7" s="1349">
        <v>51</v>
      </c>
      <c r="D7" s="1">
        <f>T19b!B7</f>
        <v>50</v>
      </c>
      <c r="E7" s="1">
        <f>T19b!C7</f>
        <v>30</v>
      </c>
      <c r="F7" s="151">
        <f>T19b!D7</f>
        <v>27</v>
      </c>
      <c r="G7" s="1"/>
    </row>
    <row r="8" spans="1:9" ht="13.5" customHeight="1" x14ac:dyDescent="0.2">
      <c r="A8" s="501" t="s">
        <v>221</v>
      </c>
      <c r="B8" s="1349">
        <v>58</v>
      </c>
      <c r="C8" s="1349">
        <v>88</v>
      </c>
      <c r="D8" s="1">
        <f>T19b!B8</f>
        <v>87</v>
      </c>
      <c r="E8" s="1">
        <f>T19b!C8</f>
        <v>60</v>
      </c>
      <c r="F8" s="151">
        <f>T19b!D8</f>
        <v>63</v>
      </c>
      <c r="G8" s="1"/>
    </row>
    <row r="9" spans="1:9" ht="13.5" customHeight="1" x14ac:dyDescent="0.2">
      <c r="A9" s="501" t="s">
        <v>222</v>
      </c>
      <c r="B9" s="1349">
        <v>54</v>
      </c>
      <c r="C9" s="1349">
        <v>60</v>
      </c>
      <c r="D9" s="1">
        <f>T19b!B9</f>
        <v>51</v>
      </c>
      <c r="E9" s="1">
        <f>T19b!C9</f>
        <v>33</v>
      </c>
      <c r="F9" s="151">
        <f>T19b!D9</f>
        <v>26</v>
      </c>
      <c r="G9" s="1"/>
    </row>
    <row r="10" spans="1:9" ht="13.5" customHeight="1" x14ac:dyDescent="0.2">
      <c r="A10" s="501" t="s">
        <v>223</v>
      </c>
      <c r="B10" s="1349">
        <v>49</v>
      </c>
      <c r="C10" s="1349">
        <v>39</v>
      </c>
      <c r="D10" s="1">
        <f>T19b!B10</f>
        <v>42</v>
      </c>
      <c r="E10" s="1">
        <f>T19b!C10</f>
        <v>24</v>
      </c>
      <c r="F10" s="151">
        <f>T19b!D10</f>
        <v>27</v>
      </c>
      <c r="G10" s="1"/>
    </row>
    <row r="11" spans="1:9" ht="13.5" customHeight="1" x14ac:dyDescent="0.2">
      <c r="A11" s="501" t="s">
        <v>74</v>
      </c>
      <c r="B11" s="1349">
        <v>47</v>
      </c>
      <c r="C11" s="1349">
        <v>48</v>
      </c>
      <c r="D11" s="1">
        <f>T19b!B11</f>
        <v>54</v>
      </c>
      <c r="E11" s="1">
        <f>T19b!C11</f>
        <v>49</v>
      </c>
      <c r="F11" s="151">
        <f>T19b!D11</f>
        <v>50</v>
      </c>
      <c r="G11" s="1"/>
    </row>
    <row r="12" spans="1:9" ht="13.5" customHeight="1" x14ac:dyDescent="0.2">
      <c r="A12" s="501" t="s">
        <v>224</v>
      </c>
      <c r="B12" s="1349">
        <v>30</v>
      </c>
      <c r="C12" s="1349">
        <v>35</v>
      </c>
      <c r="D12" s="1">
        <f>T19b!B12</f>
        <v>33</v>
      </c>
      <c r="E12" s="1">
        <f>T19b!C12</f>
        <v>27</v>
      </c>
      <c r="F12" s="151">
        <f>T19b!D12</f>
        <v>24</v>
      </c>
      <c r="G12" s="1"/>
    </row>
    <row r="13" spans="1:9" ht="13.5" customHeight="1" x14ac:dyDescent="0.2">
      <c r="A13" s="499" t="s">
        <v>209</v>
      </c>
      <c r="B13" s="1349">
        <v>10</v>
      </c>
      <c r="C13" s="1349">
        <v>16</v>
      </c>
      <c r="D13" s="1">
        <f>T19b!B13</f>
        <v>8</v>
      </c>
      <c r="E13" s="1">
        <f>T19b!C13</f>
        <v>15</v>
      </c>
      <c r="F13" s="151">
        <f>T19b!D13</f>
        <v>15</v>
      </c>
      <c r="G13" s="1"/>
    </row>
    <row r="14" spans="1:9" ht="13.5" customHeight="1" x14ac:dyDescent="0.2">
      <c r="A14" s="499" t="s">
        <v>225</v>
      </c>
      <c r="B14" s="1349">
        <v>7</v>
      </c>
      <c r="C14" s="1349">
        <v>7</v>
      </c>
      <c r="D14" s="1">
        <f>T19b!B14</f>
        <v>10</v>
      </c>
      <c r="E14" s="1">
        <f>T19b!C14</f>
        <v>13</v>
      </c>
      <c r="F14" s="151">
        <f>T19b!D14</f>
        <v>6</v>
      </c>
      <c r="G14" s="1"/>
    </row>
    <row r="15" spans="1:9" ht="13.5" customHeight="1" x14ac:dyDescent="0.2">
      <c r="A15" s="46" t="s">
        <v>226</v>
      </c>
      <c r="B15" s="1349">
        <v>4</v>
      </c>
      <c r="C15" s="1349">
        <v>5</v>
      </c>
      <c r="D15" s="1">
        <f>T19b!B15</f>
        <v>10</v>
      </c>
      <c r="E15" s="1">
        <f>T19b!C15</f>
        <v>7</v>
      </c>
      <c r="F15" s="151">
        <f>T19b!D15</f>
        <v>5</v>
      </c>
      <c r="G15" s="1"/>
    </row>
    <row r="16" spans="1:9" ht="13.5" customHeight="1" x14ac:dyDescent="0.2">
      <c r="A16" s="46" t="s">
        <v>227</v>
      </c>
      <c r="B16" s="1349">
        <v>6</v>
      </c>
      <c r="C16" s="1349">
        <v>5</v>
      </c>
      <c r="D16" s="1">
        <f>T19b!B16</f>
        <v>9</v>
      </c>
      <c r="E16" s="1">
        <f>T19b!C16</f>
        <v>6</v>
      </c>
      <c r="F16" s="151">
        <f>T19b!D16</f>
        <v>3</v>
      </c>
      <c r="G16" s="1"/>
    </row>
    <row r="17" spans="1:9" x14ac:dyDescent="0.2">
      <c r="A17" s="46"/>
      <c r="B17" s="1349"/>
      <c r="C17" s="1349"/>
      <c r="D17" s="1"/>
      <c r="E17" s="1"/>
      <c r="F17" s="151"/>
      <c r="G17" s="1"/>
    </row>
    <row r="18" spans="1:9" ht="30" customHeight="1" x14ac:dyDescent="0.2">
      <c r="A18" s="204" t="s">
        <v>159</v>
      </c>
      <c r="B18" s="626">
        <f t="shared" ref="B18:E18" si="0">SUM(B5:B16)</f>
        <v>776</v>
      </c>
      <c r="C18" s="626">
        <f t="shared" si="0"/>
        <v>801</v>
      </c>
      <c r="D18" s="626">
        <f t="shared" si="0"/>
        <v>779</v>
      </c>
      <c r="E18" s="626">
        <f t="shared" si="0"/>
        <v>675</v>
      </c>
      <c r="F18" s="900">
        <f>SUM(F5:F16)</f>
        <v>698</v>
      </c>
      <c r="G18" s="1"/>
    </row>
    <row r="19" spans="1:9" x14ac:dyDescent="0.2">
      <c r="A19" s="1"/>
      <c r="B19" s="1"/>
      <c r="C19" s="1"/>
      <c r="D19" s="1"/>
      <c r="E19" s="1"/>
      <c r="F19" s="1"/>
      <c r="G19" s="1"/>
      <c r="H19" s="1"/>
      <c r="I19" s="1"/>
    </row>
    <row r="20" spans="1:9" ht="14.25" x14ac:dyDescent="0.2">
      <c r="A20" s="1"/>
      <c r="B20" s="1"/>
      <c r="C20" s="13"/>
      <c r="D20" s="1"/>
      <c r="E20" s="1"/>
      <c r="F20" s="627" t="s">
        <v>64</v>
      </c>
      <c r="G20" s="1"/>
      <c r="H20" s="1"/>
      <c r="I20" s="1"/>
    </row>
    <row r="21" spans="1:9" ht="14.25" x14ac:dyDescent="0.2">
      <c r="A21" s="1"/>
      <c r="B21" s="141" t="s">
        <v>145</v>
      </c>
      <c r="C21" s="141" t="s">
        <v>145</v>
      </c>
      <c r="D21" s="141" t="s">
        <v>145</v>
      </c>
      <c r="E21" s="141" t="s">
        <v>145</v>
      </c>
      <c r="F21" s="1331" t="s">
        <v>143</v>
      </c>
      <c r="G21" s="1"/>
      <c r="H21" s="1"/>
      <c r="I21" s="1"/>
    </row>
    <row r="22" spans="1:9" x14ac:dyDescent="0.2">
      <c r="A22" s="544" t="s">
        <v>217</v>
      </c>
      <c r="B22" s="1200" t="s">
        <v>17</v>
      </c>
      <c r="C22" s="1200" t="s">
        <v>147</v>
      </c>
      <c r="D22" s="1200" t="s">
        <v>160</v>
      </c>
      <c r="E22" s="1200" t="s">
        <v>379</v>
      </c>
      <c r="F22" s="1201" t="s">
        <v>603</v>
      </c>
      <c r="G22" s="1"/>
      <c r="H22" s="1"/>
      <c r="I22" s="1"/>
    </row>
    <row r="23" spans="1:9" ht="18.75" customHeight="1" x14ac:dyDescent="0.2">
      <c r="A23" s="1006" t="s">
        <v>218</v>
      </c>
      <c r="B23" s="1341">
        <f t="shared" ref="B23:F34" si="1">B5/B$18*100</f>
        <v>48.453608247422679</v>
      </c>
      <c r="C23" s="1341">
        <f t="shared" si="1"/>
        <v>47.191011235955052</v>
      </c>
      <c r="D23" s="1341">
        <f t="shared" si="1"/>
        <v>46.726572528883182</v>
      </c>
      <c r="E23" s="1341">
        <f t="shared" si="1"/>
        <v>52.592592592592588</v>
      </c>
      <c r="F23" s="1342">
        <f t="shared" si="1"/>
        <v>57.020057306590253</v>
      </c>
      <c r="G23" s="1"/>
      <c r="H23" s="1"/>
      <c r="I23" s="1"/>
    </row>
    <row r="24" spans="1:9" ht="13.5" customHeight="1" x14ac:dyDescent="0.2">
      <c r="A24" s="501" t="s">
        <v>219</v>
      </c>
      <c r="B24" s="1343">
        <f t="shared" si="1"/>
        <v>9.0206185567010309</v>
      </c>
      <c r="C24" s="1343">
        <f t="shared" si="1"/>
        <v>8.6142322097378283</v>
      </c>
      <c r="D24" s="1343">
        <f t="shared" si="1"/>
        <v>7.8305519897304237</v>
      </c>
      <c r="E24" s="1343">
        <f t="shared" si="1"/>
        <v>8.2962962962962958</v>
      </c>
      <c r="F24" s="1344">
        <f t="shared" si="1"/>
        <v>7.7363896848137532</v>
      </c>
      <c r="G24" s="1"/>
      <c r="H24" s="1"/>
      <c r="I24" s="1"/>
    </row>
    <row r="25" spans="1:9" ht="13.5" customHeight="1" x14ac:dyDescent="0.2">
      <c r="A25" s="501" t="s">
        <v>220</v>
      </c>
      <c r="B25" s="1343">
        <f t="shared" si="1"/>
        <v>8.3762886597938131</v>
      </c>
      <c r="C25" s="1343">
        <f t="shared" si="1"/>
        <v>6.3670411985018731</v>
      </c>
      <c r="D25" s="1343">
        <f t="shared" si="1"/>
        <v>6.4184852374839538</v>
      </c>
      <c r="E25" s="1343">
        <f t="shared" si="1"/>
        <v>4.4444444444444446</v>
      </c>
      <c r="F25" s="1344">
        <f t="shared" si="1"/>
        <v>3.8681948424068766</v>
      </c>
      <c r="G25" s="1"/>
      <c r="H25" s="1"/>
      <c r="I25" s="1"/>
    </row>
    <row r="26" spans="1:9" ht="13.5" customHeight="1" x14ac:dyDescent="0.2">
      <c r="A26" s="501" t="s">
        <v>221</v>
      </c>
      <c r="B26" s="1343">
        <f t="shared" si="1"/>
        <v>7.4742268041237114</v>
      </c>
      <c r="C26" s="1343">
        <f t="shared" si="1"/>
        <v>10.986267166042447</v>
      </c>
      <c r="D26" s="1343">
        <f t="shared" si="1"/>
        <v>11.16816431322208</v>
      </c>
      <c r="E26" s="1343">
        <f t="shared" si="1"/>
        <v>8.8888888888888893</v>
      </c>
      <c r="F26" s="1344">
        <f t="shared" si="1"/>
        <v>9.0257879656160451</v>
      </c>
      <c r="G26" s="1"/>
      <c r="H26" s="1"/>
      <c r="I26" s="1"/>
    </row>
    <row r="27" spans="1:9" ht="13.5" customHeight="1" x14ac:dyDescent="0.2">
      <c r="A27" s="501" t="s">
        <v>222</v>
      </c>
      <c r="B27" s="1343">
        <f t="shared" si="1"/>
        <v>6.9587628865979383</v>
      </c>
      <c r="C27" s="1343">
        <f t="shared" si="1"/>
        <v>7.4906367041198507</v>
      </c>
      <c r="D27" s="1343">
        <f t="shared" si="1"/>
        <v>6.5468549422336331</v>
      </c>
      <c r="E27" s="1343">
        <f t="shared" si="1"/>
        <v>4.8888888888888893</v>
      </c>
      <c r="F27" s="1344">
        <f t="shared" si="1"/>
        <v>3.7249283667621778</v>
      </c>
      <c r="G27" s="1"/>
      <c r="H27" s="1"/>
      <c r="I27" s="1"/>
    </row>
    <row r="28" spans="1:9" ht="13.5" customHeight="1" x14ac:dyDescent="0.2">
      <c r="A28" s="501" t="s">
        <v>223</v>
      </c>
      <c r="B28" s="1343">
        <f t="shared" si="1"/>
        <v>6.3144329896907214</v>
      </c>
      <c r="C28" s="1343">
        <f t="shared" si="1"/>
        <v>4.868913857677903</v>
      </c>
      <c r="D28" s="1343">
        <f t="shared" si="1"/>
        <v>5.3915275994865208</v>
      </c>
      <c r="E28" s="1343">
        <f t="shared" si="1"/>
        <v>3.5555555555555554</v>
      </c>
      <c r="F28" s="1344">
        <f t="shared" si="1"/>
        <v>3.8681948424068766</v>
      </c>
      <c r="G28" s="1"/>
      <c r="H28" s="1"/>
      <c r="I28" s="1"/>
    </row>
    <row r="29" spans="1:9" ht="13.5" customHeight="1" x14ac:dyDescent="0.2">
      <c r="A29" s="501" t="s">
        <v>74</v>
      </c>
      <c r="B29" s="1343">
        <f t="shared" si="1"/>
        <v>6.0567010309278349</v>
      </c>
      <c r="C29" s="1343">
        <f t="shared" si="1"/>
        <v>5.9925093632958806</v>
      </c>
      <c r="D29" s="1343">
        <f t="shared" si="1"/>
        <v>6.9319640564826699</v>
      </c>
      <c r="E29" s="1343">
        <f t="shared" si="1"/>
        <v>7.2592592592592595</v>
      </c>
      <c r="F29" s="1344">
        <f t="shared" si="1"/>
        <v>7.1633237822349569</v>
      </c>
      <c r="G29" s="1"/>
      <c r="H29" s="1"/>
      <c r="I29" s="1"/>
    </row>
    <row r="30" spans="1:9" ht="13.5" customHeight="1" x14ac:dyDescent="0.2">
      <c r="A30" s="501" t="s">
        <v>224</v>
      </c>
      <c r="B30" s="1343">
        <f t="shared" si="1"/>
        <v>3.865979381443299</v>
      </c>
      <c r="C30" s="1343">
        <f t="shared" si="1"/>
        <v>4.369538077403246</v>
      </c>
      <c r="D30" s="1343">
        <f t="shared" si="1"/>
        <v>4.2362002567394095</v>
      </c>
      <c r="E30" s="1343">
        <f t="shared" si="1"/>
        <v>4</v>
      </c>
      <c r="F30" s="1344">
        <f t="shared" si="1"/>
        <v>3.4383954154727796</v>
      </c>
      <c r="G30" s="1"/>
      <c r="H30" s="1"/>
      <c r="I30" s="1"/>
    </row>
    <row r="31" spans="1:9" ht="13.5" customHeight="1" x14ac:dyDescent="0.2">
      <c r="A31" s="499" t="s">
        <v>209</v>
      </c>
      <c r="B31" s="1343">
        <f t="shared" si="1"/>
        <v>1.2886597938144329</v>
      </c>
      <c r="C31" s="1343">
        <f t="shared" si="1"/>
        <v>1.9975031210986267</v>
      </c>
      <c r="D31" s="1343">
        <f t="shared" si="1"/>
        <v>1.0269576379974326</v>
      </c>
      <c r="E31" s="1343">
        <f t="shared" si="1"/>
        <v>2.2222222222222223</v>
      </c>
      <c r="F31" s="1344">
        <f t="shared" si="1"/>
        <v>2.1489971346704868</v>
      </c>
      <c r="G31" s="1"/>
      <c r="H31" s="1"/>
      <c r="I31" s="1"/>
    </row>
    <row r="32" spans="1:9" ht="13.5" customHeight="1" x14ac:dyDescent="0.2">
      <c r="A32" s="499" t="s">
        <v>225</v>
      </c>
      <c r="B32" s="1343">
        <f t="shared" si="1"/>
        <v>0.902061855670103</v>
      </c>
      <c r="C32" s="1343">
        <f t="shared" si="1"/>
        <v>0.87390761548064921</v>
      </c>
      <c r="D32" s="1343">
        <f t="shared" si="1"/>
        <v>1.2836970474967908</v>
      </c>
      <c r="E32" s="1343">
        <f t="shared" si="1"/>
        <v>1.925925925925926</v>
      </c>
      <c r="F32" s="1344">
        <f t="shared" si="1"/>
        <v>0.8595988538681949</v>
      </c>
      <c r="G32" s="1"/>
    </row>
    <row r="33" spans="1:7" ht="13.5" customHeight="1" x14ac:dyDescent="0.2">
      <c r="A33" s="46" t="s">
        <v>226</v>
      </c>
      <c r="B33" s="1343">
        <f t="shared" si="1"/>
        <v>0.51546391752577314</v>
      </c>
      <c r="C33" s="1343">
        <f t="shared" si="1"/>
        <v>0.62421972534332082</v>
      </c>
      <c r="D33" s="1343">
        <f t="shared" si="1"/>
        <v>1.2836970474967908</v>
      </c>
      <c r="E33" s="1343">
        <f t="shared" si="1"/>
        <v>1.037037037037037</v>
      </c>
      <c r="F33" s="1344">
        <f t="shared" si="1"/>
        <v>0.71633237822349571</v>
      </c>
      <c r="G33" s="1"/>
    </row>
    <row r="34" spans="1:7" ht="13.5" customHeight="1" x14ac:dyDescent="0.2">
      <c r="A34" s="46" t="s">
        <v>227</v>
      </c>
      <c r="B34" s="1343">
        <f t="shared" si="1"/>
        <v>0.77319587628865982</v>
      </c>
      <c r="C34" s="1343">
        <f t="shared" si="1"/>
        <v>0.62421972534332082</v>
      </c>
      <c r="D34" s="1343">
        <f t="shared" si="1"/>
        <v>1.1553273427471118</v>
      </c>
      <c r="E34" s="1343">
        <f t="shared" si="1"/>
        <v>0.88888888888888884</v>
      </c>
      <c r="F34" s="1344">
        <f t="shared" si="1"/>
        <v>0.42979942693409745</v>
      </c>
      <c r="G34" s="1"/>
    </row>
    <row r="35" spans="1:7" x14ac:dyDescent="0.2">
      <c r="A35" s="773"/>
      <c r="B35" s="1350"/>
      <c r="C35" s="1351"/>
      <c r="D35" s="90"/>
      <c r="E35" s="90"/>
      <c r="F35" s="91"/>
      <c r="G35" s="1"/>
    </row>
    <row r="36" spans="1:7" ht="30" customHeight="1" x14ac:dyDescent="0.2">
      <c r="A36" s="204" t="s">
        <v>159</v>
      </c>
      <c r="B36" s="1345">
        <f t="shared" ref="B36:E36" si="2">SUM(B23:B34)</f>
        <v>99.999999999999986</v>
      </c>
      <c r="C36" s="1345">
        <f t="shared" si="2"/>
        <v>100</v>
      </c>
      <c r="D36" s="1345">
        <f t="shared" si="2"/>
        <v>100</v>
      </c>
      <c r="E36" s="1345">
        <f t="shared" si="2"/>
        <v>100</v>
      </c>
      <c r="F36" s="1346">
        <f>SUM(F23:F34)</f>
        <v>99.999999999999986</v>
      </c>
      <c r="G36" s="1"/>
    </row>
    <row r="37" spans="1:7" x14ac:dyDescent="0.2">
      <c r="A37" s="1"/>
      <c r="B37" s="1"/>
      <c r="C37" s="1"/>
      <c r="D37" s="1"/>
      <c r="E37" s="1"/>
      <c r="F37" s="1"/>
      <c r="G37" s="1"/>
    </row>
    <row r="38" spans="1:7" x14ac:dyDescent="0.2">
      <c r="A38" s="68" t="s">
        <v>162</v>
      </c>
      <c r="B38" s="1"/>
      <c r="C38" s="1"/>
      <c r="D38" s="1"/>
      <c r="E38" s="1"/>
      <c r="F38" s="1"/>
      <c r="G38" s="1"/>
    </row>
    <row r="39" spans="1:7" x14ac:dyDescent="0.2">
      <c r="A39" s="71" t="s">
        <v>967</v>
      </c>
      <c r="B39" s="1"/>
      <c r="C39" s="1"/>
      <c r="D39" s="1"/>
      <c r="E39" s="1"/>
      <c r="F39" s="1"/>
      <c r="G39" s="1"/>
    </row>
    <row r="40" spans="1:7" x14ac:dyDescent="0.2">
      <c r="A40" s="1" t="s">
        <v>1047</v>
      </c>
      <c r="B40" s="1"/>
      <c r="C40" s="1"/>
      <c r="D40" s="1"/>
      <c r="E40" s="1"/>
      <c r="F40" s="1"/>
      <c r="G40" s="1"/>
    </row>
    <row r="41" spans="1:7" ht="38.25" customHeight="1" x14ac:dyDescent="0.2">
      <c r="A41" s="1697" t="s">
        <v>1048</v>
      </c>
      <c r="B41" s="1697"/>
      <c r="C41" s="1697"/>
      <c r="D41" s="1697"/>
      <c r="E41" s="1697"/>
      <c r="F41" s="1697"/>
      <c r="G41" s="1697"/>
    </row>
    <row r="43" spans="1:7" x14ac:dyDescent="0.2">
      <c r="A43" s="386" t="s">
        <v>169</v>
      </c>
    </row>
  </sheetData>
  <sheetProtection algorithmName="SHA-512" hashValue="zMer+CmtDH2X8bf5PBLW97lj8pxbUoNV3cdXnAyTfY49RjZaJALUN6mo/lWflP+nmRSfYTom19kT221ZlHFAEQ==" saltValue="t9gs7fh+KC7Ijgo+ofvlXg==" spinCount="100000" sheet="1" objects="1" scenarios="1"/>
  <mergeCells count="2">
    <mergeCell ref="A1:H1"/>
    <mergeCell ref="A41:G41"/>
  </mergeCells>
  <hyperlinks>
    <hyperlink ref="A43" location="Contents!A1" display="Return to contents" xr:uid="{00000000-0004-0000-5700-000000000000}"/>
  </hyperlinks>
  <pageMargins left="0.7" right="0.7" top="0.75" bottom="0.75" header="0.3" footer="0.3"/>
  <pageSetup paperSize="9" scale="85" orientation="portrait" r:id="rId1"/>
  <colBreaks count="1" manualBreakCount="1">
    <brk id="8"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41">
    <tabColor theme="4"/>
    <pageSetUpPr fitToPage="1"/>
  </sheetPr>
  <dimension ref="A1:I69"/>
  <sheetViews>
    <sheetView showGridLines="0" zoomScaleNormal="100" workbookViewId="0">
      <selection sqref="A1:I1"/>
    </sheetView>
  </sheetViews>
  <sheetFormatPr defaultRowHeight="12.75" x14ac:dyDescent="0.2"/>
  <cols>
    <col min="1" max="1" width="59" customWidth="1"/>
    <col min="10" max="10" width="3" customWidth="1"/>
    <col min="12" max="12" width="42.85546875" customWidth="1"/>
  </cols>
  <sheetData>
    <row r="1" spans="1:9" ht="38.25" customHeight="1" x14ac:dyDescent="0.2">
      <c r="A1" s="1655" t="s">
        <v>639</v>
      </c>
      <c r="B1" s="1655"/>
      <c r="C1" s="1655"/>
      <c r="D1" s="1655"/>
      <c r="E1" s="1655"/>
      <c r="F1" s="1655"/>
      <c r="G1" s="1655"/>
      <c r="H1" s="1655"/>
      <c r="I1" s="1655"/>
    </row>
    <row r="2" spans="1:9" ht="15" x14ac:dyDescent="0.25">
      <c r="A2" s="1"/>
      <c r="B2" s="1"/>
      <c r="C2" s="1"/>
      <c r="D2" s="1"/>
      <c r="E2" s="1"/>
      <c r="G2" s="1"/>
      <c r="H2" s="1"/>
      <c r="I2" s="253" t="s">
        <v>0</v>
      </c>
    </row>
    <row r="3" spans="1:9" ht="14.25" x14ac:dyDescent="0.2">
      <c r="A3" s="1"/>
      <c r="B3" s="1"/>
      <c r="C3" s="1"/>
      <c r="D3" s="1"/>
      <c r="E3" s="1"/>
      <c r="G3" s="1"/>
      <c r="H3" s="141" t="s">
        <v>145</v>
      </c>
      <c r="I3" s="1332" t="s">
        <v>143</v>
      </c>
    </row>
    <row r="4" spans="1:9" x14ac:dyDescent="0.2">
      <c r="A4" s="4" t="s">
        <v>405</v>
      </c>
      <c r="B4" s="789" t="s">
        <v>20</v>
      </c>
      <c r="C4" s="789" t="s">
        <v>13</v>
      </c>
      <c r="D4" s="789" t="s">
        <v>15</v>
      </c>
      <c r="E4" s="789" t="s">
        <v>17</v>
      </c>
      <c r="F4" s="789" t="s">
        <v>147</v>
      </c>
      <c r="G4" s="789" t="s">
        <v>160</v>
      </c>
      <c r="H4" s="789" t="s">
        <v>379</v>
      </c>
      <c r="I4" s="789" t="s">
        <v>603</v>
      </c>
    </row>
    <row r="5" spans="1:9" ht="18.75" customHeight="1" x14ac:dyDescent="0.2">
      <c r="A5" s="731" t="s">
        <v>229</v>
      </c>
      <c r="B5" s="732">
        <v>27</v>
      </c>
      <c r="C5" s="732">
        <v>34</v>
      </c>
      <c r="D5" s="732">
        <v>52</v>
      </c>
      <c r="E5" s="615">
        <v>43</v>
      </c>
      <c r="F5" s="615">
        <v>45</v>
      </c>
      <c r="G5" s="733">
        <f>'T20'!C5</f>
        <v>33</v>
      </c>
      <c r="H5" s="733">
        <f>'T20'!D5</f>
        <v>29</v>
      </c>
      <c r="I5" s="733">
        <f>'T20'!E5</f>
        <v>29</v>
      </c>
    </row>
    <row r="6" spans="1:9" ht="13.5" customHeight="1" x14ac:dyDescent="0.2">
      <c r="A6" s="696" t="s">
        <v>230</v>
      </c>
      <c r="B6" s="653">
        <v>12</v>
      </c>
      <c r="C6" s="653">
        <v>9</v>
      </c>
      <c r="D6" s="653">
        <v>6</v>
      </c>
      <c r="E6" s="483">
        <v>13</v>
      </c>
      <c r="F6" s="483">
        <v>9</v>
      </c>
      <c r="G6" s="654">
        <f>'T20'!C6</f>
        <v>12</v>
      </c>
      <c r="H6" s="654">
        <f>'T20'!D6</f>
        <v>9</v>
      </c>
      <c r="I6" s="655">
        <f>'T20'!E6</f>
        <v>12</v>
      </c>
    </row>
    <row r="7" spans="1:9" ht="13.5" customHeight="1" x14ac:dyDescent="0.2">
      <c r="A7" s="731" t="s">
        <v>231</v>
      </c>
      <c r="B7" s="732">
        <v>1876</v>
      </c>
      <c r="C7" s="732">
        <v>1896</v>
      </c>
      <c r="D7" s="732">
        <v>1911</v>
      </c>
      <c r="E7" s="615">
        <v>1837</v>
      </c>
      <c r="F7" s="615">
        <v>2002</v>
      </c>
      <c r="G7" s="733">
        <f>'T20'!C7</f>
        <v>1983</v>
      </c>
      <c r="H7" s="733">
        <f>'T20'!D7</f>
        <v>1951</v>
      </c>
      <c r="I7" s="733">
        <f>'T20'!E7</f>
        <v>1914</v>
      </c>
    </row>
    <row r="8" spans="1:9" ht="13.5" customHeight="1" x14ac:dyDescent="0.2">
      <c r="A8" s="696" t="s">
        <v>232</v>
      </c>
      <c r="B8" s="653">
        <v>20</v>
      </c>
      <c r="C8" s="653">
        <v>24</v>
      </c>
      <c r="D8" s="653">
        <v>15</v>
      </c>
      <c r="E8" s="483">
        <v>9</v>
      </c>
      <c r="F8" s="483">
        <v>21</v>
      </c>
      <c r="G8" s="654">
        <f>'T20'!C8</f>
        <v>24</v>
      </c>
      <c r="H8" s="654">
        <f>'T20'!D8</f>
        <v>13</v>
      </c>
      <c r="I8" s="655">
        <f>'T20'!E8</f>
        <v>19</v>
      </c>
    </row>
    <row r="9" spans="1:9" ht="13.5" customHeight="1" x14ac:dyDescent="0.2">
      <c r="A9" s="731" t="s">
        <v>233</v>
      </c>
      <c r="B9" s="732">
        <v>549</v>
      </c>
      <c r="C9" s="732">
        <v>536</v>
      </c>
      <c r="D9" s="732">
        <v>490</v>
      </c>
      <c r="E9" s="615">
        <v>444</v>
      </c>
      <c r="F9" s="615">
        <v>457</v>
      </c>
      <c r="G9" s="733">
        <f>'T20'!C9</f>
        <v>520</v>
      </c>
      <c r="H9" s="733">
        <f>'T20'!D9</f>
        <v>510</v>
      </c>
      <c r="I9" s="733">
        <f>'T20'!E9</f>
        <v>399</v>
      </c>
    </row>
    <row r="10" spans="1:9" ht="13.5" customHeight="1" x14ac:dyDescent="0.2">
      <c r="A10" s="696" t="s">
        <v>234</v>
      </c>
      <c r="B10" s="653">
        <v>177</v>
      </c>
      <c r="C10" s="653">
        <v>201</v>
      </c>
      <c r="D10" s="653">
        <v>187</v>
      </c>
      <c r="E10" s="483">
        <v>204</v>
      </c>
      <c r="F10" s="483">
        <v>207</v>
      </c>
      <c r="G10" s="654">
        <f>'T20'!C10</f>
        <v>243</v>
      </c>
      <c r="H10" s="654">
        <f>'T20'!D10</f>
        <v>238</v>
      </c>
      <c r="I10" s="655">
        <f>'T20'!E10</f>
        <v>238</v>
      </c>
    </row>
    <row r="11" spans="1:9" ht="13.5" customHeight="1" x14ac:dyDescent="0.2">
      <c r="A11" s="731" t="s">
        <v>235</v>
      </c>
      <c r="B11" s="732">
        <v>431</v>
      </c>
      <c r="C11" s="732">
        <v>425</v>
      </c>
      <c r="D11" s="732">
        <v>405</v>
      </c>
      <c r="E11" s="615">
        <v>306</v>
      </c>
      <c r="F11" s="615">
        <v>337</v>
      </c>
      <c r="G11" s="733">
        <f>'T20'!C11</f>
        <v>408</v>
      </c>
      <c r="H11" s="733">
        <f>'T20'!D11</f>
        <v>390</v>
      </c>
      <c r="I11" s="733">
        <f>'T20'!E11</f>
        <v>350</v>
      </c>
    </row>
    <row r="12" spans="1:9" ht="13.5" customHeight="1" x14ac:dyDescent="0.2">
      <c r="A12" s="696" t="s">
        <v>236</v>
      </c>
      <c r="B12" s="653">
        <v>51</v>
      </c>
      <c r="C12" s="653">
        <v>52</v>
      </c>
      <c r="D12" s="653">
        <v>23</v>
      </c>
      <c r="E12" s="483">
        <v>25</v>
      </c>
      <c r="F12" s="483">
        <v>26</v>
      </c>
      <c r="G12" s="654">
        <f>'T20'!C12</f>
        <v>23</v>
      </c>
      <c r="H12" s="654">
        <f>'T20'!D12</f>
        <v>22</v>
      </c>
      <c r="I12" s="655">
        <f>'T20'!E12</f>
        <v>17</v>
      </c>
    </row>
    <row r="13" spans="1:9" ht="13.5" customHeight="1" x14ac:dyDescent="0.2">
      <c r="A13" s="731" t="s">
        <v>237</v>
      </c>
      <c r="B13" s="732">
        <v>27</v>
      </c>
      <c r="C13" s="732">
        <v>17</v>
      </c>
      <c r="D13" s="732">
        <v>23</v>
      </c>
      <c r="E13" s="615">
        <v>21</v>
      </c>
      <c r="F13" s="615">
        <v>22</v>
      </c>
      <c r="G13" s="733">
        <f>'T20'!C13</f>
        <v>30</v>
      </c>
      <c r="H13" s="733">
        <f>'T20'!D13</f>
        <v>19</v>
      </c>
      <c r="I13" s="733">
        <f>'T20'!E13</f>
        <v>26</v>
      </c>
    </row>
    <row r="14" spans="1:9" ht="13.5" customHeight="1" x14ac:dyDescent="0.2">
      <c r="A14" s="696" t="s">
        <v>238</v>
      </c>
      <c r="B14" s="653">
        <v>377</v>
      </c>
      <c r="C14" s="653">
        <v>382</v>
      </c>
      <c r="D14" s="653">
        <v>356</v>
      </c>
      <c r="E14" s="483">
        <v>328</v>
      </c>
      <c r="F14" s="483">
        <v>341</v>
      </c>
      <c r="G14" s="654">
        <f>'T20'!C14</f>
        <v>300</v>
      </c>
      <c r="H14" s="654">
        <f>'T20'!D14</f>
        <v>326</v>
      </c>
      <c r="I14" s="655">
        <f>'T20'!E14</f>
        <v>331</v>
      </c>
    </row>
    <row r="15" spans="1:9" ht="13.5" customHeight="1" x14ac:dyDescent="0.2">
      <c r="A15" s="731" t="s">
        <v>239</v>
      </c>
      <c r="B15" s="732">
        <v>37</v>
      </c>
      <c r="C15" s="732">
        <v>42</v>
      </c>
      <c r="D15" s="732">
        <v>32</v>
      </c>
      <c r="E15" s="615">
        <v>27</v>
      </c>
      <c r="F15" s="615">
        <v>27</v>
      </c>
      <c r="G15" s="733">
        <f>'T20'!C15</f>
        <v>37</v>
      </c>
      <c r="H15" s="733">
        <f>'T20'!D15</f>
        <v>21</v>
      </c>
      <c r="I15" s="733">
        <f>'T20'!E15</f>
        <v>33</v>
      </c>
    </row>
    <row r="16" spans="1:9" ht="13.5" customHeight="1" x14ac:dyDescent="0.2">
      <c r="A16" s="696" t="s">
        <v>240</v>
      </c>
      <c r="B16" s="653">
        <v>127</v>
      </c>
      <c r="C16" s="653">
        <v>108</v>
      </c>
      <c r="D16" s="653">
        <v>108</v>
      </c>
      <c r="E16" s="483">
        <v>99</v>
      </c>
      <c r="F16" s="483">
        <v>125</v>
      </c>
      <c r="G16" s="654">
        <f>'T20'!C16</f>
        <v>109</v>
      </c>
      <c r="H16" s="654">
        <f>'T20'!D16</f>
        <v>103</v>
      </c>
      <c r="I16" s="655">
        <f>'T20'!E16</f>
        <v>84</v>
      </c>
    </row>
    <row r="17" spans="1:9" ht="13.5" customHeight="1" x14ac:dyDescent="0.2">
      <c r="A17" s="731" t="s">
        <v>241</v>
      </c>
      <c r="B17" s="732">
        <v>9</v>
      </c>
      <c r="C17" s="732">
        <v>10</v>
      </c>
      <c r="D17" s="732">
        <v>13</v>
      </c>
      <c r="E17" s="615">
        <v>11</v>
      </c>
      <c r="F17" s="615">
        <v>8</v>
      </c>
      <c r="G17" s="733">
        <f>'T20'!C17</f>
        <v>14</v>
      </c>
      <c r="H17" s="733">
        <f>'T20'!D17</f>
        <v>5</v>
      </c>
      <c r="I17" s="733">
        <f>'T20'!E17</f>
        <v>11</v>
      </c>
    </row>
    <row r="18" spans="1:9" ht="13.5" customHeight="1" x14ac:dyDescent="0.2">
      <c r="A18" s="696" t="s">
        <v>242</v>
      </c>
      <c r="B18" s="653">
        <v>48</v>
      </c>
      <c r="C18" s="653">
        <v>46</v>
      </c>
      <c r="D18" s="653">
        <v>40</v>
      </c>
      <c r="E18" s="483">
        <v>46</v>
      </c>
      <c r="F18" s="483">
        <v>42</v>
      </c>
      <c r="G18" s="654">
        <f>'T20'!C18</f>
        <v>60</v>
      </c>
      <c r="H18" s="654">
        <f>'T20'!D18</f>
        <v>55</v>
      </c>
      <c r="I18" s="655">
        <f>'T20'!E18</f>
        <v>47</v>
      </c>
    </row>
    <row r="19" spans="1:9" ht="13.5" customHeight="1" x14ac:dyDescent="0.2">
      <c r="A19" s="731" t="s">
        <v>243</v>
      </c>
      <c r="B19" s="732">
        <v>1</v>
      </c>
      <c r="C19" s="732">
        <v>2</v>
      </c>
      <c r="D19" s="732">
        <v>4</v>
      </c>
      <c r="E19" s="615">
        <v>3</v>
      </c>
      <c r="F19" s="615">
        <v>5</v>
      </c>
      <c r="G19" s="733">
        <f>'T20'!C19</f>
        <v>1</v>
      </c>
      <c r="H19" s="733">
        <f>'T20'!D19</f>
        <v>1</v>
      </c>
      <c r="I19" s="733">
        <f>'T20'!E19</f>
        <v>2</v>
      </c>
    </row>
    <row r="20" spans="1:9" ht="13.5" customHeight="1" x14ac:dyDescent="0.2">
      <c r="A20" s="696" t="s">
        <v>244</v>
      </c>
      <c r="B20" s="653">
        <v>8</v>
      </c>
      <c r="C20" s="653">
        <v>7</v>
      </c>
      <c r="D20" s="653">
        <v>11</v>
      </c>
      <c r="E20" s="483">
        <v>8</v>
      </c>
      <c r="F20" s="483">
        <v>12</v>
      </c>
      <c r="G20" s="654">
        <f>'T20'!C20</f>
        <v>21</v>
      </c>
      <c r="H20" s="654">
        <f>'T20'!D20</f>
        <v>11</v>
      </c>
      <c r="I20" s="655">
        <f>'T20'!E20</f>
        <v>9</v>
      </c>
    </row>
    <row r="21" spans="1:9" ht="13.5" customHeight="1" x14ac:dyDescent="0.2">
      <c r="A21" s="731" t="s">
        <v>245</v>
      </c>
      <c r="B21" s="732">
        <v>15</v>
      </c>
      <c r="C21" s="732">
        <v>15</v>
      </c>
      <c r="D21" s="732">
        <v>21</v>
      </c>
      <c r="E21" s="615">
        <v>20</v>
      </c>
      <c r="F21" s="615">
        <v>23</v>
      </c>
      <c r="G21" s="733">
        <f>'T20'!C21</f>
        <v>28</v>
      </c>
      <c r="H21" s="733">
        <f>'T20'!D21</f>
        <v>25</v>
      </c>
      <c r="I21" s="733">
        <f>'T20'!E21</f>
        <v>24</v>
      </c>
    </row>
    <row r="22" spans="1:9" ht="13.5" customHeight="1" x14ac:dyDescent="0.2">
      <c r="A22" s="696" t="s">
        <v>246</v>
      </c>
      <c r="B22" s="653">
        <v>29</v>
      </c>
      <c r="C22" s="653">
        <v>32</v>
      </c>
      <c r="D22" s="653">
        <v>28</v>
      </c>
      <c r="E22" s="483">
        <v>32</v>
      </c>
      <c r="F22" s="483">
        <v>32</v>
      </c>
      <c r="G22" s="654">
        <f>'T20'!C22</f>
        <v>29</v>
      </c>
      <c r="H22" s="654">
        <f>'T20'!D22</f>
        <v>25</v>
      </c>
      <c r="I22" s="655">
        <f>'T20'!E22</f>
        <v>30</v>
      </c>
    </row>
    <row r="23" spans="1:9" ht="13.5" customHeight="1" x14ac:dyDescent="0.2">
      <c r="A23" s="731" t="s">
        <v>247</v>
      </c>
      <c r="B23" s="732">
        <v>47</v>
      </c>
      <c r="C23" s="732">
        <v>41</v>
      </c>
      <c r="D23" s="732">
        <v>19</v>
      </c>
      <c r="E23" s="615">
        <v>18</v>
      </c>
      <c r="F23" s="615">
        <v>13</v>
      </c>
      <c r="G23" s="733">
        <f>'T20'!C23</f>
        <v>14</v>
      </c>
      <c r="H23" s="733">
        <f>'T20'!D23</f>
        <v>15</v>
      </c>
      <c r="I23" s="733">
        <f>'T20'!E23</f>
        <v>13</v>
      </c>
    </row>
    <row r="24" spans="1:9" ht="13.5" customHeight="1" x14ac:dyDescent="0.2">
      <c r="A24" s="696" t="s">
        <v>248</v>
      </c>
      <c r="B24" s="653">
        <v>44</v>
      </c>
      <c r="C24" s="653">
        <v>43</v>
      </c>
      <c r="D24" s="653">
        <v>32</v>
      </c>
      <c r="E24" s="483">
        <v>49</v>
      </c>
      <c r="F24" s="483">
        <v>52</v>
      </c>
      <c r="G24" s="654">
        <f>'T20'!C24</f>
        <v>45</v>
      </c>
      <c r="H24" s="654">
        <f>'T20'!D24</f>
        <v>60</v>
      </c>
      <c r="I24" s="655">
        <f>'T20'!E24</f>
        <v>33</v>
      </c>
    </row>
    <row r="25" spans="1:9" ht="13.5" customHeight="1" x14ac:dyDescent="0.2">
      <c r="A25" s="731" t="s">
        <v>249</v>
      </c>
      <c r="B25" s="732">
        <v>362</v>
      </c>
      <c r="C25" s="732">
        <v>335</v>
      </c>
      <c r="D25" s="732">
        <v>375</v>
      </c>
      <c r="E25" s="615">
        <v>378</v>
      </c>
      <c r="F25" s="615">
        <v>337</v>
      </c>
      <c r="G25" s="733">
        <f>'T20'!C25</f>
        <v>359</v>
      </c>
      <c r="H25" s="733">
        <f>'T20'!D25</f>
        <v>305</v>
      </c>
      <c r="I25" s="733">
        <f>'T20'!E25</f>
        <v>308</v>
      </c>
    </row>
    <row r="26" spans="1:9" ht="13.5" customHeight="1" x14ac:dyDescent="0.2">
      <c r="A26" s="696" t="s">
        <v>250</v>
      </c>
      <c r="B26" s="653">
        <v>10</v>
      </c>
      <c r="C26" s="653">
        <v>3</v>
      </c>
      <c r="D26" s="653">
        <v>7</v>
      </c>
      <c r="E26" s="483">
        <v>10</v>
      </c>
      <c r="F26" s="483">
        <v>7</v>
      </c>
      <c r="G26" s="654">
        <f>'T20'!C26</f>
        <v>7</v>
      </c>
      <c r="H26" s="654">
        <f>'T20'!D26</f>
        <v>4</v>
      </c>
      <c r="I26" s="655">
        <f>'T20'!E26</f>
        <v>4</v>
      </c>
    </row>
    <row r="27" spans="1:9" ht="13.5" customHeight="1" x14ac:dyDescent="0.2">
      <c r="A27" s="731" t="s">
        <v>251</v>
      </c>
      <c r="B27" s="732">
        <v>5</v>
      </c>
      <c r="C27" s="732">
        <v>6</v>
      </c>
      <c r="D27" s="732">
        <v>9</v>
      </c>
      <c r="E27" s="615">
        <v>4</v>
      </c>
      <c r="F27" s="615">
        <v>1</v>
      </c>
      <c r="G27" s="733">
        <f>'T20'!C27</f>
        <v>5</v>
      </c>
      <c r="H27" s="733">
        <f>'T20'!D27</f>
        <v>8</v>
      </c>
      <c r="I27" s="733">
        <f>'T20'!E27</f>
        <v>3</v>
      </c>
    </row>
    <row r="28" spans="1:9" ht="13.5" customHeight="1" x14ac:dyDescent="0.2">
      <c r="A28" s="696" t="s">
        <v>252</v>
      </c>
      <c r="B28" s="653">
        <v>23</v>
      </c>
      <c r="C28" s="653">
        <v>12</v>
      </c>
      <c r="D28" s="653">
        <v>20</v>
      </c>
      <c r="E28" s="483">
        <v>16</v>
      </c>
      <c r="F28" s="483">
        <v>16</v>
      </c>
      <c r="G28" s="654">
        <f>'T20'!C28</f>
        <v>14</v>
      </c>
      <c r="H28" s="654">
        <f>'T20'!D28</f>
        <v>26</v>
      </c>
      <c r="I28" s="655">
        <f>'T20'!E28</f>
        <v>24</v>
      </c>
    </row>
    <row r="29" spans="1:9" ht="13.5" customHeight="1" x14ac:dyDescent="0.2">
      <c r="A29" s="731" t="s">
        <v>253</v>
      </c>
      <c r="B29" s="732">
        <v>50</v>
      </c>
      <c r="C29" s="732">
        <v>40</v>
      </c>
      <c r="D29" s="732">
        <v>41</v>
      </c>
      <c r="E29" s="615">
        <v>35</v>
      </c>
      <c r="F29" s="615">
        <v>43</v>
      </c>
      <c r="G29" s="733">
        <f>'T20'!C29</f>
        <v>32</v>
      </c>
      <c r="H29" s="733">
        <f>'T20'!D29</f>
        <v>35</v>
      </c>
      <c r="I29" s="733">
        <f>'T20'!E29</f>
        <v>43</v>
      </c>
    </row>
    <row r="30" spans="1:9" ht="13.5" customHeight="1" x14ac:dyDescent="0.2">
      <c r="A30" s="696" t="s">
        <v>254</v>
      </c>
      <c r="B30" s="653">
        <v>147</v>
      </c>
      <c r="C30" s="653">
        <v>138</v>
      </c>
      <c r="D30" s="653">
        <v>179</v>
      </c>
      <c r="E30" s="483">
        <v>117</v>
      </c>
      <c r="F30" s="483">
        <v>120</v>
      </c>
      <c r="G30" s="654">
        <f>'T20'!C30</f>
        <v>132</v>
      </c>
      <c r="H30" s="654">
        <f>'T20'!D30</f>
        <v>126</v>
      </c>
      <c r="I30" s="655">
        <f>'T20'!E30</f>
        <v>129</v>
      </c>
    </row>
    <row r="31" spans="1:9" ht="13.5" customHeight="1" x14ac:dyDescent="0.2">
      <c r="A31" s="731" t="s">
        <v>255</v>
      </c>
      <c r="B31" s="732">
        <v>13</v>
      </c>
      <c r="C31" s="732">
        <v>11</v>
      </c>
      <c r="D31" s="732">
        <v>10</v>
      </c>
      <c r="E31" s="615">
        <v>10</v>
      </c>
      <c r="F31" s="615">
        <v>8</v>
      </c>
      <c r="G31" s="733">
        <f>'T20'!C31</f>
        <v>9</v>
      </c>
      <c r="H31" s="733">
        <f>'T20'!D31</f>
        <v>17</v>
      </c>
      <c r="I31" s="733">
        <f>'T20'!E31</f>
        <v>9</v>
      </c>
    </row>
    <row r="32" spans="1:9" ht="13.5" customHeight="1" x14ac:dyDescent="0.2">
      <c r="A32" s="696" t="s">
        <v>256</v>
      </c>
      <c r="B32" s="653">
        <v>6</v>
      </c>
      <c r="C32" s="653">
        <v>9</v>
      </c>
      <c r="D32" s="653">
        <v>3</v>
      </c>
      <c r="E32" s="483">
        <v>5</v>
      </c>
      <c r="F32" s="483">
        <v>11</v>
      </c>
      <c r="G32" s="654">
        <f>'T20'!C32</f>
        <v>6</v>
      </c>
      <c r="H32" s="654">
        <f>'T20'!D32</f>
        <v>5</v>
      </c>
      <c r="I32" s="655">
        <f>'T20'!E32</f>
        <v>4</v>
      </c>
    </row>
    <row r="33" spans="1:9" ht="13.5" customHeight="1" x14ac:dyDescent="0.2">
      <c r="A33" s="731" t="s">
        <v>257</v>
      </c>
      <c r="B33" s="732">
        <v>47</v>
      </c>
      <c r="C33" s="732">
        <v>48</v>
      </c>
      <c r="D33" s="732">
        <v>19</v>
      </c>
      <c r="E33" s="615">
        <v>17</v>
      </c>
      <c r="F33" s="615">
        <v>19</v>
      </c>
      <c r="G33" s="733">
        <f>'T20'!C33</f>
        <v>12</v>
      </c>
      <c r="H33" s="733">
        <f>'T20'!D33</f>
        <v>10</v>
      </c>
      <c r="I33" s="733">
        <f>'T20'!E33</f>
        <v>11</v>
      </c>
    </row>
    <row r="34" spans="1:9" ht="13.5" customHeight="1" x14ac:dyDescent="0.2">
      <c r="A34" s="696" t="s">
        <v>258</v>
      </c>
      <c r="B34" s="653">
        <v>2</v>
      </c>
      <c r="C34" s="653">
        <v>2</v>
      </c>
      <c r="D34" s="653">
        <v>1</v>
      </c>
      <c r="E34" s="483">
        <v>1</v>
      </c>
      <c r="F34" s="483">
        <v>3</v>
      </c>
      <c r="G34" s="654">
        <f>'T20'!C34</f>
        <v>4</v>
      </c>
      <c r="H34" s="654">
        <f>'T20'!D34</f>
        <v>3</v>
      </c>
      <c r="I34" s="655">
        <f>'T20'!E34</f>
        <v>1</v>
      </c>
    </row>
    <row r="35" spans="1:9" ht="13.5" customHeight="1" x14ac:dyDescent="0.2">
      <c r="A35" s="731" t="s">
        <v>259</v>
      </c>
      <c r="B35" s="732">
        <v>4</v>
      </c>
      <c r="C35" s="732">
        <v>2</v>
      </c>
      <c r="D35" s="732">
        <v>4</v>
      </c>
      <c r="E35" s="615">
        <v>7</v>
      </c>
      <c r="F35" s="615">
        <v>8</v>
      </c>
      <c r="G35" s="733">
        <f>'T20'!C35</f>
        <v>8</v>
      </c>
      <c r="H35" s="733">
        <f>'T20'!D35</f>
        <v>7</v>
      </c>
      <c r="I35" s="733">
        <f>'T20'!E35</f>
        <v>8</v>
      </c>
    </row>
    <row r="36" spans="1:9" ht="13.5" customHeight="1" x14ac:dyDescent="0.2">
      <c r="A36" s="696" t="s">
        <v>260</v>
      </c>
      <c r="B36" s="653">
        <v>19</v>
      </c>
      <c r="C36" s="653">
        <v>9</v>
      </c>
      <c r="D36" s="653">
        <v>14</v>
      </c>
      <c r="E36" s="483">
        <v>16</v>
      </c>
      <c r="F36" s="483">
        <v>9</v>
      </c>
      <c r="G36" s="654">
        <f>'T20'!C36</f>
        <v>17</v>
      </c>
      <c r="H36" s="654">
        <f>'T20'!D36</f>
        <v>6</v>
      </c>
      <c r="I36" s="655">
        <f>'T20'!E36</f>
        <v>2</v>
      </c>
    </row>
    <row r="37" spans="1:9" ht="13.5" customHeight="1" x14ac:dyDescent="0.2">
      <c r="A37" s="731" t="s">
        <v>261</v>
      </c>
      <c r="B37" s="732">
        <v>43</v>
      </c>
      <c r="C37" s="732">
        <v>42</v>
      </c>
      <c r="D37" s="732">
        <v>46</v>
      </c>
      <c r="E37" s="615">
        <v>40</v>
      </c>
      <c r="F37" s="615">
        <v>44</v>
      </c>
      <c r="G37" s="733">
        <f>'T20'!C37</f>
        <v>31</v>
      </c>
      <c r="H37" s="733">
        <f>'T20'!D37</f>
        <v>38</v>
      </c>
      <c r="I37" s="733">
        <f>'T20'!E37</f>
        <v>39</v>
      </c>
    </row>
    <row r="38" spans="1:9" ht="13.5" customHeight="1" x14ac:dyDescent="0.2">
      <c r="A38" s="696" t="s">
        <v>262</v>
      </c>
      <c r="B38" s="653">
        <v>20</v>
      </c>
      <c r="C38" s="653">
        <v>18</v>
      </c>
      <c r="D38" s="653">
        <v>18</v>
      </c>
      <c r="E38" s="483">
        <v>17</v>
      </c>
      <c r="F38" s="483">
        <v>7</v>
      </c>
      <c r="G38" s="654">
        <f>'T20'!C38</f>
        <v>9</v>
      </c>
      <c r="H38" s="654">
        <f>'T20'!D38</f>
        <v>10</v>
      </c>
      <c r="I38" s="655">
        <f>'T20'!E38</f>
        <v>3</v>
      </c>
    </row>
    <row r="39" spans="1:9" ht="13.5" customHeight="1" x14ac:dyDescent="0.2">
      <c r="A39" s="731" t="s">
        <v>263</v>
      </c>
      <c r="B39" s="734">
        <v>2</v>
      </c>
      <c r="C39" s="732">
        <v>1</v>
      </c>
      <c r="D39" s="732">
        <v>5</v>
      </c>
      <c r="E39" s="615">
        <v>4</v>
      </c>
      <c r="F39" s="615">
        <v>5</v>
      </c>
      <c r="G39" s="733">
        <f>'T20'!C39</f>
        <v>3</v>
      </c>
      <c r="H39" s="733">
        <f>'T20'!D39</f>
        <v>4</v>
      </c>
      <c r="I39" s="733">
        <f>'T20'!E39</f>
        <v>4</v>
      </c>
    </row>
    <row r="40" spans="1:9" ht="13.5" customHeight="1" x14ac:dyDescent="0.2">
      <c r="A40" s="696" t="s">
        <v>264</v>
      </c>
      <c r="B40" s="653">
        <v>13</v>
      </c>
      <c r="C40" s="653">
        <v>25</v>
      </c>
      <c r="D40" s="653">
        <v>26</v>
      </c>
      <c r="E40" s="483">
        <v>14</v>
      </c>
      <c r="F40" s="483">
        <v>22</v>
      </c>
      <c r="G40" s="654">
        <f>'T20'!C40</f>
        <v>26</v>
      </c>
      <c r="H40" s="654">
        <f>'T20'!D40</f>
        <v>18</v>
      </c>
      <c r="I40" s="655">
        <f>'T20'!E40</f>
        <v>16</v>
      </c>
    </row>
    <row r="41" spans="1:9" ht="13.5" customHeight="1" x14ac:dyDescent="0.2">
      <c r="A41" s="731" t="s">
        <v>265</v>
      </c>
      <c r="B41" s="732">
        <v>26</v>
      </c>
      <c r="C41" s="732">
        <v>43</v>
      </c>
      <c r="D41" s="732">
        <v>19</v>
      </c>
      <c r="E41" s="615">
        <v>28</v>
      </c>
      <c r="F41" s="615">
        <v>31</v>
      </c>
      <c r="G41" s="733">
        <f>'T20'!C41</f>
        <v>20</v>
      </c>
      <c r="H41" s="733">
        <f>'T20'!D41</f>
        <v>21</v>
      </c>
      <c r="I41" s="733">
        <f>'T20'!E41</f>
        <v>24</v>
      </c>
    </row>
    <row r="42" spans="1:9" ht="13.5" customHeight="1" x14ac:dyDescent="0.2">
      <c r="A42" s="696" t="s">
        <v>266</v>
      </c>
      <c r="B42" s="653">
        <v>4</v>
      </c>
      <c r="C42" s="653">
        <v>7</v>
      </c>
      <c r="D42" s="653">
        <v>3</v>
      </c>
      <c r="E42" s="483">
        <v>6</v>
      </c>
      <c r="F42" s="483">
        <v>5</v>
      </c>
      <c r="G42" s="654">
        <f>'T20'!C42</f>
        <v>5</v>
      </c>
      <c r="H42" s="654">
        <f>'T20'!D42</f>
        <v>4</v>
      </c>
      <c r="I42" s="655">
        <f>'T20'!E42</f>
        <v>5</v>
      </c>
    </row>
    <row r="43" spans="1:9" ht="13.5" customHeight="1" x14ac:dyDescent="0.2">
      <c r="A43" s="731" t="s">
        <v>267</v>
      </c>
      <c r="B43" s="732">
        <v>6</v>
      </c>
      <c r="C43" s="732">
        <v>4</v>
      </c>
      <c r="D43" s="732">
        <v>5</v>
      </c>
      <c r="E43" s="615">
        <v>5</v>
      </c>
      <c r="F43" s="615">
        <v>7</v>
      </c>
      <c r="G43" s="733">
        <f>'T20'!C43</f>
        <v>1</v>
      </c>
      <c r="H43" s="733">
        <f>'T20'!D43</f>
        <v>6</v>
      </c>
      <c r="I43" s="733">
        <f>'T20'!E43</f>
        <v>1</v>
      </c>
    </row>
    <row r="44" spans="1:9" ht="13.5" customHeight="1" x14ac:dyDescent="0.2">
      <c r="A44" s="696" t="s">
        <v>268</v>
      </c>
      <c r="B44" s="653">
        <v>21</v>
      </c>
      <c r="C44" s="653">
        <v>37</v>
      </c>
      <c r="D44" s="653">
        <v>14</v>
      </c>
      <c r="E44" s="483">
        <v>8</v>
      </c>
      <c r="F44" s="483">
        <v>13</v>
      </c>
      <c r="G44" s="654">
        <f>'T20'!C44</f>
        <v>9</v>
      </c>
      <c r="H44" s="654">
        <f>'T20'!D44</f>
        <v>9</v>
      </c>
      <c r="I44" s="655">
        <f>'T20'!E44</f>
        <v>12</v>
      </c>
    </row>
    <row r="45" spans="1:9" ht="13.5" customHeight="1" x14ac:dyDescent="0.2">
      <c r="A45" s="731" t="s">
        <v>269</v>
      </c>
      <c r="B45" s="732">
        <v>5</v>
      </c>
      <c r="C45" s="732">
        <v>8</v>
      </c>
      <c r="D45" s="732">
        <v>3</v>
      </c>
      <c r="E45" s="615">
        <v>6</v>
      </c>
      <c r="F45" s="615">
        <v>7</v>
      </c>
      <c r="G45" s="733">
        <f>'T20'!C45</f>
        <v>5</v>
      </c>
      <c r="H45" s="733">
        <f>'T20'!D45</f>
        <v>4</v>
      </c>
      <c r="I45" s="733">
        <f>'T20'!E45</f>
        <v>7</v>
      </c>
    </row>
    <row r="46" spans="1:9" ht="13.5" customHeight="1" x14ac:dyDescent="0.2">
      <c r="A46" s="696" t="s">
        <v>270</v>
      </c>
      <c r="B46" s="653">
        <v>8</v>
      </c>
      <c r="C46" s="653">
        <v>5</v>
      </c>
      <c r="D46" s="653">
        <v>5</v>
      </c>
      <c r="E46" s="483">
        <v>5</v>
      </c>
      <c r="F46" s="483">
        <v>4</v>
      </c>
      <c r="G46" s="654">
        <f>'T20'!C46</f>
        <v>0</v>
      </c>
      <c r="H46" s="654">
        <f>'T20'!D46</f>
        <v>1</v>
      </c>
      <c r="I46" s="655">
        <f>'T20'!E46</f>
        <v>3</v>
      </c>
    </row>
    <row r="47" spans="1:9" ht="13.5" customHeight="1" x14ac:dyDescent="0.2">
      <c r="A47" s="731" t="s">
        <v>271</v>
      </c>
      <c r="B47" s="734">
        <v>0</v>
      </c>
      <c r="C47" s="734">
        <v>1</v>
      </c>
      <c r="D47" s="732">
        <v>0</v>
      </c>
      <c r="E47" s="734">
        <v>0</v>
      </c>
      <c r="F47" s="734"/>
      <c r="G47" s="733">
        <f>'T20'!C47</f>
        <v>1</v>
      </c>
      <c r="H47" s="733">
        <f>'T20'!D47</f>
        <v>1</v>
      </c>
      <c r="I47" s="733">
        <f>'T20'!E47</f>
        <v>0</v>
      </c>
    </row>
    <row r="48" spans="1:9" ht="13.5" customHeight="1" x14ac:dyDescent="0.2">
      <c r="A48" s="696" t="s">
        <v>272</v>
      </c>
      <c r="B48" s="653">
        <v>72</v>
      </c>
      <c r="C48" s="653">
        <v>68</v>
      </c>
      <c r="D48" s="653">
        <v>83</v>
      </c>
      <c r="E48" s="483">
        <v>66</v>
      </c>
      <c r="F48" s="483">
        <v>74</v>
      </c>
      <c r="G48" s="654">
        <f>'T20'!C48</f>
        <v>80</v>
      </c>
      <c r="H48" s="654">
        <f>'T20'!D48</f>
        <v>76</v>
      </c>
      <c r="I48" s="655">
        <f>'T20'!E48</f>
        <v>82</v>
      </c>
    </row>
    <row r="49" spans="1:9" ht="13.5" customHeight="1" x14ac:dyDescent="0.2">
      <c r="A49" s="731" t="s">
        <v>273</v>
      </c>
      <c r="B49" s="732">
        <v>27</v>
      </c>
      <c r="C49" s="732">
        <v>13</v>
      </c>
      <c r="D49" s="732">
        <v>14</v>
      </c>
      <c r="E49" s="615">
        <v>13</v>
      </c>
      <c r="F49" s="615">
        <v>15</v>
      </c>
      <c r="G49" s="733">
        <f>'T20'!C49</f>
        <v>11</v>
      </c>
      <c r="H49" s="733">
        <f>'T20'!D49</f>
        <v>5</v>
      </c>
      <c r="I49" s="733">
        <f>'T20'!E49</f>
        <v>11</v>
      </c>
    </row>
    <row r="50" spans="1:9" ht="13.5" customHeight="1" x14ac:dyDescent="0.2">
      <c r="A50" s="696" t="s">
        <v>274</v>
      </c>
      <c r="B50" s="653">
        <v>5</v>
      </c>
      <c r="C50" s="653">
        <v>2</v>
      </c>
      <c r="D50" s="653">
        <v>2</v>
      </c>
      <c r="E50" s="483">
        <v>3</v>
      </c>
      <c r="F50" s="483">
        <v>5</v>
      </c>
      <c r="G50" s="654">
        <f>'T20'!C50</f>
        <v>3</v>
      </c>
      <c r="H50" s="654">
        <f>'T20'!D50</f>
        <v>4</v>
      </c>
      <c r="I50" s="655">
        <f>'T20'!E50</f>
        <v>7</v>
      </c>
    </row>
    <row r="51" spans="1:9" ht="13.5" customHeight="1" x14ac:dyDescent="0.2">
      <c r="A51" s="731" t="s">
        <v>275</v>
      </c>
      <c r="B51" s="732">
        <v>3</v>
      </c>
      <c r="C51" s="732" t="s">
        <v>56</v>
      </c>
      <c r="D51" s="734">
        <v>1</v>
      </c>
      <c r="E51" s="615">
        <v>1</v>
      </c>
      <c r="F51" s="615">
        <v>1</v>
      </c>
      <c r="G51" s="733">
        <f>'T20'!C51</f>
        <v>1</v>
      </c>
      <c r="H51" s="733">
        <f>'T20'!D51</f>
        <v>1</v>
      </c>
      <c r="I51" s="733">
        <f>'T20'!E51</f>
        <v>0</v>
      </c>
    </row>
    <row r="52" spans="1:9" ht="13.5" customHeight="1" x14ac:dyDescent="0.2">
      <c r="A52" s="696" t="s">
        <v>276</v>
      </c>
      <c r="B52" s="653">
        <v>12</v>
      </c>
      <c r="C52" s="653">
        <v>8</v>
      </c>
      <c r="D52" s="653">
        <v>11</v>
      </c>
      <c r="E52" s="483">
        <v>8</v>
      </c>
      <c r="F52" s="483">
        <v>11</v>
      </c>
      <c r="G52" s="654">
        <f>'T20'!C52</f>
        <v>13</v>
      </c>
      <c r="H52" s="654">
        <f>'T20'!D52</f>
        <v>3</v>
      </c>
      <c r="I52" s="655">
        <f>'T20'!E52</f>
        <v>9</v>
      </c>
    </row>
    <row r="53" spans="1:9" ht="13.5" customHeight="1" x14ac:dyDescent="0.2">
      <c r="A53" s="731" t="s">
        <v>277</v>
      </c>
      <c r="B53" s="732">
        <v>85</v>
      </c>
      <c r="C53" s="732">
        <v>94</v>
      </c>
      <c r="D53" s="732">
        <v>78</v>
      </c>
      <c r="E53" s="615">
        <v>82</v>
      </c>
      <c r="F53" s="615">
        <v>82</v>
      </c>
      <c r="G53" s="733">
        <f>'T20'!C53</f>
        <v>89</v>
      </c>
      <c r="H53" s="733">
        <f>'T20'!D53</f>
        <v>95</v>
      </c>
      <c r="I53" s="733">
        <f>'T20'!E53</f>
        <v>117</v>
      </c>
    </row>
    <row r="54" spans="1:9" ht="13.5" customHeight="1" x14ac:dyDescent="0.2">
      <c r="A54" s="696" t="s">
        <v>278</v>
      </c>
      <c r="B54" s="653">
        <v>2</v>
      </c>
      <c r="C54" s="653">
        <v>1</v>
      </c>
      <c r="D54" s="653">
        <v>1</v>
      </c>
      <c r="E54" s="483">
        <v>4</v>
      </c>
      <c r="F54" s="483">
        <v>7</v>
      </c>
      <c r="G54" s="654">
        <f>'T20'!C54</f>
        <v>0</v>
      </c>
      <c r="H54" s="654">
        <f>'T20'!D54</f>
        <v>7</v>
      </c>
      <c r="I54" s="655">
        <f>'T20'!E54</f>
        <v>1</v>
      </c>
    </row>
    <row r="55" spans="1:9" ht="13.5" customHeight="1" x14ac:dyDescent="0.2">
      <c r="A55" s="731" t="s">
        <v>279</v>
      </c>
      <c r="B55" s="732">
        <v>14</v>
      </c>
      <c r="C55" s="732">
        <v>19</v>
      </c>
      <c r="D55" s="732">
        <v>5</v>
      </c>
      <c r="E55" s="615">
        <v>9</v>
      </c>
      <c r="F55" s="615">
        <v>7</v>
      </c>
      <c r="G55" s="733">
        <f>'T20'!C55</f>
        <v>6</v>
      </c>
      <c r="H55" s="733">
        <f>'T20'!D55</f>
        <v>5</v>
      </c>
      <c r="I55" s="733">
        <f>'T20'!E55</f>
        <v>11</v>
      </c>
    </row>
    <row r="56" spans="1:9" ht="13.5" customHeight="1" x14ac:dyDescent="0.2">
      <c r="A56" s="696" t="s">
        <v>280</v>
      </c>
      <c r="B56" s="653" t="s">
        <v>56</v>
      </c>
      <c r="C56" s="656">
        <v>3</v>
      </c>
      <c r="D56" s="653" t="s">
        <v>56</v>
      </c>
      <c r="E56" s="480">
        <v>2</v>
      </c>
      <c r="F56" s="480">
        <v>4</v>
      </c>
      <c r="G56" s="654">
        <f>'T20'!C56</f>
        <v>2</v>
      </c>
      <c r="H56" s="654">
        <f>'T20'!D56</f>
        <v>1</v>
      </c>
      <c r="I56" s="655">
        <f>'T20'!E56</f>
        <v>1</v>
      </c>
    </row>
    <row r="57" spans="1:9" ht="13.5" customHeight="1" x14ac:dyDescent="0.2">
      <c r="A57" s="731" t="s">
        <v>281</v>
      </c>
      <c r="B57" s="732">
        <v>17</v>
      </c>
      <c r="C57" s="732">
        <v>7</v>
      </c>
      <c r="D57" s="732">
        <v>2</v>
      </c>
      <c r="E57" s="615">
        <v>6</v>
      </c>
      <c r="F57" s="615">
        <v>8</v>
      </c>
      <c r="G57" s="733">
        <f>'T20'!C57</f>
        <v>2</v>
      </c>
      <c r="H57" s="733">
        <f>'T20'!D57</f>
        <v>5</v>
      </c>
      <c r="I57" s="733">
        <f>'T20'!E57</f>
        <v>1</v>
      </c>
    </row>
    <row r="58" spans="1:9" ht="13.5" customHeight="1" x14ac:dyDescent="0.2">
      <c r="A58" s="696" t="s">
        <v>282</v>
      </c>
      <c r="B58" s="653">
        <v>9</v>
      </c>
      <c r="C58" s="653">
        <v>12</v>
      </c>
      <c r="D58" s="653">
        <v>19</v>
      </c>
      <c r="E58" s="483">
        <v>8</v>
      </c>
      <c r="F58" s="483">
        <v>17</v>
      </c>
      <c r="G58" s="654">
        <f>'T20'!C58</f>
        <v>21</v>
      </c>
      <c r="H58" s="654">
        <f>'T20'!D58</f>
        <v>15</v>
      </c>
      <c r="I58" s="655">
        <f>'T20'!E58</f>
        <v>10</v>
      </c>
    </row>
    <row r="59" spans="1:9" ht="13.5" customHeight="1" x14ac:dyDescent="0.2">
      <c r="A59" s="731" t="s">
        <v>283</v>
      </c>
      <c r="B59" s="732">
        <v>2</v>
      </c>
      <c r="C59" s="732">
        <v>4</v>
      </c>
      <c r="D59" s="732" t="s">
        <v>56</v>
      </c>
      <c r="E59" s="615">
        <v>3</v>
      </c>
      <c r="F59" s="615">
        <v>3</v>
      </c>
      <c r="G59" s="733">
        <f>'T20'!C59</f>
        <v>1</v>
      </c>
      <c r="H59" s="733">
        <f>'T20'!D59</f>
        <v>5</v>
      </c>
      <c r="I59" s="733">
        <f>'T20'!E59</f>
        <v>2</v>
      </c>
    </row>
    <row r="60" spans="1:9" ht="13.5" customHeight="1" x14ac:dyDescent="0.2">
      <c r="A60" s="696" t="s">
        <v>284</v>
      </c>
      <c r="B60" s="653">
        <v>16</v>
      </c>
      <c r="C60" s="653">
        <v>7</v>
      </c>
      <c r="D60" s="653">
        <v>9</v>
      </c>
      <c r="E60" s="483">
        <v>18</v>
      </c>
      <c r="F60" s="483">
        <v>14</v>
      </c>
      <c r="G60" s="654">
        <f>'T20'!C60</f>
        <v>18</v>
      </c>
      <c r="H60" s="654">
        <f>'T20'!D60</f>
        <v>18</v>
      </c>
      <c r="I60" s="655">
        <f>'T20'!E60</f>
        <v>10</v>
      </c>
    </row>
    <row r="61" spans="1:9" ht="13.5" customHeight="1" x14ac:dyDescent="0.2">
      <c r="A61" s="731" t="s">
        <v>285</v>
      </c>
      <c r="B61" s="732">
        <v>202</v>
      </c>
      <c r="C61" s="732">
        <v>155</v>
      </c>
      <c r="D61" s="732">
        <v>176</v>
      </c>
      <c r="E61" s="615">
        <v>169</v>
      </c>
      <c r="F61" s="615">
        <v>180</v>
      </c>
      <c r="G61" s="733">
        <f>'T20'!C61</f>
        <v>176</v>
      </c>
      <c r="H61" s="733">
        <f>'T20'!D61</f>
        <v>194</v>
      </c>
      <c r="I61" s="733">
        <f>'T20'!E61</f>
        <v>209</v>
      </c>
    </row>
    <row r="62" spans="1:9" x14ac:dyDescent="0.2">
      <c r="A62" s="14"/>
      <c r="B62" s="653"/>
      <c r="C62" s="653"/>
      <c r="D62" s="653"/>
      <c r="E62" s="483"/>
      <c r="F62" s="483"/>
      <c r="G62" s="654"/>
      <c r="H62" s="654"/>
      <c r="I62" s="655"/>
    </row>
    <row r="63" spans="1:9" ht="30" customHeight="1" x14ac:dyDescent="0.2">
      <c r="A63" s="630" t="s">
        <v>159</v>
      </c>
      <c r="B63" s="529">
        <f>SUM(B5:B61)</f>
        <v>5214</v>
      </c>
      <c r="C63" s="529">
        <f t="shared" ref="C63:I63" si="0">SUM(C5:C61)</f>
        <v>5121</v>
      </c>
      <c r="D63" s="529">
        <f t="shared" si="0"/>
        <v>5003</v>
      </c>
      <c r="E63" s="529">
        <f t="shared" si="0"/>
        <v>4684</v>
      </c>
      <c r="F63" s="529">
        <f t="shared" si="0"/>
        <v>4961</v>
      </c>
      <c r="G63" s="529">
        <f t="shared" si="0"/>
        <v>5072</v>
      </c>
      <c r="H63" s="529">
        <f t="shared" si="0"/>
        <v>4930</v>
      </c>
      <c r="I63" s="529">
        <f t="shared" si="0"/>
        <v>4752</v>
      </c>
    </row>
    <row r="64" spans="1:9" x14ac:dyDescent="0.2">
      <c r="A64" s="1"/>
      <c r="B64" s="1"/>
      <c r="C64" s="1"/>
      <c r="D64" s="1"/>
      <c r="E64" s="1"/>
      <c r="F64" s="1"/>
      <c r="G64" s="1"/>
      <c r="H64" s="1"/>
    </row>
    <row r="65" spans="1:8" x14ac:dyDescent="0.2">
      <c r="A65" s="68" t="s">
        <v>162</v>
      </c>
      <c r="B65" s="629"/>
      <c r="C65" s="629"/>
      <c r="D65" s="629"/>
      <c r="E65" s="629"/>
      <c r="F65" s="629"/>
      <c r="G65" s="1"/>
      <c r="H65" s="1"/>
    </row>
    <row r="66" spans="1:8" x14ac:dyDescent="0.2">
      <c r="A66" s="71" t="s">
        <v>967</v>
      </c>
      <c r="B66" s="1"/>
      <c r="C66" s="1"/>
      <c r="D66" s="1"/>
      <c r="E66" s="1"/>
      <c r="F66" s="1"/>
      <c r="G66" s="1"/>
      <c r="H66" s="1"/>
    </row>
    <row r="67" spans="1:8" x14ac:dyDescent="0.2">
      <c r="A67" s="71" t="s">
        <v>971</v>
      </c>
      <c r="B67" s="1"/>
      <c r="C67" s="1"/>
      <c r="D67" s="1"/>
      <c r="E67" s="1"/>
      <c r="F67" s="1"/>
      <c r="G67" s="1"/>
      <c r="H67" s="1"/>
    </row>
    <row r="69" spans="1:8" x14ac:dyDescent="0.2">
      <c r="A69" s="386" t="s">
        <v>169</v>
      </c>
    </row>
  </sheetData>
  <sheetProtection algorithmName="SHA-512" hashValue="UfuCNHX/Wy3+K5IqF8W6jeKkBXpCeIIfx6bRsFDzhdGhOrPdGCC1ZXK6Wl4tgIfLngmYkhTdfBm7yswoOYUPRQ==" saltValue="2yTEbMtdExYlJLict7ccNA==" spinCount="100000" sheet="1" objects="1" scenarios="1"/>
  <mergeCells count="1">
    <mergeCell ref="A1:I1"/>
  </mergeCells>
  <hyperlinks>
    <hyperlink ref="A69" location="Contents!A1" display="Return to contents" xr:uid="{00000000-0004-0000-5800-000000000000}"/>
  </hyperlinks>
  <pageMargins left="0.7" right="0.7" top="0.75" bottom="0.75" header="0.3" footer="0.3"/>
  <pageSetup paperSize="9" scale="6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2">
    <tabColor rgb="FF960000"/>
  </sheetPr>
  <dimension ref="A1:C13"/>
  <sheetViews>
    <sheetView showGridLines="0" zoomScaleNormal="100" workbookViewId="0"/>
  </sheetViews>
  <sheetFormatPr defaultRowHeight="12.75" x14ac:dyDescent="0.2"/>
  <cols>
    <col min="2" max="2" width="16.140625" bestFit="1" customWidth="1"/>
  </cols>
  <sheetData>
    <row r="1" spans="1:3" ht="33.75" customHeight="1" x14ac:dyDescent="0.35">
      <c r="A1" s="1259" t="str">
        <f>"Percentage of All Fires By Type, " &amp; ThisYear</f>
        <v>Percentage of All Fires By Type, 2017-18</v>
      </c>
    </row>
    <row r="3" spans="1:3" x14ac:dyDescent="0.2">
      <c r="A3" s="386"/>
    </row>
    <row r="9" spans="1:3" x14ac:dyDescent="0.2">
      <c r="B9" t="s">
        <v>593</v>
      </c>
      <c r="C9" s="768">
        <f>'Long-Term Trend'!F32</f>
        <v>10654</v>
      </c>
    </row>
    <row r="10" spans="1:3" x14ac:dyDescent="0.2">
      <c r="B10" t="s">
        <v>594</v>
      </c>
      <c r="C10" s="768">
        <f>'Long-Term Trend'!G32</f>
        <v>14698</v>
      </c>
    </row>
    <row r="11" spans="1:3" x14ac:dyDescent="0.2">
      <c r="B11" t="s">
        <v>595</v>
      </c>
      <c r="C11" s="768">
        <f>'Long-Term Trend'!H32</f>
        <v>763</v>
      </c>
    </row>
    <row r="12" spans="1:3" x14ac:dyDescent="0.2">
      <c r="C12" s="768"/>
    </row>
    <row r="13" spans="1:3" x14ac:dyDescent="0.2">
      <c r="C13" s="768"/>
    </row>
  </sheetData>
  <sheetProtection algorithmName="SHA-512" hashValue="0lS/hqvC7KjnhcG/olRwFuQStQB2AULGWDiuz9HSIi8i7HfqVB4LIWaFr9caajZZlOHKfdVck4q97JNXGf7O/g==" saltValue="2coDCgJcuLg2xcgKX4ZPYQ==" spinCount="100000" sheet="1" objects="1" scenarios="1"/>
  <pageMargins left="0.25" right="0.25"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9">
    <tabColor rgb="FF960000"/>
    <pageSetUpPr fitToPage="1"/>
  </sheetPr>
  <dimension ref="A1:H61"/>
  <sheetViews>
    <sheetView showGridLines="0" workbookViewId="0"/>
  </sheetViews>
  <sheetFormatPr defaultRowHeight="12.75" x14ac:dyDescent="0.2"/>
  <cols>
    <col min="2" max="2" width="55.7109375" bestFit="1" customWidth="1"/>
    <col min="6" max="6" width="23.140625" bestFit="1" customWidth="1"/>
  </cols>
  <sheetData>
    <row r="1" spans="1:8" ht="38.25" customHeight="1" x14ac:dyDescent="0.35">
      <c r="A1" s="1259" t="s">
        <v>923</v>
      </c>
    </row>
    <row r="4" spans="1:8" x14ac:dyDescent="0.2">
      <c r="C4" t="s">
        <v>922</v>
      </c>
      <c r="D4" t="s">
        <v>921</v>
      </c>
    </row>
    <row r="5" spans="1:8" x14ac:dyDescent="0.2">
      <c r="B5" t="str">
        <f>'20'!A5</f>
        <v>Chimney - Chimney</v>
      </c>
      <c r="C5">
        <f>'20'!I5/'20'!$I$63*100</f>
        <v>0.61026936026936029</v>
      </c>
      <c r="D5">
        <f>SUM('20'!E5:I5)/SUM('20'!$E$63:$I$63)*100</f>
        <v>0.73363662445182176</v>
      </c>
    </row>
    <row r="6" spans="1:8" x14ac:dyDescent="0.2">
      <c r="B6" t="str">
        <f>'20'!A6</f>
        <v>Cooking appliance - Barbecue/Camping stove</v>
      </c>
      <c r="C6">
        <f>'20'!I6/'20'!$I$63*100</f>
        <v>0.25252525252525254</v>
      </c>
      <c r="D6">
        <f>SUM('20'!E6:I6)/SUM('20'!$E$63:$I$63)*100</f>
        <v>0.22541907455223575</v>
      </c>
    </row>
    <row r="7" spans="1:8" x14ac:dyDescent="0.2">
      <c r="B7" t="str">
        <f>'20'!A7</f>
        <v>Cooking appliance - Cooker incl. oven</v>
      </c>
      <c r="C7">
        <f>'20'!I7/'20'!$I$63*100</f>
        <v>40.277777777777779</v>
      </c>
      <c r="D7">
        <f>SUM('20'!E7:I7)/SUM('20'!$E$63:$I$63)*100</f>
        <v>39.702446821591046</v>
      </c>
      <c r="F7" t="s">
        <v>916</v>
      </c>
      <c r="G7">
        <f>SUM(C6:C12)/100</f>
        <v>0.62058080808080807</v>
      </c>
      <c r="H7">
        <f>SUM(D6:D12)/100</f>
        <v>0.62264846919955741</v>
      </c>
    </row>
    <row r="8" spans="1:8" x14ac:dyDescent="0.2">
      <c r="B8" t="str">
        <f>'20'!A8</f>
        <v>Cooking appliance - Deep fat fryer</v>
      </c>
      <c r="C8">
        <f>'20'!I8/'20'!$I$63*100</f>
        <v>0.39983164983164982</v>
      </c>
      <c r="D8">
        <f>SUM('20'!E8:I8)/SUM('20'!$E$63:$I$63)*100</f>
        <v>0.35247346202713226</v>
      </c>
      <c r="F8" t="s">
        <v>917</v>
      </c>
      <c r="G8">
        <f>(C14+C17+C13)/100</f>
        <v>7.7441077441077436E-2</v>
      </c>
      <c r="H8">
        <f>(D14+D17+D13)/100</f>
        <v>7.3486618304028861E-2</v>
      </c>
    </row>
    <row r="9" spans="1:8" x14ac:dyDescent="0.2">
      <c r="B9" t="str">
        <f>'20'!A9</f>
        <v>Cooking appliance - Grill/Toaster</v>
      </c>
      <c r="C9">
        <f>'20'!I9/'20'!$I$63*100</f>
        <v>8.3964646464646471</v>
      </c>
      <c r="D9">
        <f>SUM('20'!E9:I9)/SUM('20'!$E$63:$I$63)*100</f>
        <v>9.5495717037583514</v>
      </c>
      <c r="F9" t="s">
        <v>918</v>
      </c>
      <c r="G9">
        <f>SUM(C24:C25)/100</f>
        <v>7.1759259259259259E-2</v>
      </c>
      <c r="H9">
        <f>SUM(D24:D25)/100</f>
        <v>7.8937661379564719E-2</v>
      </c>
    </row>
    <row r="10" spans="1:8" x14ac:dyDescent="0.2">
      <c r="B10" t="str">
        <f>'20'!A10</f>
        <v>Cooking appliance - Microwave oven</v>
      </c>
      <c r="C10">
        <f>'20'!I10/'20'!$I$63*100</f>
        <v>5.0084175084175087</v>
      </c>
      <c r="D10">
        <f>SUM('20'!E10:I10)/SUM('20'!$E$63:$I$63)*100</f>
        <v>4.631337349891389</v>
      </c>
      <c r="F10" t="s">
        <v>919</v>
      </c>
      <c r="G10">
        <f>SUM(C29:C33)/100</f>
        <v>4.1245791245791252E-2</v>
      </c>
      <c r="H10">
        <f>SUM(D29:D33)/100</f>
        <v>3.9550801262346821E-2</v>
      </c>
    </row>
    <row r="11" spans="1:8" x14ac:dyDescent="0.2">
      <c r="B11" t="str">
        <f>'20'!A11</f>
        <v>Cooking appliance - Ring/hot plate (separate appliance)</v>
      </c>
      <c r="C11">
        <f>'20'!I11/'20'!$I$63*100</f>
        <v>7.365319865319865</v>
      </c>
      <c r="D11">
        <f>SUM('20'!E11:I11)/SUM('20'!$E$63:$I$63)*100</f>
        <v>7.340464773146441</v>
      </c>
      <c r="F11" t="s">
        <v>920</v>
      </c>
      <c r="G11">
        <f>SUM(C34:C54)/100</f>
        <v>7.4074074074074084E-2</v>
      </c>
      <c r="H11">
        <f>SUM(D34:D54)/100</f>
        <v>6.9879913111193084E-2</v>
      </c>
    </row>
    <row r="12" spans="1:8" x14ac:dyDescent="0.2">
      <c r="B12" t="str">
        <f>'20'!A12</f>
        <v>Cooking appliance - Other cooking appliance</v>
      </c>
      <c r="C12">
        <f>'20'!I12/'20'!$I$63*100</f>
        <v>0.35774410774410775</v>
      </c>
      <c r="D12">
        <f>SUM('20'!E12:I12)/SUM('20'!$E$63:$I$63)*100</f>
        <v>0.46313373498913885</v>
      </c>
      <c r="F12" t="s">
        <v>74</v>
      </c>
      <c r="G12">
        <f>(1-G11-G10-G9-G8-G7)</f>
        <v>0.11489898989898994</v>
      </c>
      <c r="H12">
        <f>(1-H11-H10-H9-H8-H7)</f>
        <v>0.11549653674330906</v>
      </c>
    </row>
    <row r="13" spans="1:8" x14ac:dyDescent="0.2">
      <c r="B13" t="str">
        <f>'20'!A13</f>
        <v>Smoking related - Cigarette lighter</v>
      </c>
      <c r="C13">
        <f>'20'!I13/'20'!$I$63*100</f>
        <v>0.54713804713804715</v>
      </c>
      <c r="D13">
        <f>SUM('20'!E13:I13)/SUM('20'!$E$63:$I$63)*100</f>
        <v>0.48362637813025128</v>
      </c>
    </row>
    <row r="14" spans="1:8" x14ac:dyDescent="0.2">
      <c r="B14" t="str">
        <f>'20'!A14</f>
        <v>Smoking related - Smoking materials</v>
      </c>
      <c r="C14">
        <f>'20'!I14/'20'!$I$63*100</f>
        <v>6.9654882154882154</v>
      </c>
      <c r="D14">
        <f>SUM('20'!E14:I14)/SUM('20'!$E$63:$I$63)*100</f>
        <v>6.664207549489733</v>
      </c>
    </row>
    <row r="15" spans="1:8" x14ac:dyDescent="0.2">
      <c r="B15" t="str">
        <f>'20'!A15</f>
        <v>Matches</v>
      </c>
      <c r="C15">
        <f>'20'!I15/'20'!$I$63*100</f>
        <v>0.69444444444444442</v>
      </c>
      <c r="D15">
        <f>SUM('20'!E15:I15)/SUM('20'!$E$63:$I$63)*100</f>
        <v>0.59428665109225787</v>
      </c>
    </row>
    <row r="16" spans="1:8" x14ac:dyDescent="0.2">
      <c r="B16" t="str">
        <f>'20'!A16</f>
        <v>Candles</v>
      </c>
      <c r="C16">
        <f>'20'!I16/'20'!$I$63*100</f>
        <v>1.7676767676767675</v>
      </c>
      <c r="D16">
        <f>SUM('20'!E16:I16)/SUM('20'!$E$63:$I$63)*100</f>
        <v>2.1312348866756836</v>
      </c>
    </row>
    <row r="17" spans="2:4" x14ac:dyDescent="0.2">
      <c r="B17" t="str">
        <f>'20'!A17</f>
        <v>Oil/Incense burners</v>
      </c>
      <c r="C17">
        <f>'20'!I17/'20'!$I$63*100</f>
        <v>0.23148148148148145</v>
      </c>
      <c r="D17">
        <f>SUM('20'!E17:I17)/SUM('20'!$E$63:$I$63)*100</f>
        <v>0.20082790278290094</v>
      </c>
    </row>
    <row r="18" spans="2:4" x14ac:dyDescent="0.2">
      <c r="B18" t="str">
        <f>'20'!A18</f>
        <v>Naked flame - Lighted paper or card, or other naked flame</v>
      </c>
      <c r="C18">
        <f>'20'!I18/'20'!$I$63*100</f>
        <v>0.98905723905723908</v>
      </c>
      <c r="D18">
        <f>SUM('20'!E18:I18)/SUM('20'!$E$63:$I$63)*100</f>
        <v>1.0246321570556172</v>
      </c>
    </row>
    <row r="19" spans="2:4" x14ac:dyDescent="0.2">
      <c r="B19" t="str">
        <f>'20'!A19</f>
        <v>Electric lighting - Fairy lights</v>
      </c>
      <c r="C19">
        <f>'20'!I19/'20'!$I$63*100</f>
        <v>4.2087542087542083E-2</v>
      </c>
      <c r="D19">
        <f>SUM('20'!E19:I19)/SUM('20'!$E$63:$I$63)*100</f>
        <v>4.9182343538669619E-2</v>
      </c>
    </row>
    <row r="20" spans="2:4" x14ac:dyDescent="0.2">
      <c r="B20" t="str">
        <f>'20'!A20</f>
        <v>Electric lighting - Fluorescent lights</v>
      </c>
      <c r="C20">
        <f>'20'!I20/'20'!$I$63*100</f>
        <v>0.18939393939393939</v>
      </c>
      <c r="D20">
        <f>SUM('20'!E20:I20)/SUM('20'!$E$63:$I$63)*100</f>
        <v>0.25001024632157054</v>
      </c>
    </row>
    <row r="21" spans="2:4" x14ac:dyDescent="0.2">
      <c r="B21" t="str">
        <f>'20'!A21</f>
        <v>Electric lighting - Other incandescent light bulbs</v>
      </c>
      <c r="C21">
        <f>'20'!I21/'20'!$I$63*100</f>
        <v>0.50505050505050508</v>
      </c>
      <c r="D21">
        <f>SUM('20'!E21:I21)/SUM('20'!$E$63:$I$63)*100</f>
        <v>0.49182343538669615</v>
      </c>
    </row>
    <row r="22" spans="2:4" x14ac:dyDescent="0.2">
      <c r="B22" t="str">
        <f>'20'!A22</f>
        <v>Electric lighting - Spot lights</v>
      </c>
      <c r="C22">
        <f>'20'!I22/'20'!$I$63*100</f>
        <v>0.63131313131313127</v>
      </c>
      <c r="D22">
        <f>SUM('20'!E22:I22)/SUM('20'!$E$63:$I$63)*100</f>
        <v>0.60658223697692526</v>
      </c>
    </row>
    <row r="23" spans="2:4" x14ac:dyDescent="0.2">
      <c r="B23" t="str">
        <f>'20'!A23</f>
        <v>Electric lighting - Other lights</v>
      </c>
      <c r="C23">
        <f>'20'!I23/'20'!$I$63*100</f>
        <v>0.27356902356902357</v>
      </c>
      <c r="D23">
        <f>SUM('20'!E23:I23)/SUM('20'!$E$63:$I$63)*100</f>
        <v>0.29919258986024017</v>
      </c>
    </row>
    <row r="24" spans="2:4" x14ac:dyDescent="0.2">
      <c r="B24" t="str">
        <f>'20'!A24</f>
        <v>Electricity supply - Apparatus - batteries, generators</v>
      </c>
      <c r="C24">
        <f>'20'!I24/'20'!$I$63*100</f>
        <v>0.69444444444444442</v>
      </c>
      <c r="D24">
        <f>SUM('20'!E24:I24)/SUM('20'!$E$63:$I$63)*100</f>
        <v>0.97954834214516984</v>
      </c>
    </row>
    <row r="25" spans="2:4" x14ac:dyDescent="0.2">
      <c r="B25" t="str">
        <f>'20'!A25</f>
        <v>Electricity supply - Wiring, cabling, plugs</v>
      </c>
      <c r="C25">
        <f>'20'!I25/'20'!$I$63*100</f>
        <v>6.481481481481481</v>
      </c>
      <c r="D25">
        <f>SUM('20'!E25:I25)/SUM('20'!$E$63:$I$63)*100</f>
        <v>6.9142177958113029</v>
      </c>
    </row>
    <row r="26" spans="2:4" x14ac:dyDescent="0.2">
      <c r="B26" t="str">
        <f>'20'!A26</f>
        <v>Fuel/Chemical - Gases/Flammable chemicals</v>
      </c>
      <c r="C26">
        <f>'20'!I26/'20'!$I$63*100</f>
        <v>8.4175084175084167E-2</v>
      </c>
      <c r="D26">
        <f>SUM('20'!E26:I26)/SUM('20'!$E$63:$I$63)*100</f>
        <v>0.13115291610311897</v>
      </c>
    </row>
    <row r="27" spans="2:4" x14ac:dyDescent="0.2">
      <c r="B27" t="str">
        <f>'20'!A27</f>
        <v>Fuel/Chemical - Liquids; petrol/oil related</v>
      </c>
      <c r="C27">
        <f>'20'!I27/'20'!$I$63*100</f>
        <v>6.3131313131313135E-2</v>
      </c>
      <c r="D27">
        <f>SUM('20'!E27:I27)/SUM('20'!$E$63:$I$63)*100</f>
        <v>8.6069101192671832E-2</v>
      </c>
    </row>
    <row r="28" spans="2:4" x14ac:dyDescent="0.2">
      <c r="B28" t="str">
        <f>'20'!A28</f>
        <v>Fuel/Chemical - Solids; coal, coke, wood, card</v>
      </c>
      <c r="C28">
        <f>'20'!I28/'20'!$I$63*100</f>
        <v>0.50505050505050508</v>
      </c>
      <c r="D28">
        <f>SUM('20'!E28:I28)/SUM('20'!$E$63:$I$63)*100</f>
        <v>0.39345874830935695</v>
      </c>
    </row>
    <row r="29" spans="2:4" x14ac:dyDescent="0.2">
      <c r="B29" t="str">
        <f>'20'!A29</f>
        <v>Heating equipment - Central heating/Hot water</v>
      </c>
      <c r="C29">
        <f>'20'!I29/'20'!$I$63*100</f>
        <v>0.90488215488215495</v>
      </c>
      <c r="D29">
        <f>SUM('20'!E29:I29)/SUM('20'!$E$63:$I$63)*100</f>
        <v>0.77052338210582405</v>
      </c>
    </row>
    <row r="30" spans="2:4" x14ac:dyDescent="0.2">
      <c r="B30" t="str">
        <f>'20'!A30</f>
        <v>Heating equipment - Heating/Fire</v>
      </c>
      <c r="C30">
        <f>'20'!I30/'20'!$I$63*100</f>
        <v>2.714646464646465</v>
      </c>
      <c r="D30">
        <f>SUM('20'!E30:I30)/SUM('20'!$E$63:$I$63)*100</f>
        <v>2.5574818640108203</v>
      </c>
    </row>
    <row r="31" spans="2:4" x14ac:dyDescent="0.2">
      <c r="B31" t="str">
        <f>'20'!A31</f>
        <v>Heating equipment - Power Source</v>
      </c>
      <c r="C31">
        <f>'20'!I31/'20'!$I$63*100</f>
        <v>0.18939393939393939</v>
      </c>
      <c r="D31">
        <f>SUM('20'!E31:I31)/SUM('20'!$E$63:$I$63)*100</f>
        <v>0.21722201729579083</v>
      </c>
    </row>
    <row r="32" spans="2:4" x14ac:dyDescent="0.2">
      <c r="B32" t="str">
        <f>'20'!A32</f>
        <v>Heating equipment - Separate water heating</v>
      </c>
      <c r="C32">
        <f>'20'!I32/'20'!$I$63*100</f>
        <v>8.4175084175084167E-2</v>
      </c>
      <c r="D32">
        <f>SUM('20'!E32:I32)/SUM('20'!$E$63:$I$63)*100</f>
        <v>0.12705438747489653</v>
      </c>
    </row>
    <row r="33" spans="2:4" x14ac:dyDescent="0.2">
      <c r="B33" t="str">
        <f>'20'!A33</f>
        <v>Heating equipment - Other</v>
      </c>
      <c r="C33">
        <f>'20'!I33/'20'!$I$63*100</f>
        <v>0.23148148148148145</v>
      </c>
      <c r="D33">
        <f>SUM('20'!E33:I33)/SUM('20'!$E$63:$I$63)*100</f>
        <v>0.28279847534735031</v>
      </c>
    </row>
    <row r="34" spans="2:4" x14ac:dyDescent="0.2">
      <c r="B34" t="str">
        <f>'20'!A34</f>
        <v>Other domestic style appliance - Audio equipment</v>
      </c>
      <c r="C34">
        <f>'20'!I34/'20'!$I$63*100</f>
        <v>2.1043771043771042E-2</v>
      </c>
      <c r="D34">
        <f>SUM('20'!E34:I34)/SUM('20'!$E$63:$I$63)*100</f>
        <v>4.9182343538669619E-2</v>
      </c>
    </row>
    <row r="35" spans="2:4" x14ac:dyDescent="0.2">
      <c r="B35" t="str">
        <f>'20'!A35</f>
        <v>Other domestic style appliance - Battery charger</v>
      </c>
      <c r="C35">
        <f>'20'!I35/'20'!$I$63*100</f>
        <v>0.16835016835016833</v>
      </c>
      <c r="D35">
        <f>SUM('20'!E35:I35)/SUM('20'!$E$63:$I$63)*100</f>
        <v>0.15574408787245378</v>
      </c>
    </row>
    <row r="36" spans="2:4" x14ac:dyDescent="0.2">
      <c r="B36" t="str">
        <f>'20'!A36</f>
        <v>Other domestic style appliance - Blow lamp/Paint remover</v>
      </c>
      <c r="C36">
        <f>'20'!I36/'20'!$I$63*100</f>
        <v>4.2087542087542083E-2</v>
      </c>
      <c r="D36">
        <f>SUM('20'!E36:I36)/SUM('20'!$E$63:$I$63)*100</f>
        <v>0.20492643141112343</v>
      </c>
    </row>
    <row r="37" spans="2:4" x14ac:dyDescent="0.2">
      <c r="B37" t="str">
        <f>'20'!A37</f>
        <v>Other domestic style appliance - Dishwasher</v>
      </c>
      <c r="C37">
        <f>'20'!I37/'20'!$I$63*100</f>
        <v>0.82070707070707083</v>
      </c>
      <c r="D37">
        <f>SUM('20'!E37:I37)/SUM('20'!$E$63:$I$63)*100</f>
        <v>0.78691749661871391</v>
      </c>
    </row>
    <row r="38" spans="2:4" x14ac:dyDescent="0.2">
      <c r="B38" t="str">
        <f>'20'!A38</f>
        <v>Other domestic style appliance - Electric blanket</v>
      </c>
      <c r="C38">
        <f>'20'!I38/'20'!$I$63*100</f>
        <v>6.3131313131313135E-2</v>
      </c>
      <c r="D38">
        <f>SUM('20'!E38:I38)/SUM('20'!$E$63:$I$63)*100</f>
        <v>0.18853231689823355</v>
      </c>
    </row>
    <row r="39" spans="2:4" x14ac:dyDescent="0.2">
      <c r="B39" t="str">
        <f>'20'!A39</f>
        <v>Other domestic style appliance - Electric kettle</v>
      </c>
      <c r="C39">
        <f>'20'!I39/'20'!$I$63*100</f>
        <v>8.4175084175084167E-2</v>
      </c>
      <c r="D39">
        <f>SUM('20'!E39:I39)/SUM('20'!$E$63:$I$63)*100</f>
        <v>8.1970572564449354E-2</v>
      </c>
    </row>
    <row r="40" spans="2:4" x14ac:dyDescent="0.2">
      <c r="B40" t="str">
        <f>'20'!A40</f>
        <v>Other domestic style appliance - Extractor fan</v>
      </c>
      <c r="C40">
        <f>'20'!I40/'20'!$I$63*100</f>
        <v>0.33670033670033667</v>
      </c>
      <c r="D40">
        <f>SUM('20'!E40:I40)/SUM('20'!$E$63:$I$63)*100</f>
        <v>0.39345874830935695</v>
      </c>
    </row>
    <row r="41" spans="2:4" x14ac:dyDescent="0.2">
      <c r="B41" t="str">
        <f>'20'!A41</f>
        <v>Other domestic style appliance - Fridge/Freezer</v>
      </c>
      <c r="C41">
        <f>'20'!I41/'20'!$I$63*100</f>
        <v>0.50505050505050508</v>
      </c>
      <c r="D41">
        <f>SUM('20'!E41:I41)/SUM('20'!$E$63:$I$63)*100</f>
        <v>0.50821754989958612</v>
      </c>
    </row>
    <row r="42" spans="2:4" x14ac:dyDescent="0.2">
      <c r="B42" t="str">
        <f>'20'!A42</f>
        <v>Other domestic style appliance - Hair dryer</v>
      </c>
      <c r="C42">
        <f>'20'!I42/'20'!$I$63*100</f>
        <v>0.10521885521885521</v>
      </c>
      <c r="D42">
        <f>SUM('20'!E42:I42)/SUM('20'!$E$63:$I$63)*100</f>
        <v>0.10246321570556172</v>
      </c>
    </row>
    <row r="43" spans="2:4" x14ac:dyDescent="0.2">
      <c r="B43" t="str">
        <f>'20'!A43</f>
        <v>Other domestic style appliance - Iron</v>
      </c>
      <c r="C43">
        <f>'20'!I43/'20'!$I$63*100</f>
        <v>2.1043771043771042E-2</v>
      </c>
      <c r="D43">
        <f>SUM('20'!E43:I43)/SUM('20'!$E$63:$I$63)*100</f>
        <v>8.1970572564449354E-2</v>
      </c>
    </row>
    <row r="44" spans="2:4" x14ac:dyDescent="0.2">
      <c r="B44" t="str">
        <f>'20'!A44</f>
        <v>Other domestic style appliance - Other domestic style appliance</v>
      </c>
      <c r="C44">
        <f>'20'!I44/'20'!$I$63*100</f>
        <v>0.25252525252525254</v>
      </c>
      <c r="D44">
        <f>SUM('20'!E44:I44)/SUM('20'!$E$63:$I$63)*100</f>
        <v>0.20902496003934587</v>
      </c>
    </row>
    <row r="45" spans="2:4" x14ac:dyDescent="0.2">
      <c r="B45" t="str">
        <f>'20'!A45</f>
        <v>Other domestic style appliance - PC equipment (domestic use)</v>
      </c>
      <c r="C45">
        <f>'20'!I45/'20'!$I$63*100</f>
        <v>0.1473063973063973</v>
      </c>
      <c r="D45">
        <f>SUM('20'!E45:I45)/SUM('20'!$E$63:$I$63)*100</f>
        <v>0.11885733021845157</v>
      </c>
    </row>
    <row r="46" spans="2:4" x14ac:dyDescent="0.2">
      <c r="B46" t="str">
        <f>'20'!A46</f>
        <v>Other domestic style appliance - Spin dryer</v>
      </c>
      <c r="C46">
        <f>'20'!I46/'20'!$I$63*100</f>
        <v>6.3131313131313135E-2</v>
      </c>
      <c r="D46">
        <f>SUM('20'!E46:I46)/SUM('20'!$E$63:$I$63)*100</f>
        <v>5.328087216689209E-2</v>
      </c>
    </row>
    <row r="47" spans="2:4" x14ac:dyDescent="0.2">
      <c r="B47" t="str">
        <f>'20'!A47</f>
        <v>Other domestic style appliance - Trouser press</v>
      </c>
      <c r="C47">
        <f>'20'!I47/'20'!$I$63*100</f>
        <v>0</v>
      </c>
      <c r="D47">
        <f>SUM('20'!E47:I47)/SUM('20'!$E$63:$I$63)*100</f>
        <v>8.1970572564449354E-3</v>
      </c>
    </row>
    <row r="48" spans="2:4" x14ac:dyDescent="0.2">
      <c r="B48" t="str">
        <f>'20'!A48</f>
        <v>Other domestic style appliance - Tumble dryer</v>
      </c>
      <c r="C48">
        <f>'20'!I48/'20'!$I$63*100</f>
        <v>1.7255892255892258</v>
      </c>
      <c r="D48">
        <f>SUM('20'!E48:I48)/SUM('20'!$E$63:$I$63)*100</f>
        <v>1.549243821468093</v>
      </c>
    </row>
    <row r="49" spans="2:4" x14ac:dyDescent="0.2">
      <c r="B49" t="str">
        <f>'20'!A49</f>
        <v>Other domestic style appliance - TV</v>
      </c>
      <c r="C49">
        <f>'20'!I49/'20'!$I$63*100</f>
        <v>0.23148148148148145</v>
      </c>
      <c r="D49">
        <f>SUM('20'!E49:I49)/SUM('20'!$E$63:$I$63)*100</f>
        <v>0.22541907455223575</v>
      </c>
    </row>
    <row r="50" spans="2:4" x14ac:dyDescent="0.2">
      <c r="B50" t="str">
        <f>'20'!A50</f>
        <v>Other domestic style appliance - Vacuum cleaner</v>
      </c>
      <c r="C50">
        <f>'20'!I50/'20'!$I$63*100</f>
        <v>0.1473063973063973</v>
      </c>
      <c r="D50">
        <f>SUM('20'!E50:I50)/SUM('20'!$E$63:$I$63)*100</f>
        <v>9.0167629820894296E-2</v>
      </c>
    </row>
    <row r="51" spans="2:4" x14ac:dyDescent="0.2">
      <c r="B51" t="str">
        <f>'20'!A51</f>
        <v>Other domestic style appliance - Video/DVD</v>
      </c>
      <c r="C51">
        <f>'20'!I51/'20'!$I$63*100</f>
        <v>0</v>
      </c>
      <c r="D51">
        <f>SUM('20'!E51:I51)/SUM('20'!$E$63:$I$63)*100</f>
        <v>1.6394114512889871E-2</v>
      </c>
    </row>
    <row r="52" spans="2:4" x14ac:dyDescent="0.2">
      <c r="B52" t="str">
        <f>'20'!A52</f>
        <v>Other domestic style appliance - Washer/Dryer combined</v>
      </c>
      <c r="C52">
        <f>'20'!I52/'20'!$I$63*100</f>
        <v>0.18939393939393939</v>
      </c>
      <c r="D52">
        <f>SUM('20'!E52:I52)/SUM('20'!$E$63:$I$63)*100</f>
        <v>0.18033525964178859</v>
      </c>
    </row>
    <row r="53" spans="2:4" x14ac:dyDescent="0.2">
      <c r="B53" t="str">
        <f>'20'!A53</f>
        <v>Other domestic style appliance - Washing machine</v>
      </c>
      <c r="C53">
        <f>'20'!I53/'20'!$I$63*100</f>
        <v>2.4621212121212119</v>
      </c>
      <c r="D53">
        <f>SUM('20'!E53:I53)/SUM('20'!$E$63:$I$63)*100</f>
        <v>1.9058158121234476</v>
      </c>
    </row>
    <row r="54" spans="2:4" x14ac:dyDescent="0.2">
      <c r="B54" t="str">
        <f>'20'!A54</f>
        <v>Other domestic style appliance - Other</v>
      </c>
      <c r="C54">
        <f>'20'!I54/'20'!$I$63*100</f>
        <v>2.1043771043771042E-2</v>
      </c>
      <c r="D54">
        <f>SUM('20'!E54:I54)/SUM('20'!$E$63:$I$63)*100</f>
        <v>7.787204393622689E-2</v>
      </c>
    </row>
    <row r="55" spans="2:4" x14ac:dyDescent="0.2">
      <c r="B55" t="str">
        <f>'20'!A55</f>
        <v>Other appliance or equipment</v>
      </c>
      <c r="C55">
        <f>'20'!I55/'20'!$I$63*100</f>
        <v>0.23148148148148145</v>
      </c>
      <c r="D55">
        <f>SUM('20'!E55:I55)/SUM('20'!$E$63:$I$63)*100</f>
        <v>0.15574408787245378</v>
      </c>
    </row>
    <row r="56" spans="2:4" x14ac:dyDescent="0.2">
      <c r="B56" t="str">
        <f>'20'!A56</f>
        <v>Fireworks</v>
      </c>
      <c r="C56">
        <f>'20'!I56/'20'!$I$63*100</f>
        <v>2.1043771043771042E-2</v>
      </c>
      <c r="D56">
        <f>SUM('20'!E56:I56)/SUM('20'!$E$63:$I$63)*100</f>
        <v>4.0985286282224677E-2</v>
      </c>
    </row>
    <row r="57" spans="2:4" x14ac:dyDescent="0.2">
      <c r="B57" t="str">
        <f>'20'!A57</f>
        <v>Industrial equipment - Welding/Cutting equipment</v>
      </c>
      <c r="C57">
        <f>'20'!I57/'20'!$I$63*100</f>
        <v>2.1043771043771042E-2</v>
      </c>
      <c r="D57">
        <f>SUM('20'!E57:I57)/SUM('20'!$E$63:$I$63)*100</f>
        <v>9.0167629820894296E-2</v>
      </c>
    </row>
    <row r="58" spans="2:4" x14ac:dyDescent="0.2">
      <c r="B58" t="str">
        <f>'20'!A58</f>
        <v>Industrial equipment - other</v>
      </c>
      <c r="C58">
        <f>'20'!I58/'20'!$I$63*100</f>
        <v>0.21043771043771042</v>
      </c>
      <c r="D58">
        <f>SUM('20'!E58:I58)/SUM('20'!$E$63:$I$63)*100</f>
        <v>0.29099553260379524</v>
      </c>
    </row>
    <row r="59" spans="2:4" x14ac:dyDescent="0.2">
      <c r="B59" t="str">
        <f>'20'!A59</f>
        <v>Office equipment</v>
      </c>
      <c r="C59">
        <f>'20'!I59/'20'!$I$63*100</f>
        <v>4.2087542087542083E-2</v>
      </c>
      <c r="D59">
        <f>SUM('20'!E59:I59)/SUM('20'!$E$63:$I$63)*100</f>
        <v>5.7379400795114555E-2</v>
      </c>
    </row>
    <row r="60" spans="2:4" x14ac:dyDescent="0.2">
      <c r="B60" t="str">
        <f>'20'!A60</f>
        <v>Natural occurrence - Natural occurrence</v>
      </c>
      <c r="C60">
        <f>'20'!I60/'20'!$I$63*100</f>
        <v>0.21043771043771042</v>
      </c>
      <c r="D60">
        <f>SUM('20'!E60:I60)/SUM('20'!$E$63:$I$63)*100</f>
        <v>0.31968523300135254</v>
      </c>
    </row>
    <row r="61" spans="2:4" x14ac:dyDescent="0.2">
      <c r="B61" t="str">
        <f>'20'!A61</f>
        <v>Not known/other</v>
      </c>
      <c r="C61">
        <f>'20'!I61/'20'!$I$63*100</f>
        <v>4.3981481481481479</v>
      </c>
      <c r="D61">
        <f>SUM('20'!E61:I61)/SUM('20'!$E$63:$I$63)*100</f>
        <v>3.8034345669904503</v>
      </c>
    </row>
  </sheetData>
  <sheetProtection algorithmName="SHA-512" hashValue="vQ8vNcRakAlxSIkRwD2SWi043vxFvOdU1TWxb9oZUb9UY7auHdbRPCYqV7old0p7IOG2hcb77GUJvx/1KLeGLQ==" saltValue="+oGf3DD+6aBaQ+o3m8DO7g==" spinCount="100000" sheet="1" objects="1" scenarios="1"/>
  <pageMargins left="0.7" right="0.7" top="0.75" bottom="0.75" header="0.3" footer="0.3"/>
  <pageSetup paperSize="9" scale="77"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42">
    <tabColor theme="4"/>
    <pageSetUpPr fitToPage="1"/>
  </sheetPr>
  <dimension ref="A1:K60"/>
  <sheetViews>
    <sheetView showGridLines="0" zoomScaleNormal="100" workbookViewId="0">
      <selection sqref="A1:I1"/>
    </sheetView>
  </sheetViews>
  <sheetFormatPr defaultRowHeight="12.75" x14ac:dyDescent="0.2"/>
  <cols>
    <col min="1" max="1" width="23.42578125" customWidth="1"/>
    <col min="2" max="2" width="12.5703125" customWidth="1"/>
    <col min="3" max="3" width="13.42578125" customWidth="1"/>
    <col min="4" max="4" width="11.85546875" customWidth="1"/>
    <col min="5" max="5" width="15.140625" customWidth="1"/>
    <col min="7" max="7" width="12.85546875" customWidth="1"/>
    <col min="8" max="8" width="11.85546875" customWidth="1"/>
    <col min="9" max="9" width="14.85546875" customWidth="1"/>
    <col min="10" max="10" width="4.5703125" customWidth="1"/>
    <col min="11" max="11" width="11.140625" customWidth="1"/>
    <col min="14" max="14" width="16.140625" customWidth="1"/>
  </cols>
  <sheetData>
    <row r="1" spans="1:10" ht="38.25" customHeight="1" x14ac:dyDescent="0.2">
      <c r="A1" s="1671" t="s">
        <v>640</v>
      </c>
      <c r="B1" s="1671"/>
      <c r="C1" s="1671"/>
      <c r="D1" s="1671"/>
      <c r="E1" s="1671"/>
      <c r="F1" s="1671"/>
      <c r="G1" s="1671"/>
      <c r="H1" s="1671"/>
      <c r="I1" s="1671"/>
      <c r="J1" s="1"/>
    </row>
    <row r="2" spans="1:10" ht="15" x14ac:dyDescent="0.25">
      <c r="A2" s="1"/>
      <c r="B2" s="1"/>
      <c r="C2" s="1"/>
      <c r="D2" s="1"/>
      <c r="E2" s="253" t="s">
        <v>0</v>
      </c>
      <c r="F2" s="1"/>
      <c r="G2" s="1"/>
      <c r="H2" s="1"/>
      <c r="I2" s="145" t="s">
        <v>64</v>
      </c>
      <c r="J2" s="1"/>
    </row>
    <row r="3" spans="1:10" x14ac:dyDescent="0.2">
      <c r="A3" s="1679" t="s">
        <v>4</v>
      </c>
      <c r="B3" s="1674" t="s">
        <v>641</v>
      </c>
      <c r="C3" s="1753"/>
      <c r="D3" s="1753"/>
      <c r="E3" s="1754"/>
      <c r="F3" s="1"/>
      <c r="G3" s="1674" t="s">
        <v>641</v>
      </c>
      <c r="H3" s="1675"/>
      <c r="I3" s="1676"/>
      <c r="J3" s="1"/>
    </row>
    <row r="4" spans="1:10" ht="37.5" customHeight="1" x14ac:dyDescent="0.2">
      <c r="A4" s="1686"/>
      <c r="B4" s="765" t="s">
        <v>286</v>
      </c>
      <c r="C4" s="765" t="s">
        <v>287</v>
      </c>
      <c r="D4" s="765" t="s">
        <v>209</v>
      </c>
      <c r="E4" s="765" t="s">
        <v>288</v>
      </c>
      <c r="F4" s="101"/>
      <c r="G4" s="769" t="s">
        <v>286</v>
      </c>
      <c r="H4" s="769" t="s">
        <v>287</v>
      </c>
      <c r="I4" s="769" t="s">
        <v>209</v>
      </c>
      <c r="J4" s="1"/>
    </row>
    <row r="5" spans="1:10" ht="18.75" customHeight="1" x14ac:dyDescent="0.2">
      <c r="A5" s="1017" t="s">
        <v>20</v>
      </c>
      <c r="B5" s="380">
        <v>835</v>
      </c>
      <c r="C5" s="380">
        <v>3693</v>
      </c>
      <c r="D5" s="380">
        <v>686</v>
      </c>
      <c r="E5" s="40">
        <f>SUM(B5:D5)</f>
        <v>5214</v>
      </c>
      <c r="F5" s="7"/>
      <c r="G5" s="1427">
        <f>B5/E5*100</f>
        <v>16.014576141158422</v>
      </c>
      <c r="H5" s="1428">
        <f>C5/E5*100</f>
        <v>70.828538550057544</v>
      </c>
      <c r="I5" s="1429">
        <f>D5/E5*100</f>
        <v>13.156885308784044</v>
      </c>
      <c r="J5" s="1"/>
    </row>
    <row r="6" spans="1:10" ht="13.5" customHeight="1" x14ac:dyDescent="0.2">
      <c r="A6" s="30" t="s">
        <v>13</v>
      </c>
      <c r="B6" s="7">
        <v>865</v>
      </c>
      <c r="C6" s="7">
        <v>3556</v>
      </c>
      <c r="D6" s="7">
        <v>700</v>
      </c>
      <c r="E6" s="9">
        <f t="shared" ref="E6:E12" si="0">SUM(B6:D6)</f>
        <v>5121</v>
      </c>
      <c r="F6" s="7"/>
      <c r="G6" s="1430">
        <f t="shared" ref="G6:G10" si="1">B6/E6*100</f>
        <v>16.891232181214608</v>
      </c>
      <c r="H6" s="115">
        <f t="shared" ref="H6:H10" si="2">C6/E6*100</f>
        <v>69.43956258543254</v>
      </c>
      <c r="I6" s="1431">
        <f t="shared" ref="I6:I10" si="3">D6/E6*100</f>
        <v>13.66920523335286</v>
      </c>
      <c r="J6" s="1"/>
    </row>
    <row r="7" spans="1:10" ht="13.5" customHeight="1" x14ac:dyDescent="0.2">
      <c r="A7" s="30" t="s">
        <v>15</v>
      </c>
      <c r="B7" s="7">
        <v>778</v>
      </c>
      <c r="C7" s="7">
        <v>3583</v>
      </c>
      <c r="D7" s="7">
        <v>642</v>
      </c>
      <c r="E7" s="9">
        <f t="shared" si="0"/>
        <v>5003</v>
      </c>
      <c r="F7" s="7"/>
      <c r="G7" s="1430">
        <f t="shared" si="1"/>
        <v>15.550669598241054</v>
      </c>
      <c r="H7" s="115">
        <f t="shared" si="2"/>
        <v>71.617029782130729</v>
      </c>
      <c r="I7" s="1431">
        <f t="shared" si="3"/>
        <v>12.832300619628223</v>
      </c>
      <c r="J7" s="1"/>
    </row>
    <row r="8" spans="1:10" ht="13.5" customHeight="1" x14ac:dyDescent="0.2">
      <c r="A8" s="30" t="s">
        <v>17</v>
      </c>
      <c r="B8" s="7">
        <v>717</v>
      </c>
      <c r="C8" s="7">
        <v>3373</v>
      </c>
      <c r="D8" s="7">
        <v>594</v>
      </c>
      <c r="E8" s="9">
        <f t="shared" si="0"/>
        <v>4684</v>
      </c>
      <c r="F8" s="7"/>
      <c r="G8" s="1430">
        <f t="shared" si="1"/>
        <v>15.307429547395387</v>
      </c>
      <c r="H8" s="115">
        <f t="shared" si="2"/>
        <v>72.011101622544842</v>
      </c>
      <c r="I8" s="1431">
        <f t="shared" si="3"/>
        <v>12.681468830059778</v>
      </c>
      <c r="J8" s="1"/>
    </row>
    <row r="9" spans="1:10" ht="13.5" customHeight="1" x14ac:dyDescent="0.2">
      <c r="A9" s="30" t="s">
        <v>147</v>
      </c>
      <c r="B9" s="7">
        <v>706</v>
      </c>
      <c r="C9" s="7">
        <v>3641</v>
      </c>
      <c r="D9" s="7">
        <v>614</v>
      </c>
      <c r="E9" s="9">
        <f t="shared" si="0"/>
        <v>4961</v>
      </c>
      <c r="F9" s="7"/>
      <c r="G9" s="1430">
        <f t="shared" si="1"/>
        <v>14.231001814150373</v>
      </c>
      <c r="H9" s="115">
        <f t="shared" si="2"/>
        <v>73.392461197339244</v>
      </c>
      <c r="I9" s="1431">
        <f t="shared" si="3"/>
        <v>12.376536988510381</v>
      </c>
      <c r="J9" s="1"/>
    </row>
    <row r="10" spans="1:10" ht="13.5" customHeight="1" x14ac:dyDescent="0.2">
      <c r="A10" s="30" t="s">
        <v>160</v>
      </c>
      <c r="B10" s="7">
        <f>'T21'!D5</f>
        <v>725</v>
      </c>
      <c r="C10" s="7">
        <f>'T21'!E5</f>
        <v>3756</v>
      </c>
      <c r="D10" s="7">
        <f>'T21'!F5</f>
        <v>591</v>
      </c>
      <c r="E10" s="9">
        <f t="shared" si="0"/>
        <v>5072</v>
      </c>
      <c r="F10" s="7"/>
      <c r="G10" s="1430">
        <f t="shared" si="1"/>
        <v>14.294164037854889</v>
      </c>
      <c r="H10" s="115">
        <f t="shared" si="2"/>
        <v>74.053627760252354</v>
      </c>
      <c r="I10" s="1431">
        <f t="shared" si="3"/>
        <v>11.652208201892744</v>
      </c>
      <c r="J10" s="1"/>
    </row>
    <row r="11" spans="1:10" ht="13.5" customHeight="1" x14ac:dyDescent="0.2">
      <c r="A11" s="30" t="s">
        <v>379</v>
      </c>
      <c r="B11" s="7">
        <f>'T21'!D6</f>
        <v>704</v>
      </c>
      <c r="C11" s="7">
        <f>'T21'!E6</f>
        <v>3627</v>
      </c>
      <c r="D11" s="7">
        <f>'T21'!F6</f>
        <v>599</v>
      </c>
      <c r="E11" s="9">
        <f t="shared" si="0"/>
        <v>4930</v>
      </c>
      <c r="F11" s="7" t="s">
        <v>145</v>
      </c>
      <c r="G11" s="1430">
        <f t="shared" ref="G11:G12" si="4">B11/E11*100</f>
        <v>14.279918864097363</v>
      </c>
      <c r="H11" s="115">
        <f t="shared" ref="H11:H12" si="5">C11/E11*100</f>
        <v>73.569979716024335</v>
      </c>
      <c r="I11" s="1431">
        <f t="shared" ref="I11:I12" si="6">D11/E11*100</f>
        <v>12.150101419878297</v>
      </c>
      <c r="J11" s="1" t="s">
        <v>145</v>
      </c>
    </row>
    <row r="12" spans="1:10" ht="13.5" customHeight="1" x14ac:dyDescent="0.2">
      <c r="A12" s="1261" t="s">
        <v>603</v>
      </c>
      <c r="B12" s="336">
        <f>'T21'!D7</f>
        <v>713</v>
      </c>
      <c r="C12" s="336">
        <f>'T21'!E7</f>
        <v>3425</v>
      </c>
      <c r="D12" s="336">
        <f>'T21'!F7</f>
        <v>614</v>
      </c>
      <c r="E12" s="12">
        <f t="shared" si="0"/>
        <v>4752</v>
      </c>
      <c r="F12" s="7" t="s">
        <v>143</v>
      </c>
      <c r="G12" s="1432">
        <f t="shared" si="4"/>
        <v>15.004208754208753</v>
      </c>
      <c r="H12" s="1433">
        <f t="shared" si="5"/>
        <v>72.07491582491582</v>
      </c>
      <c r="I12" s="1434">
        <f t="shared" si="6"/>
        <v>12.920875420875422</v>
      </c>
      <c r="J12" s="1" t="s">
        <v>143</v>
      </c>
    </row>
    <row r="13" spans="1:10" x14ac:dyDescent="0.2">
      <c r="A13" s="2"/>
      <c r="B13" s="7"/>
      <c r="C13" s="7"/>
      <c r="D13" s="1"/>
      <c r="E13" s="1"/>
      <c r="F13" s="1"/>
      <c r="G13" s="1"/>
      <c r="H13" s="1"/>
      <c r="I13" s="1"/>
      <c r="J13" s="1"/>
    </row>
    <row r="14" spans="1:10" x14ac:dyDescent="0.2">
      <c r="A14" s="2" t="s">
        <v>162</v>
      </c>
      <c r="B14" s="7"/>
      <c r="C14" s="7"/>
      <c r="D14" s="1"/>
      <c r="E14" s="1"/>
      <c r="F14" s="1"/>
      <c r="G14" s="1"/>
      <c r="H14" s="1"/>
      <c r="I14" s="1"/>
      <c r="J14" s="1"/>
    </row>
    <row r="15" spans="1:10" x14ac:dyDescent="0.2">
      <c r="A15" s="2" t="s">
        <v>343</v>
      </c>
      <c r="B15" s="7"/>
      <c r="C15" s="7"/>
      <c r="D15" s="1"/>
      <c r="E15" s="1"/>
      <c r="F15" s="1"/>
      <c r="G15" s="1"/>
      <c r="H15" s="1"/>
      <c r="I15" s="1"/>
      <c r="J15" s="1"/>
    </row>
    <row r="16" spans="1:10" x14ac:dyDescent="0.2">
      <c r="A16" s="1" t="s">
        <v>1049</v>
      </c>
      <c r="B16" s="1"/>
      <c r="C16" s="1"/>
      <c r="D16" s="1"/>
      <c r="E16" s="1"/>
      <c r="F16" s="1"/>
      <c r="G16" s="1"/>
      <c r="H16" s="1"/>
      <c r="I16" s="1"/>
      <c r="J16" s="1"/>
    </row>
    <row r="17" spans="1:10" x14ac:dyDescent="0.2">
      <c r="H17" s="1"/>
      <c r="I17" s="1"/>
      <c r="J17" s="1"/>
    </row>
    <row r="18" spans="1:10" ht="38.25" customHeight="1" x14ac:dyDescent="0.2">
      <c r="A18" s="1671" t="s">
        <v>855</v>
      </c>
      <c r="B18" s="1671"/>
      <c r="C18" s="1671"/>
      <c r="D18" s="1671"/>
      <c r="E18" s="1671"/>
      <c r="F18" s="1671"/>
      <c r="G18" s="1671"/>
      <c r="H18" s="1671"/>
      <c r="I18" s="201"/>
      <c r="J18" s="201"/>
    </row>
    <row r="19" spans="1:10" ht="32.25" customHeight="1" x14ac:dyDescent="0.25">
      <c r="A19" s="1"/>
      <c r="B19" s="1664"/>
      <c r="C19" s="1664"/>
      <c r="D19" s="1"/>
      <c r="E19" s="253" t="s">
        <v>0</v>
      </c>
      <c r="F19" s="1"/>
      <c r="G19" s="1"/>
      <c r="H19" s="1"/>
      <c r="I19" s="145" t="s">
        <v>64</v>
      </c>
      <c r="J19" s="1"/>
    </row>
    <row r="20" spans="1:10" x14ac:dyDescent="0.2">
      <c r="A20" s="1629" t="s">
        <v>22</v>
      </c>
      <c r="B20" s="1674" t="s">
        <v>641</v>
      </c>
      <c r="C20" s="1753"/>
      <c r="D20" s="1753"/>
      <c r="E20" s="1754"/>
      <c r="F20" s="1"/>
      <c r="G20" s="1674" t="s">
        <v>641</v>
      </c>
      <c r="H20" s="1675"/>
      <c r="I20" s="1676"/>
      <c r="J20" s="1"/>
    </row>
    <row r="21" spans="1:10" ht="38.25" x14ac:dyDescent="0.2">
      <c r="A21" s="1630"/>
      <c r="B21" s="102" t="s">
        <v>286</v>
      </c>
      <c r="C21" s="102" t="s">
        <v>287</v>
      </c>
      <c r="D21" s="102" t="s">
        <v>209</v>
      </c>
      <c r="E21" s="102" t="s">
        <v>288</v>
      </c>
      <c r="F21" s="101"/>
      <c r="G21" s="102" t="s">
        <v>286</v>
      </c>
      <c r="H21" s="102" t="s">
        <v>287</v>
      </c>
      <c r="I21" s="102" t="s">
        <v>209</v>
      </c>
      <c r="J21" s="1"/>
    </row>
    <row r="22" spans="1:10" ht="18.75" customHeight="1" x14ac:dyDescent="0.2">
      <c r="A22" s="355" t="s">
        <v>23</v>
      </c>
      <c r="B22" s="613">
        <f>T_21!B5</f>
        <v>41</v>
      </c>
      <c r="C22" s="614">
        <f>T_21!C5</f>
        <v>166</v>
      </c>
      <c r="D22" s="615">
        <f>T_21!D5</f>
        <v>33</v>
      </c>
      <c r="E22" s="735">
        <f>SUM(B22:D22)</f>
        <v>240</v>
      </c>
      <c r="F22" s="177"/>
      <c r="G22" s="1435">
        <f>B22/E22*100</f>
        <v>17.083333333333332</v>
      </c>
      <c r="H22" s="1436">
        <f>C22/E22*100</f>
        <v>69.166666666666671</v>
      </c>
      <c r="I22" s="1437">
        <f>D22/E22*100</f>
        <v>13.750000000000002</v>
      </c>
      <c r="J22" s="1"/>
    </row>
    <row r="23" spans="1:10" ht="13.5" customHeight="1" x14ac:dyDescent="0.2">
      <c r="A23" s="5" t="s">
        <v>24</v>
      </c>
      <c r="B23" s="519">
        <f>T_21!B6</f>
        <v>15</v>
      </c>
      <c r="C23" s="520">
        <f>T_21!C6</f>
        <v>139</v>
      </c>
      <c r="D23" s="483">
        <f>T_21!D6</f>
        <v>9</v>
      </c>
      <c r="E23" s="509">
        <f t="shared" ref="E23:E53" si="7">SUM(B23:D23)</f>
        <v>163</v>
      </c>
      <c r="F23" s="177"/>
      <c r="G23" s="1438">
        <f t="shared" ref="G23:G53" si="8">B23/E23*100</f>
        <v>9.2024539877300615</v>
      </c>
      <c r="H23" s="1439">
        <f t="shared" ref="H23:H53" si="9">C23/E23*100</f>
        <v>85.276073619631902</v>
      </c>
      <c r="I23" s="1440">
        <f t="shared" ref="I23:I53" si="10">D23/E23*100</f>
        <v>5.5214723926380369</v>
      </c>
      <c r="J23" s="1"/>
    </row>
    <row r="24" spans="1:10" ht="13.5" customHeight="1" x14ac:dyDescent="0.2">
      <c r="A24" s="355" t="s">
        <v>25</v>
      </c>
      <c r="B24" s="613">
        <f>T_21!B7</f>
        <v>14</v>
      </c>
      <c r="C24" s="614">
        <f>T_21!C7</f>
        <v>51</v>
      </c>
      <c r="D24" s="615">
        <f>T_21!D7</f>
        <v>13</v>
      </c>
      <c r="E24" s="735">
        <f t="shared" si="7"/>
        <v>78</v>
      </c>
      <c r="F24" s="177"/>
      <c r="G24" s="1435">
        <f t="shared" si="8"/>
        <v>17.948717948717949</v>
      </c>
      <c r="H24" s="1436">
        <f t="shared" si="9"/>
        <v>65.384615384615387</v>
      </c>
      <c r="I24" s="1437">
        <f t="shared" si="10"/>
        <v>16.666666666666664</v>
      </c>
      <c r="J24" s="1"/>
    </row>
    <row r="25" spans="1:10" ht="13.5" customHeight="1" x14ac:dyDescent="0.2">
      <c r="A25" s="5" t="s">
        <v>26</v>
      </c>
      <c r="B25" s="519">
        <f>T_21!B8</f>
        <v>4</v>
      </c>
      <c r="C25" s="520">
        <f>T_21!C8</f>
        <v>67</v>
      </c>
      <c r="D25" s="483">
        <f>T_21!D8</f>
        <v>5</v>
      </c>
      <c r="E25" s="509">
        <f t="shared" si="7"/>
        <v>76</v>
      </c>
      <c r="F25" s="177"/>
      <c r="G25" s="1438">
        <f t="shared" si="8"/>
        <v>5.2631578947368416</v>
      </c>
      <c r="H25" s="1439">
        <f t="shared" si="9"/>
        <v>88.157894736842096</v>
      </c>
      <c r="I25" s="1440">
        <f t="shared" si="10"/>
        <v>6.5789473684210522</v>
      </c>
      <c r="J25" s="1"/>
    </row>
    <row r="26" spans="1:10" ht="13.5" customHeight="1" x14ac:dyDescent="0.2">
      <c r="A26" s="355" t="s">
        <v>27</v>
      </c>
      <c r="B26" s="613">
        <f>T_21!B9</f>
        <v>17</v>
      </c>
      <c r="C26" s="614">
        <f>T_21!C9</f>
        <v>22</v>
      </c>
      <c r="D26" s="615">
        <f>T_21!D9</f>
        <v>8</v>
      </c>
      <c r="E26" s="735">
        <f t="shared" si="7"/>
        <v>47</v>
      </c>
      <c r="F26" s="177"/>
      <c r="G26" s="1435">
        <f t="shared" si="8"/>
        <v>36.170212765957451</v>
      </c>
      <c r="H26" s="1436">
        <f t="shared" si="9"/>
        <v>46.808510638297875</v>
      </c>
      <c r="I26" s="1437">
        <f t="shared" si="10"/>
        <v>17.021276595744681</v>
      </c>
      <c r="J26" s="1"/>
    </row>
    <row r="27" spans="1:10" ht="13.5" customHeight="1" x14ac:dyDescent="0.2">
      <c r="A27" s="5" t="s">
        <v>28</v>
      </c>
      <c r="B27" s="519">
        <f>T_21!B10</f>
        <v>8</v>
      </c>
      <c r="C27" s="520">
        <f>T_21!C10</f>
        <v>81</v>
      </c>
      <c r="D27" s="483">
        <f>T_21!D10</f>
        <v>2</v>
      </c>
      <c r="E27" s="509">
        <f t="shared" si="7"/>
        <v>91</v>
      </c>
      <c r="F27" s="177"/>
      <c r="G27" s="1438">
        <f t="shared" si="8"/>
        <v>8.791208791208792</v>
      </c>
      <c r="H27" s="1439">
        <f t="shared" si="9"/>
        <v>89.010989010989007</v>
      </c>
      <c r="I27" s="1440">
        <f t="shared" si="10"/>
        <v>2.197802197802198</v>
      </c>
      <c r="J27" s="1"/>
    </row>
    <row r="28" spans="1:10" ht="13.5" customHeight="1" x14ac:dyDescent="0.2">
      <c r="A28" s="355" t="s">
        <v>29</v>
      </c>
      <c r="B28" s="613">
        <f>T_21!B11</f>
        <v>41</v>
      </c>
      <c r="C28" s="614">
        <f>T_21!C11</f>
        <v>121</v>
      </c>
      <c r="D28" s="615">
        <f>T_21!D11</f>
        <v>34</v>
      </c>
      <c r="E28" s="735">
        <f t="shared" si="7"/>
        <v>196</v>
      </c>
      <c r="F28" s="177"/>
      <c r="G28" s="1435">
        <f t="shared" si="8"/>
        <v>20.918367346938776</v>
      </c>
      <c r="H28" s="1436">
        <f t="shared" si="9"/>
        <v>61.734693877551017</v>
      </c>
      <c r="I28" s="1437">
        <f t="shared" si="10"/>
        <v>17.346938775510203</v>
      </c>
      <c r="J28" s="1"/>
    </row>
    <row r="29" spans="1:10" ht="13.5" customHeight="1" x14ac:dyDescent="0.2">
      <c r="A29" s="5" t="s">
        <v>30</v>
      </c>
      <c r="B29" s="519">
        <f>T_21!B12</f>
        <v>12</v>
      </c>
      <c r="C29" s="520">
        <f>T_21!C12</f>
        <v>56</v>
      </c>
      <c r="D29" s="483">
        <f>T_21!D12</f>
        <v>8</v>
      </c>
      <c r="E29" s="509">
        <f t="shared" si="7"/>
        <v>76</v>
      </c>
      <c r="F29" s="177"/>
      <c r="G29" s="1438">
        <f t="shared" si="8"/>
        <v>15.789473684210526</v>
      </c>
      <c r="H29" s="1439">
        <f t="shared" si="9"/>
        <v>73.68421052631578</v>
      </c>
      <c r="I29" s="1440">
        <f t="shared" si="10"/>
        <v>10.526315789473683</v>
      </c>
      <c r="J29" s="1"/>
    </row>
    <row r="30" spans="1:10" ht="13.5" customHeight="1" x14ac:dyDescent="0.2">
      <c r="A30" s="355" t="s">
        <v>31</v>
      </c>
      <c r="B30" s="613">
        <f>T_21!B13</f>
        <v>3</v>
      </c>
      <c r="C30" s="614">
        <f>T_21!C13</f>
        <v>58</v>
      </c>
      <c r="D30" s="615">
        <f>T_21!D13</f>
        <v>4</v>
      </c>
      <c r="E30" s="735">
        <f t="shared" si="7"/>
        <v>65</v>
      </c>
      <c r="F30" s="177"/>
      <c r="G30" s="1435">
        <f t="shared" si="8"/>
        <v>4.6153846153846159</v>
      </c>
      <c r="H30" s="1436">
        <f t="shared" si="9"/>
        <v>89.230769230769241</v>
      </c>
      <c r="I30" s="1437">
        <f t="shared" si="10"/>
        <v>6.1538461538461542</v>
      </c>
      <c r="J30" s="1"/>
    </row>
    <row r="31" spans="1:10" ht="13.5" customHeight="1" x14ac:dyDescent="0.2">
      <c r="A31" s="5" t="s">
        <v>32</v>
      </c>
      <c r="B31" s="519">
        <f>T_21!B14</f>
        <v>4</v>
      </c>
      <c r="C31" s="520">
        <f>T_21!C14</f>
        <v>58</v>
      </c>
      <c r="D31" s="483">
        <f>T_21!D14</f>
        <v>7</v>
      </c>
      <c r="E31" s="509">
        <f t="shared" si="7"/>
        <v>69</v>
      </c>
      <c r="F31" s="177"/>
      <c r="G31" s="1438">
        <f t="shared" si="8"/>
        <v>5.7971014492753623</v>
      </c>
      <c r="H31" s="1439">
        <f t="shared" si="9"/>
        <v>84.05797101449275</v>
      </c>
      <c r="I31" s="1440">
        <f t="shared" si="10"/>
        <v>10.144927536231885</v>
      </c>
      <c r="J31" s="1"/>
    </row>
    <row r="32" spans="1:10" ht="13.5" customHeight="1" x14ac:dyDescent="0.2">
      <c r="A32" s="355" t="s">
        <v>33</v>
      </c>
      <c r="B32" s="613">
        <f>T_21!B15</f>
        <v>7</v>
      </c>
      <c r="C32" s="614">
        <f>T_21!C15</f>
        <v>65</v>
      </c>
      <c r="D32" s="615">
        <f>T_21!D15</f>
        <v>7</v>
      </c>
      <c r="E32" s="735">
        <f t="shared" si="7"/>
        <v>79</v>
      </c>
      <c r="F32" s="177"/>
      <c r="G32" s="1435">
        <f t="shared" si="8"/>
        <v>8.8607594936708853</v>
      </c>
      <c r="H32" s="1436">
        <f t="shared" si="9"/>
        <v>82.278481012658233</v>
      </c>
      <c r="I32" s="1437">
        <f t="shared" si="10"/>
        <v>8.8607594936708853</v>
      </c>
      <c r="J32" s="1"/>
    </row>
    <row r="33" spans="1:10" ht="13.5" customHeight="1" x14ac:dyDescent="0.2">
      <c r="A33" s="5" t="s">
        <v>137</v>
      </c>
      <c r="B33" s="519">
        <f>T_21!B16</f>
        <v>65</v>
      </c>
      <c r="C33" s="520">
        <f>T_21!C16</f>
        <v>307</v>
      </c>
      <c r="D33" s="483">
        <f>T_21!D16</f>
        <v>88</v>
      </c>
      <c r="E33" s="509">
        <f t="shared" si="7"/>
        <v>460</v>
      </c>
      <c r="F33" s="177"/>
      <c r="G33" s="1438">
        <f t="shared" si="8"/>
        <v>14.130434782608695</v>
      </c>
      <c r="H33" s="1439">
        <f t="shared" si="9"/>
        <v>66.739130434782609</v>
      </c>
      <c r="I33" s="1440">
        <f t="shared" si="10"/>
        <v>19.130434782608695</v>
      </c>
      <c r="J33" s="1"/>
    </row>
    <row r="34" spans="1:10" ht="13.5" customHeight="1" x14ac:dyDescent="0.2">
      <c r="A34" s="355" t="s">
        <v>34</v>
      </c>
      <c r="B34" s="613">
        <f>T_21!B17</f>
        <v>13</v>
      </c>
      <c r="C34" s="614">
        <f>T_21!C17</f>
        <v>75</v>
      </c>
      <c r="D34" s="615">
        <f>T_21!D17</f>
        <v>18</v>
      </c>
      <c r="E34" s="735">
        <f t="shared" si="7"/>
        <v>106</v>
      </c>
      <c r="F34" s="177"/>
      <c r="G34" s="1435">
        <f t="shared" si="8"/>
        <v>12.264150943396226</v>
      </c>
      <c r="H34" s="1436">
        <f t="shared" si="9"/>
        <v>70.754716981132077</v>
      </c>
      <c r="I34" s="1437">
        <f t="shared" si="10"/>
        <v>16.981132075471699</v>
      </c>
      <c r="J34" s="1"/>
    </row>
    <row r="35" spans="1:10" ht="13.5" customHeight="1" x14ac:dyDescent="0.2">
      <c r="A35" s="5" t="s">
        <v>35</v>
      </c>
      <c r="B35" s="519">
        <f>T_21!B18</f>
        <v>41</v>
      </c>
      <c r="C35" s="520">
        <f>T_21!C18</f>
        <v>205</v>
      </c>
      <c r="D35" s="483">
        <f>T_21!D18</f>
        <v>40</v>
      </c>
      <c r="E35" s="509">
        <f t="shared" si="7"/>
        <v>286</v>
      </c>
      <c r="F35" s="177"/>
      <c r="G35" s="1438">
        <f t="shared" si="8"/>
        <v>14.335664335664337</v>
      </c>
      <c r="H35" s="1439">
        <f t="shared" si="9"/>
        <v>71.67832167832168</v>
      </c>
      <c r="I35" s="1440">
        <f t="shared" si="10"/>
        <v>13.986013986013987</v>
      </c>
      <c r="J35" s="1"/>
    </row>
    <row r="36" spans="1:10" ht="13.5" customHeight="1" x14ac:dyDescent="0.2">
      <c r="A36" s="355" t="s">
        <v>36</v>
      </c>
      <c r="B36" s="613">
        <f>T_21!B19</f>
        <v>149</v>
      </c>
      <c r="C36" s="614">
        <f>T_21!C19</f>
        <v>573</v>
      </c>
      <c r="D36" s="615">
        <f>T_21!D19</f>
        <v>125</v>
      </c>
      <c r="E36" s="735">
        <f t="shared" si="7"/>
        <v>847</v>
      </c>
      <c r="F36" s="177"/>
      <c r="G36" s="1435">
        <f t="shared" si="8"/>
        <v>17.591499409681226</v>
      </c>
      <c r="H36" s="1436">
        <f t="shared" si="9"/>
        <v>67.650531286894918</v>
      </c>
      <c r="I36" s="1437">
        <f t="shared" si="10"/>
        <v>14.757969303423849</v>
      </c>
      <c r="J36" s="1"/>
    </row>
    <row r="37" spans="1:10" ht="13.5" customHeight="1" x14ac:dyDescent="0.2">
      <c r="A37" s="435" t="s">
        <v>37</v>
      </c>
      <c r="B37" s="736">
        <f>T_21!B20</f>
        <v>12</v>
      </c>
      <c r="C37" s="607">
        <f>T_21!C20</f>
        <v>116</v>
      </c>
      <c r="D37" s="737">
        <f>T_21!D20</f>
        <v>18</v>
      </c>
      <c r="E37" s="509">
        <f t="shared" si="7"/>
        <v>146</v>
      </c>
      <c r="F37" s="177"/>
      <c r="G37" s="1438">
        <f t="shared" si="8"/>
        <v>8.2191780821917799</v>
      </c>
      <c r="H37" s="1439">
        <f t="shared" si="9"/>
        <v>79.452054794520549</v>
      </c>
      <c r="I37" s="1440">
        <f t="shared" si="10"/>
        <v>12.328767123287671</v>
      </c>
      <c r="J37" s="1"/>
    </row>
    <row r="38" spans="1:10" ht="13.5" customHeight="1" x14ac:dyDescent="0.2">
      <c r="A38" s="355" t="s">
        <v>38</v>
      </c>
      <c r="B38" s="613">
        <f>T_21!B21</f>
        <v>12</v>
      </c>
      <c r="C38" s="614">
        <f>T_21!C21</f>
        <v>64</v>
      </c>
      <c r="D38" s="615">
        <f>T_21!D21</f>
        <v>8</v>
      </c>
      <c r="E38" s="735">
        <f t="shared" si="7"/>
        <v>84</v>
      </c>
      <c r="F38" s="177"/>
      <c r="G38" s="1435">
        <f t="shared" si="8"/>
        <v>14.285714285714285</v>
      </c>
      <c r="H38" s="1436">
        <f t="shared" si="9"/>
        <v>76.19047619047619</v>
      </c>
      <c r="I38" s="1437">
        <f t="shared" si="10"/>
        <v>9.5238095238095237</v>
      </c>
      <c r="J38" s="1"/>
    </row>
    <row r="39" spans="1:10" ht="13.5" customHeight="1" x14ac:dyDescent="0.2">
      <c r="A39" s="5" t="s">
        <v>39</v>
      </c>
      <c r="B39" s="519">
        <f>T_21!B22</f>
        <v>4</v>
      </c>
      <c r="C39" s="520">
        <f>T_21!C22</f>
        <v>50</v>
      </c>
      <c r="D39" s="483">
        <f>T_21!D22</f>
        <v>6</v>
      </c>
      <c r="E39" s="509">
        <f t="shared" si="7"/>
        <v>60</v>
      </c>
      <c r="F39" s="177"/>
      <c r="G39" s="1438">
        <f t="shared" si="8"/>
        <v>6.666666666666667</v>
      </c>
      <c r="H39" s="1439">
        <f t="shared" si="9"/>
        <v>83.333333333333343</v>
      </c>
      <c r="I39" s="1440">
        <f t="shared" si="10"/>
        <v>10</v>
      </c>
      <c r="J39" s="1"/>
    </row>
    <row r="40" spans="1:10" ht="13.5" customHeight="1" x14ac:dyDescent="0.2">
      <c r="A40" s="355" t="s">
        <v>40</v>
      </c>
      <c r="B40" s="613">
        <f>T_21!B23</f>
        <v>6</v>
      </c>
      <c r="C40" s="614">
        <f>T_21!C23</f>
        <v>27</v>
      </c>
      <c r="D40" s="615">
        <f>T_21!D23</f>
        <v>2</v>
      </c>
      <c r="E40" s="735">
        <f t="shared" si="7"/>
        <v>35</v>
      </c>
      <c r="F40" s="177"/>
      <c r="G40" s="1435">
        <f t="shared" si="8"/>
        <v>17.142857142857142</v>
      </c>
      <c r="H40" s="1436">
        <f t="shared" si="9"/>
        <v>77.142857142857153</v>
      </c>
      <c r="I40" s="1437">
        <f t="shared" si="10"/>
        <v>5.7142857142857144</v>
      </c>
      <c r="J40" s="1"/>
    </row>
    <row r="41" spans="1:10" ht="13.5" customHeight="1" x14ac:dyDescent="0.2">
      <c r="A41" s="5" t="s">
        <v>393</v>
      </c>
      <c r="B41" s="519">
        <f>T_21!B24</f>
        <v>1</v>
      </c>
      <c r="C41" s="520">
        <f>T_21!C24</f>
        <v>15</v>
      </c>
      <c r="D41" s="483">
        <f>T_21!D24</f>
        <v>0</v>
      </c>
      <c r="E41" s="509">
        <f t="shared" si="7"/>
        <v>16</v>
      </c>
      <c r="F41" s="177"/>
      <c r="G41" s="1438">
        <f t="shared" si="8"/>
        <v>6.25</v>
      </c>
      <c r="H41" s="1439">
        <f t="shared" si="9"/>
        <v>93.75</v>
      </c>
      <c r="I41" s="1440">
        <f t="shared" si="10"/>
        <v>0</v>
      </c>
      <c r="J41" s="1"/>
    </row>
    <row r="42" spans="1:10" ht="13.5" customHeight="1" x14ac:dyDescent="0.2">
      <c r="A42" s="355" t="s">
        <v>41</v>
      </c>
      <c r="B42" s="613">
        <f>T_21!B25</f>
        <v>25</v>
      </c>
      <c r="C42" s="614">
        <f>T_21!C25</f>
        <v>105</v>
      </c>
      <c r="D42" s="615">
        <f>T_21!D25</f>
        <v>17</v>
      </c>
      <c r="E42" s="735">
        <f t="shared" si="7"/>
        <v>147</v>
      </c>
      <c r="F42" s="177"/>
      <c r="G42" s="1435">
        <f t="shared" si="8"/>
        <v>17.006802721088434</v>
      </c>
      <c r="H42" s="1436">
        <f t="shared" si="9"/>
        <v>71.428571428571431</v>
      </c>
      <c r="I42" s="1437">
        <f t="shared" si="10"/>
        <v>11.564625850340136</v>
      </c>
      <c r="J42" s="1"/>
    </row>
    <row r="43" spans="1:10" ht="13.5" customHeight="1" x14ac:dyDescent="0.2">
      <c r="A43" s="5" t="s">
        <v>42</v>
      </c>
      <c r="B43" s="519">
        <f>T_21!B26</f>
        <v>50</v>
      </c>
      <c r="C43" s="520">
        <f>T_21!C26</f>
        <v>167</v>
      </c>
      <c r="D43" s="483">
        <f>T_21!D26</f>
        <v>45</v>
      </c>
      <c r="E43" s="509">
        <f t="shared" si="7"/>
        <v>262</v>
      </c>
      <c r="F43" s="177"/>
      <c r="G43" s="1438">
        <f t="shared" si="8"/>
        <v>19.083969465648856</v>
      </c>
      <c r="H43" s="1439">
        <f t="shared" si="9"/>
        <v>63.74045801526718</v>
      </c>
      <c r="I43" s="1440">
        <f t="shared" si="10"/>
        <v>17.175572519083971</v>
      </c>
      <c r="J43" s="1"/>
    </row>
    <row r="44" spans="1:10" ht="13.5" customHeight="1" x14ac:dyDescent="0.2">
      <c r="A44" s="355" t="s">
        <v>43</v>
      </c>
      <c r="B44" s="613">
        <f>T_21!B27</f>
        <v>1</v>
      </c>
      <c r="C44" s="614">
        <f>T_21!C27</f>
        <v>5</v>
      </c>
      <c r="D44" s="615">
        <f>T_21!D27</f>
        <v>1</v>
      </c>
      <c r="E44" s="735">
        <f t="shared" si="7"/>
        <v>7</v>
      </c>
      <c r="F44" s="177"/>
      <c r="G44" s="1435">
        <f t="shared" si="8"/>
        <v>14.285714285714285</v>
      </c>
      <c r="H44" s="1436">
        <f t="shared" si="9"/>
        <v>71.428571428571431</v>
      </c>
      <c r="I44" s="1437">
        <f t="shared" si="10"/>
        <v>14.285714285714285</v>
      </c>
      <c r="J44" s="1"/>
    </row>
    <row r="45" spans="1:10" ht="13.5" customHeight="1" x14ac:dyDescent="0.2">
      <c r="A45" s="5" t="s">
        <v>44</v>
      </c>
      <c r="B45" s="519">
        <f>T_21!B28</f>
        <v>11</v>
      </c>
      <c r="C45" s="520">
        <f>T_21!C28</f>
        <v>98</v>
      </c>
      <c r="D45" s="483">
        <f>T_21!D28</f>
        <v>4</v>
      </c>
      <c r="E45" s="509">
        <f t="shared" si="7"/>
        <v>113</v>
      </c>
      <c r="F45" s="177"/>
      <c r="G45" s="1438">
        <f t="shared" si="8"/>
        <v>9.7345132743362832</v>
      </c>
      <c r="H45" s="1439">
        <f t="shared" si="9"/>
        <v>86.725663716814154</v>
      </c>
      <c r="I45" s="1440">
        <f t="shared" si="10"/>
        <v>3.5398230088495577</v>
      </c>
      <c r="J45" s="1"/>
    </row>
    <row r="46" spans="1:10" ht="13.5" customHeight="1" x14ac:dyDescent="0.2">
      <c r="A46" s="355" t="s">
        <v>45</v>
      </c>
      <c r="B46" s="613">
        <f>T_21!B29</f>
        <v>37</v>
      </c>
      <c r="C46" s="614">
        <f>T_21!C29</f>
        <v>136</v>
      </c>
      <c r="D46" s="615">
        <f>T_21!D29</f>
        <v>18</v>
      </c>
      <c r="E46" s="735">
        <f t="shared" si="7"/>
        <v>191</v>
      </c>
      <c r="F46" s="177"/>
      <c r="G46" s="1435">
        <f t="shared" si="8"/>
        <v>19.3717277486911</v>
      </c>
      <c r="H46" s="1436">
        <f t="shared" si="9"/>
        <v>71.204188481675388</v>
      </c>
      <c r="I46" s="1437">
        <f t="shared" si="10"/>
        <v>9.4240837696335085</v>
      </c>
      <c r="J46" s="1"/>
    </row>
    <row r="47" spans="1:10" ht="13.5" customHeight="1" x14ac:dyDescent="0.2">
      <c r="A47" s="30" t="s">
        <v>46</v>
      </c>
      <c r="B47" s="504">
        <f>T_21!B30</f>
        <v>10</v>
      </c>
      <c r="C47" s="507">
        <f>T_21!C30</f>
        <v>78</v>
      </c>
      <c r="D47" s="483">
        <f>T_21!D30</f>
        <v>4</v>
      </c>
      <c r="E47" s="509">
        <f t="shared" si="7"/>
        <v>92</v>
      </c>
      <c r="F47" s="177"/>
      <c r="G47" s="1438">
        <f t="shared" si="8"/>
        <v>10.869565217391305</v>
      </c>
      <c r="H47" s="1439">
        <f t="shared" si="9"/>
        <v>84.782608695652172</v>
      </c>
      <c r="I47" s="1440">
        <f t="shared" si="10"/>
        <v>4.3478260869565215</v>
      </c>
      <c r="J47" s="1"/>
    </row>
    <row r="48" spans="1:10" ht="13.5" customHeight="1" x14ac:dyDescent="0.2">
      <c r="A48" s="355" t="s">
        <v>47</v>
      </c>
      <c r="B48" s="613">
        <f>T_21!B31</f>
        <v>0</v>
      </c>
      <c r="C48" s="614">
        <f>T_21!C31</f>
        <v>12</v>
      </c>
      <c r="D48" s="615">
        <f>T_21!D31</f>
        <v>0</v>
      </c>
      <c r="E48" s="735">
        <f t="shared" si="7"/>
        <v>12</v>
      </c>
      <c r="F48" s="177"/>
      <c r="G48" s="1435">
        <f t="shared" si="8"/>
        <v>0</v>
      </c>
      <c r="H48" s="1436">
        <f t="shared" si="9"/>
        <v>100</v>
      </c>
      <c r="I48" s="1437">
        <f t="shared" si="10"/>
        <v>0</v>
      </c>
      <c r="J48" s="1"/>
    </row>
    <row r="49" spans="1:11" ht="13.5" customHeight="1" x14ac:dyDescent="0.2">
      <c r="A49" s="5" t="s">
        <v>48</v>
      </c>
      <c r="B49" s="519">
        <f>T_21!B32</f>
        <v>11</v>
      </c>
      <c r="C49" s="520">
        <f>T_21!C32</f>
        <v>71</v>
      </c>
      <c r="D49" s="483">
        <f>T_21!D32</f>
        <v>13</v>
      </c>
      <c r="E49" s="509">
        <f t="shared" si="7"/>
        <v>95</v>
      </c>
      <c r="F49" s="177"/>
      <c r="G49" s="1438">
        <f t="shared" si="8"/>
        <v>11.578947368421053</v>
      </c>
      <c r="H49" s="1439">
        <f t="shared" si="9"/>
        <v>74.73684210526315</v>
      </c>
      <c r="I49" s="1440">
        <f t="shared" si="10"/>
        <v>13.684210526315791</v>
      </c>
      <c r="J49" s="1"/>
    </row>
    <row r="50" spans="1:11" ht="13.5" customHeight="1" x14ac:dyDescent="0.2">
      <c r="A50" s="355" t="s">
        <v>49</v>
      </c>
      <c r="B50" s="617">
        <f>T_21!B33</f>
        <v>43</v>
      </c>
      <c r="C50" s="738">
        <f>T_21!C33</f>
        <v>163</v>
      </c>
      <c r="D50" s="615">
        <f>T_21!D33</f>
        <v>38</v>
      </c>
      <c r="E50" s="735">
        <f t="shared" si="7"/>
        <v>244</v>
      </c>
      <c r="F50" s="177"/>
      <c r="G50" s="1435">
        <f t="shared" si="8"/>
        <v>17.622950819672131</v>
      </c>
      <c r="H50" s="1436">
        <f t="shared" si="9"/>
        <v>66.803278688524586</v>
      </c>
      <c r="I50" s="1437">
        <f t="shared" si="10"/>
        <v>15.573770491803279</v>
      </c>
      <c r="J50" s="1"/>
    </row>
    <row r="51" spans="1:11" ht="13.5" customHeight="1" x14ac:dyDescent="0.2">
      <c r="A51" s="5" t="s">
        <v>50</v>
      </c>
      <c r="B51" s="519">
        <f>T_21!B34</f>
        <v>8</v>
      </c>
      <c r="C51" s="520">
        <f>T_21!C34</f>
        <v>65</v>
      </c>
      <c r="D51" s="483">
        <f>T_21!D34</f>
        <v>6</v>
      </c>
      <c r="E51" s="509">
        <f t="shared" si="7"/>
        <v>79</v>
      </c>
      <c r="F51" s="177"/>
      <c r="G51" s="1438">
        <f t="shared" si="8"/>
        <v>10.126582278481013</v>
      </c>
      <c r="H51" s="1439">
        <f t="shared" si="9"/>
        <v>82.278481012658233</v>
      </c>
      <c r="I51" s="1440">
        <f t="shared" si="10"/>
        <v>7.59493670886076</v>
      </c>
      <c r="J51" s="1"/>
    </row>
    <row r="52" spans="1:11" ht="13.5" customHeight="1" x14ac:dyDescent="0.2">
      <c r="A52" s="355" t="s">
        <v>51</v>
      </c>
      <c r="B52" s="613">
        <f>T_21!B35</f>
        <v>32</v>
      </c>
      <c r="C52" s="614">
        <f>T_21!C35</f>
        <v>98</v>
      </c>
      <c r="D52" s="615">
        <f>T_21!D35</f>
        <v>11</v>
      </c>
      <c r="E52" s="735">
        <f t="shared" si="7"/>
        <v>141</v>
      </c>
      <c r="F52" s="177"/>
      <c r="G52" s="1435">
        <f t="shared" si="8"/>
        <v>22.695035460992909</v>
      </c>
      <c r="H52" s="1436">
        <f t="shared" si="9"/>
        <v>69.503546099290787</v>
      </c>
      <c r="I52" s="1437">
        <f t="shared" si="10"/>
        <v>7.8014184397163122</v>
      </c>
      <c r="J52" s="1"/>
    </row>
    <row r="53" spans="1:11" ht="13.5" customHeight="1" x14ac:dyDescent="0.2">
      <c r="A53" s="5" t="s">
        <v>52</v>
      </c>
      <c r="B53" s="519">
        <f>T_21!B36</f>
        <v>16</v>
      </c>
      <c r="C53" s="520">
        <f>T_21!C36</f>
        <v>111</v>
      </c>
      <c r="D53" s="483">
        <f>T_21!D36</f>
        <v>22</v>
      </c>
      <c r="E53" s="509">
        <f t="shared" si="7"/>
        <v>149</v>
      </c>
      <c r="F53" s="177"/>
      <c r="G53" s="1438">
        <f t="shared" si="8"/>
        <v>10.738255033557047</v>
      </c>
      <c r="H53" s="1439">
        <f t="shared" si="9"/>
        <v>74.496644295302019</v>
      </c>
      <c r="I53" s="1440">
        <f t="shared" si="10"/>
        <v>14.76510067114094</v>
      </c>
      <c r="J53" s="1"/>
    </row>
    <row r="54" spans="1:11" ht="13.5" customHeight="1" x14ac:dyDescent="0.2">
      <c r="A54" s="355"/>
      <c r="B54" s="739"/>
      <c r="C54" s="740"/>
      <c r="D54" s="741"/>
      <c r="E54" s="735"/>
      <c r="F54" s="177"/>
      <c r="G54" s="1435"/>
      <c r="H54" s="1436"/>
      <c r="I54" s="1437"/>
      <c r="J54" s="1"/>
    </row>
    <row r="55" spans="1:11" ht="30" customHeight="1" x14ac:dyDescent="0.2">
      <c r="A55" s="232" t="s">
        <v>159</v>
      </c>
      <c r="B55" s="510">
        <f>SUM(B22:B53)</f>
        <v>713</v>
      </c>
      <c r="C55" s="511">
        <f>SUM(C22:C53)</f>
        <v>3425</v>
      </c>
      <c r="D55" s="214">
        <f>SUM(D22:D53)</f>
        <v>614</v>
      </c>
      <c r="E55" s="513">
        <f>SUM(E22:E53)</f>
        <v>4752</v>
      </c>
      <c r="F55" s="177"/>
      <c r="G55" s="1412">
        <f>B55/E55*100</f>
        <v>15.004208754208753</v>
      </c>
      <c r="H55" s="1413">
        <f>C55/E55*100</f>
        <v>72.07491582491582</v>
      </c>
      <c r="I55" s="1414">
        <f>D55/E55*100</f>
        <v>12.920875420875422</v>
      </c>
      <c r="J55" s="1"/>
    </row>
    <row r="56" spans="1:11" x14ac:dyDescent="0.2">
      <c r="A56" s="1"/>
      <c r="B56" s="1"/>
      <c r="C56" s="1"/>
      <c r="D56" s="1"/>
      <c r="E56" s="1"/>
      <c r="F56" s="1"/>
      <c r="G56" s="1"/>
      <c r="H56" s="1"/>
      <c r="I56" s="1"/>
      <c r="J56" s="1"/>
    </row>
    <row r="57" spans="1:11" x14ac:dyDescent="0.2">
      <c r="A57" s="2" t="s">
        <v>162</v>
      </c>
      <c r="B57" s="1"/>
      <c r="C57" s="1"/>
      <c r="D57" s="1"/>
      <c r="E57" s="1"/>
      <c r="F57" s="1"/>
      <c r="G57" s="1"/>
      <c r="H57" s="1"/>
      <c r="I57" s="1"/>
      <c r="J57" s="1"/>
    </row>
    <row r="58" spans="1:11" x14ac:dyDescent="0.2">
      <c r="A58" s="1649" t="s">
        <v>963</v>
      </c>
      <c r="B58" s="1649"/>
      <c r="C58" s="1649"/>
      <c r="D58" s="1649"/>
      <c r="E58" s="1649"/>
      <c r="F58" s="1649"/>
      <c r="G58" s="1649"/>
      <c r="H58" s="1649"/>
      <c r="I58" s="1649"/>
      <c r="J58" s="1649"/>
      <c r="K58" s="1649"/>
    </row>
    <row r="59" spans="1:11" x14ac:dyDescent="0.2">
      <c r="H59" s="1"/>
      <c r="I59" s="1"/>
      <c r="J59" s="1"/>
    </row>
    <row r="60" spans="1:11" x14ac:dyDescent="0.2">
      <c r="A60" s="386" t="s">
        <v>169</v>
      </c>
    </row>
  </sheetData>
  <sheetProtection algorithmName="SHA-512" hashValue="Lh50x+1w9+UQ2YCgZP0G+k6Io7Sjp+N+BvcjCgRYho1/yyJ4hsJa9/obRLQVBAgCs2ylPjwGDQnRM4LvKkrqig==" saltValue="O5we87Tp5GELK6iuf20PJA==" spinCount="100000" sheet="1" objects="1" scenarios="1"/>
  <mergeCells count="10">
    <mergeCell ref="A18:H18"/>
    <mergeCell ref="A58:K58"/>
    <mergeCell ref="A1:I1"/>
    <mergeCell ref="B3:E3"/>
    <mergeCell ref="G3:I3"/>
    <mergeCell ref="B19:C19"/>
    <mergeCell ref="B20:E20"/>
    <mergeCell ref="G20:I20"/>
    <mergeCell ref="A3:A4"/>
    <mergeCell ref="A20:A21"/>
  </mergeCells>
  <hyperlinks>
    <hyperlink ref="A60" location="Contents!A1" display="Return to contents" xr:uid="{00000000-0004-0000-5A00-000000000000}"/>
  </hyperlinks>
  <pageMargins left="0.7" right="0.7" top="0.75" bottom="0.75" header="0.3" footer="0.3"/>
  <pageSetup paperSize="9" scale="68" orientation="portrait" r:id="rId1"/>
  <drawing r:id="rId2"/>
  <extLst>
    <ext xmlns:x14="http://schemas.microsoft.com/office/spreadsheetml/2009/9/main" uri="{A8765BA9-456A-4dab-B4F3-ACF838C121DE}">
      <x14:slicerList>
        <x14:slicer r:id="rId3"/>
      </x14:slicerList>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0"/>
  <dimension ref="A2:D37"/>
  <sheetViews>
    <sheetView workbookViewId="0">
      <selection activeCell="A2" sqref="A2"/>
    </sheetView>
  </sheetViews>
  <sheetFormatPr defaultRowHeight="12.75" x14ac:dyDescent="0.2"/>
  <cols>
    <col min="1" max="1" width="20.28515625" bestFit="1" customWidth="1"/>
    <col min="2" max="2" width="12.7109375" bestFit="1" customWidth="1"/>
    <col min="3" max="3" width="12" bestFit="1" customWidth="1"/>
    <col min="4" max="4" width="19.7109375" bestFit="1" customWidth="1"/>
  </cols>
  <sheetData>
    <row r="2" spans="1:4" x14ac:dyDescent="0.2">
      <c r="A2" s="1300" t="s">
        <v>4</v>
      </c>
      <c r="B2" t="s">
        <v>603</v>
      </c>
    </row>
    <row r="4" spans="1:4" x14ac:dyDescent="0.2">
      <c r="A4" s="1300" t="s">
        <v>658</v>
      </c>
      <c r="B4" t="s">
        <v>856</v>
      </c>
      <c r="C4" t="s">
        <v>857</v>
      </c>
      <c r="D4" t="s">
        <v>858</v>
      </c>
    </row>
    <row r="5" spans="1:4" x14ac:dyDescent="0.2">
      <c r="A5" s="1301" t="s">
        <v>23</v>
      </c>
      <c r="B5">
        <v>41</v>
      </c>
      <c r="C5">
        <v>166</v>
      </c>
      <c r="D5">
        <v>33</v>
      </c>
    </row>
    <row r="6" spans="1:4" x14ac:dyDescent="0.2">
      <c r="A6" s="1301" t="s">
        <v>24</v>
      </c>
      <c r="B6">
        <v>15</v>
      </c>
      <c r="C6">
        <v>139</v>
      </c>
      <c r="D6">
        <v>9</v>
      </c>
    </row>
    <row r="7" spans="1:4" x14ac:dyDescent="0.2">
      <c r="A7" s="1301" t="s">
        <v>25</v>
      </c>
      <c r="B7">
        <v>14</v>
      </c>
      <c r="C7">
        <v>51</v>
      </c>
      <c r="D7">
        <v>13</v>
      </c>
    </row>
    <row r="8" spans="1:4" x14ac:dyDescent="0.2">
      <c r="A8" s="1301" t="s">
        <v>26</v>
      </c>
      <c r="B8">
        <v>4</v>
      </c>
      <c r="C8">
        <v>67</v>
      </c>
      <c r="D8">
        <v>5</v>
      </c>
    </row>
    <row r="9" spans="1:4" x14ac:dyDescent="0.2">
      <c r="A9" s="1301" t="s">
        <v>27</v>
      </c>
      <c r="B9">
        <v>17</v>
      </c>
      <c r="C9">
        <v>22</v>
      </c>
      <c r="D9">
        <v>8</v>
      </c>
    </row>
    <row r="10" spans="1:4" x14ac:dyDescent="0.2">
      <c r="A10" s="1301" t="s">
        <v>28</v>
      </c>
      <c r="B10">
        <v>8</v>
      </c>
      <c r="C10">
        <v>81</v>
      </c>
      <c r="D10">
        <v>2</v>
      </c>
    </row>
    <row r="11" spans="1:4" x14ac:dyDescent="0.2">
      <c r="A11" s="1301" t="s">
        <v>29</v>
      </c>
      <c r="B11">
        <v>41</v>
      </c>
      <c r="C11">
        <v>121</v>
      </c>
      <c r="D11">
        <v>34</v>
      </c>
    </row>
    <row r="12" spans="1:4" x14ac:dyDescent="0.2">
      <c r="A12" s="1301" t="s">
        <v>30</v>
      </c>
      <c r="B12">
        <v>12</v>
      </c>
      <c r="C12">
        <v>56</v>
      </c>
      <c r="D12">
        <v>8</v>
      </c>
    </row>
    <row r="13" spans="1:4" x14ac:dyDescent="0.2">
      <c r="A13" s="1301" t="s">
        <v>31</v>
      </c>
      <c r="B13">
        <v>3</v>
      </c>
      <c r="C13">
        <v>58</v>
      </c>
      <c r="D13">
        <v>4</v>
      </c>
    </row>
    <row r="14" spans="1:4" x14ac:dyDescent="0.2">
      <c r="A14" s="1301" t="s">
        <v>32</v>
      </c>
      <c r="B14">
        <v>4</v>
      </c>
      <c r="C14">
        <v>58</v>
      </c>
      <c r="D14">
        <v>7</v>
      </c>
    </row>
    <row r="15" spans="1:4" x14ac:dyDescent="0.2">
      <c r="A15" s="1301" t="s">
        <v>33</v>
      </c>
      <c r="B15">
        <v>7</v>
      </c>
      <c r="C15">
        <v>65</v>
      </c>
      <c r="D15">
        <v>7</v>
      </c>
    </row>
    <row r="16" spans="1:4" x14ac:dyDescent="0.2">
      <c r="A16" s="1301" t="s">
        <v>665</v>
      </c>
      <c r="B16">
        <v>65</v>
      </c>
      <c r="C16">
        <v>307</v>
      </c>
      <c r="D16">
        <v>88</v>
      </c>
    </row>
    <row r="17" spans="1:4" x14ac:dyDescent="0.2">
      <c r="A17" s="1301" t="s">
        <v>34</v>
      </c>
      <c r="B17">
        <v>13</v>
      </c>
      <c r="C17">
        <v>75</v>
      </c>
      <c r="D17">
        <v>18</v>
      </c>
    </row>
    <row r="18" spans="1:4" x14ac:dyDescent="0.2">
      <c r="A18" s="1301" t="s">
        <v>35</v>
      </c>
      <c r="B18">
        <v>41</v>
      </c>
      <c r="C18">
        <v>205</v>
      </c>
      <c r="D18">
        <v>40</v>
      </c>
    </row>
    <row r="19" spans="1:4" x14ac:dyDescent="0.2">
      <c r="A19" s="1301" t="s">
        <v>36</v>
      </c>
      <c r="B19">
        <v>149</v>
      </c>
      <c r="C19">
        <v>573</v>
      </c>
      <c r="D19">
        <v>125</v>
      </c>
    </row>
    <row r="20" spans="1:4" x14ac:dyDescent="0.2">
      <c r="A20" s="1301" t="s">
        <v>37</v>
      </c>
      <c r="B20">
        <v>12</v>
      </c>
      <c r="C20">
        <v>116</v>
      </c>
      <c r="D20">
        <v>18</v>
      </c>
    </row>
    <row r="21" spans="1:4" x14ac:dyDescent="0.2">
      <c r="A21" s="1301" t="s">
        <v>38</v>
      </c>
      <c r="B21">
        <v>12</v>
      </c>
      <c r="C21">
        <v>64</v>
      </c>
      <c r="D21">
        <v>8</v>
      </c>
    </row>
    <row r="22" spans="1:4" x14ac:dyDescent="0.2">
      <c r="A22" s="1301" t="s">
        <v>39</v>
      </c>
      <c r="B22">
        <v>4</v>
      </c>
      <c r="C22">
        <v>50</v>
      </c>
      <c r="D22">
        <v>6</v>
      </c>
    </row>
    <row r="23" spans="1:4" x14ac:dyDescent="0.2">
      <c r="A23" s="1301" t="s">
        <v>40</v>
      </c>
      <c r="B23">
        <v>6</v>
      </c>
      <c r="C23">
        <v>27</v>
      </c>
      <c r="D23">
        <v>2</v>
      </c>
    </row>
    <row r="24" spans="1:4" x14ac:dyDescent="0.2">
      <c r="A24" s="1301" t="s">
        <v>393</v>
      </c>
      <c r="B24">
        <v>1</v>
      </c>
      <c r="C24">
        <v>15</v>
      </c>
    </row>
    <row r="25" spans="1:4" x14ac:dyDescent="0.2">
      <c r="A25" s="1301" t="s">
        <v>41</v>
      </c>
      <c r="B25">
        <v>25</v>
      </c>
      <c r="C25">
        <v>105</v>
      </c>
      <c r="D25">
        <v>17</v>
      </c>
    </row>
    <row r="26" spans="1:4" x14ac:dyDescent="0.2">
      <c r="A26" s="1301" t="s">
        <v>42</v>
      </c>
      <c r="B26">
        <v>50</v>
      </c>
      <c r="C26">
        <v>167</v>
      </c>
      <c r="D26">
        <v>45</v>
      </c>
    </row>
    <row r="27" spans="1:4" x14ac:dyDescent="0.2">
      <c r="A27" s="1301" t="s">
        <v>43</v>
      </c>
      <c r="B27">
        <v>1</v>
      </c>
      <c r="C27">
        <v>5</v>
      </c>
      <c r="D27">
        <v>1</v>
      </c>
    </row>
    <row r="28" spans="1:4" x14ac:dyDescent="0.2">
      <c r="A28" s="1301" t="s">
        <v>44</v>
      </c>
      <c r="B28">
        <v>11</v>
      </c>
      <c r="C28">
        <v>98</v>
      </c>
      <c r="D28">
        <v>4</v>
      </c>
    </row>
    <row r="29" spans="1:4" x14ac:dyDescent="0.2">
      <c r="A29" s="1301" t="s">
        <v>45</v>
      </c>
      <c r="B29">
        <v>37</v>
      </c>
      <c r="C29">
        <v>136</v>
      </c>
      <c r="D29">
        <v>18</v>
      </c>
    </row>
    <row r="30" spans="1:4" x14ac:dyDescent="0.2">
      <c r="A30" s="1301" t="s">
        <v>46</v>
      </c>
      <c r="B30">
        <v>10</v>
      </c>
      <c r="C30">
        <v>78</v>
      </c>
      <c r="D30">
        <v>4</v>
      </c>
    </row>
    <row r="31" spans="1:4" x14ac:dyDescent="0.2">
      <c r="A31" s="1301" t="s">
        <v>47</v>
      </c>
      <c r="C31">
        <v>12</v>
      </c>
    </row>
    <row r="32" spans="1:4" x14ac:dyDescent="0.2">
      <c r="A32" s="1301" t="s">
        <v>48</v>
      </c>
      <c r="B32">
        <v>11</v>
      </c>
      <c r="C32">
        <v>71</v>
      </c>
      <c r="D32">
        <v>13</v>
      </c>
    </row>
    <row r="33" spans="1:4" x14ac:dyDescent="0.2">
      <c r="A33" s="1301" t="s">
        <v>49</v>
      </c>
      <c r="B33">
        <v>43</v>
      </c>
      <c r="C33">
        <v>163</v>
      </c>
      <c r="D33">
        <v>38</v>
      </c>
    </row>
    <row r="34" spans="1:4" x14ac:dyDescent="0.2">
      <c r="A34" s="1301" t="s">
        <v>50</v>
      </c>
      <c r="B34">
        <v>8</v>
      </c>
      <c r="C34">
        <v>65</v>
      </c>
      <c r="D34">
        <v>6</v>
      </c>
    </row>
    <row r="35" spans="1:4" x14ac:dyDescent="0.2">
      <c r="A35" s="1301" t="s">
        <v>51</v>
      </c>
      <c r="B35">
        <v>32</v>
      </c>
      <c r="C35">
        <v>98</v>
      </c>
      <c r="D35">
        <v>11</v>
      </c>
    </row>
    <row r="36" spans="1:4" x14ac:dyDescent="0.2">
      <c r="A36" s="1301" t="s">
        <v>52</v>
      </c>
      <c r="B36">
        <v>16</v>
      </c>
      <c r="C36">
        <v>111</v>
      </c>
      <c r="D36">
        <v>22</v>
      </c>
    </row>
    <row r="37" spans="1:4" x14ac:dyDescent="0.2">
      <c r="A37" s="1301" t="s">
        <v>666</v>
      </c>
      <c r="B37">
        <v>713</v>
      </c>
      <c r="C37">
        <v>3425</v>
      </c>
      <c r="D37">
        <v>614</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43">
    <tabColor theme="4"/>
    <pageSetUpPr fitToPage="1"/>
  </sheetPr>
  <dimension ref="A1:K37"/>
  <sheetViews>
    <sheetView showGridLines="0" zoomScaleNormal="100" workbookViewId="0">
      <selection sqref="A1:J1"/>
    </sheetView>
  </sheetViews>
  <sheetFormatPr defaultRowHeight="12.75" x14ac:dyDescent="0.2"/>
  <cols>
    <col min="1" max="1" width="14.140625" customWidth="1"/>
    <col min="2" max="2" width="12.28515625" customWidth="1"/>
    <col min="3" max="3" width="11.85546875" customWidth="1"/>
    <col min="4" max="4" width="12.85546875" customWidth="1"/>
    <col min="5" max="5" width="12.5703125" customWidth="1"/>
    <col min="6" max="6" width="5.85546875" customWidth="1"/>
    <col min="7" max="7" width="12.7109375" customWidth="1"/>
    <col min="8" max="9" width="11.140625" customWidth="1"/>
    <col min="10" max="10" width="14.140625" customWidth="1"/>
  </cols>
  <sheetData>
    <row r="1" spans="1:11" ht="38.25" customHeight="1" x14ac:dyDescent="0.2">
      <c r="A1" s="1752" t="s">
        <v>642</v>
      </c>
      <c r="B1" s="1752"/>
      <c r="C1" s="1752"/>
      <c r="D1" s="1752"/>
      <c r="E1" s="1752"/>
      <c r="F1" s="1752"/>
      <c r="G1" s="1752"/>
      <c r="H1" s="1752"/>
      <c r="I1" s="1752"/>
      <c r="J1" s="1752"/>
      <c r="K1" s="1"/>
    </row>
    <row r="2" spans="1:11" ht="15" x14ac:dyDescent="0.25">
      <c r="A2" s="1"/>
      <c r="B2" s="2"/>
      <c r="C2" s="1"/>
      <c r="D2" s="3"/>
      <c r="E2" s="253" t="s">
        <v>0</v>
      </c>
      <c r="F2" s="2"/>
      <c r="G2" s="2"/>
      <c r="H2" s="3"/>
      <c r="I2" s="1"/>
      <c r="J2" s="253" t="s">
        <v>0</v>
      </c>
      <c r="K2" s="1"/>
    </row>
    <row r="3" spans="1:11" x14ac:dyDescent="0.2">
      <c r="A3" s="1441"/>
      <c r="B3" s="1755" t="s">
        <v>60</v>
      </c>
      <c r="C3" s="1756"/>
      <c r="D3" s="1756"/>
      <c r="E3" s="1757"/>
      <c r="F3" s="1442"/>
      <c r="G3" s="1755" t="s">
        <v>75</v>
      </c>
      <c r="H3" s="1756"/>
      <c r="I3" s="1756"/>
      <c r="J3" s="1757"/>
      <c r="K3" s="1443"/>
    </row>
    <row r="4" spans="1:11" x14ac:dyDescent="0.2">
      <c r="A4" s="1441"/>
      <c r="B4" s="1755" t="s">
        <v>895</v>
      </c>
      <c r="C4" s="1756"/>
      <c r="D4" s="1756"/>
      <c r="E4" s="1757"/>
      <c r="F4" s="1442"/>
      <c r="G4" s="1755" t="s">
        <v>895</v>
      </c>
      <c r="H4" s="1756"/>
      <c r="I4" s="1756"/>
      <c r="J4" s="1757"/>
      <c r="K4" s="1443"/>
    </row>
    <row r="5" spans="1:11" ht="39" customHeight="1" x14ac:dyDescent="0.2">
      <c r="A5" s="17" t="s">
        <v>4</v>
      </c>
      <c r="B5" s="102" t="s">
        <v>286</v>
      </c>
      <c r="C5" s="102" t="s">
        <v>287</v>
      </c>
      <c r="D5" s="102" t="s">
        <v>209</v>
      </c>
      <c r="E5" s="765" t="s">
        <v>11</v>
      </c>
      <c r="F5" s="564"/>
      <c r="G5" s="102" t="s">
        <v>286</v>
      </c>
      <c r="H5" s="102" t="s">
        <v>287</v>
      </c>
      <c r="I5" s="102" t="s">
        <v>209</v>
      </c>
      <c r="J5" s="765" t="s">
        <v>11</v>
      </c>
      <c r="K5" s="1"/>
    </row>
    <row r="6" spans="1:11" ht="18.75" customHeight="1" x14ac:dyDescent="0.2">
      <c r="A6" s="1017" t="s">
        <v>20</v>
      </c>
      <c r="B6" s="380">
        <v>11</v>
      </c>
      <c r="C6" s="380">
        <v>12</v>
      </c>
      <c r="D6" s="576">
        <v>20</v>
      </c>
      <c r="E6" s="40">
        <f>SUM(B6:D6)</f>
        <v>43</v>
      </c>
      <c r="F6" s="7"/>
      <c r="G6" s="93">
        <v>263</v>
      </c>
      <c r="H6" s="380">
        <v>538</v>
      </c>
      <c r="I6" s="576">
        <v>174</v>
      </c>
      <c r="J6" s="40">
        <f>SUM(G6:I6)</f>
        <v>975</v>
      </c>
      <c r="K6" s="1"/>
    </row>
    <row r="7" spans="1:11" ht="13.5" customHeight="1" x14ac:dyDescent="0.2">
      <c r="A7" s="30" t="s">
        <v>13</v>
      </c>
      <c r="B7" s="7">
        <v>14</v>
      </c>
      <c r="C7" s="7">
        <v>13</v>
      </c>
      <c r="D7" s="72">
        <v>20</v>
      </c>
      <c r="E7" s="9">
        <f t="shared" ref="E7:E13" si="0">SUM(B7:D7)</f>
        <v>47</v>
      </c>
      <c r="F7" s="7"/>
      <c r="G7" s="6">
        <v>298</v>
      </c>
      <c r="H7" s="7">
        <v>515</v>
      </c>
      <c r="I7" s="72">
        <v>172</v>
      </c>
      <c r="J7" s="9">
        <f t="shared" ref="J7:J13" si="1">SUM(G7:I7)</f>
        <v>985</v>
      </c>
      <c r="K7" s="1"/>
    </row>
    <row r="8" spans="1:11" ht="13.5" customHeight="1" x14ac:dyDescent="0.2">
      <c r="A8" s="30" t="s">
        <v>15</v>
      </c>
      <c r="B8" s="7">
        <v>12</v>
      </c>
      <c r="C8" s="7">
        <v>10</v>
      </c>
      <c r="D8" s="72">
        <v>14</v>
      </c>
      <c r="E8" s="9">
        <f t="shared" si="0"/>
        <v>36</v>
      </c>
      <c r="F8" s="7"/>
      <c r="G8" s="6">
        <v>277</v>
      </c>
      <c r="H8" s="7">
        <v>608</v>
      </c>
      <c r="I8" s="72">
        <v>129</v>
      </c>
      <c r="J8" s="9">
        <f t="shared" si="1"/>
        <v>1014</v>
      </c>
      <c r="K8" s="1"/>
    </row>
    <row r="9" spans="1:11" ht="13.5" customHeight="1" x14ac:dyDescent="0.2">
      <c r="A9" s="30" t="s">
        <v>17</v>
      </c>
      <c r="B9" s="7">
        <v>6</v>
      </c>
      <c r="C9" s="7">
        <v>6</v>
      </c>
      <c r="D9" s="72">
        <v>13</v>
      </c>
      <c r="E9" s="9">
        <f t="shared" si="0"/>
        <v>25</v>
      </c>
      <c r="F9" s="7"/>
      <c r="G9" s="6">
        <v>341</v>
      </c>
      <c r="H9" s="7">
        <v>510</v>
      </c>
      <c r="I9" s="72">
        <v>135</v>
      </c>
      <c r="J9" s="9">
        <f t="shared" si="1"/>
        <v>986</v>
      </c>
      <c r="K9" s="1"/>
    </row>
    <row r="10" spans="1:11" ht="13.5" customHeight="1" x14ac:dyDescent="0.2">
      <c r="A10" s="30" t="s">
        <v>147</v>
      </c>
      <c r="B10" s="7">
        <v>4</v>
      </c>
      <c r="C10" s="7">
        <v>11</v>
      </c>
      <c r="D10" s="72">
        <v>12</v>
      </c>
      <c r="E10" s="9">
        <f t="shared" si="0"/>
        <v>27</v>
      </c>
      <c r="F10" s="7" t="s">
        <v>145</v>
      </c>
      <c r="G10" s="6">
        <v>219</v>
      </c>
      <c r="H10" s="7">
        <v>460</v>
      </c>
      <c r="I10" s="72">
        <v>149</v>
      </c>
      <c r="J10" s="9">
        <f t="shared" si="1"/>
        <v>828</v>
      </c>
      <c r="K10" s="1"/>
    </row>
    <row r="11" spans="1:11" ht="13.5" customHeight="1" x14ac:dyDescent="0.2">
      <c r="A11" s="30" t="s">
        <v>160</v>
      </c>
      <c r="B11" s="7">
        <f>'T21'!F16</f>
        <v>12</v>
      </c>
      <c r="C11" s="7">
        <f>'T21'!G16</f>
        <v>8</v>
      </c>
      <c r="D11" s="72">
        <f>'T21'!H16</f>
        <v>13</v>
      </c>
      <c r="E11" s="9">
        <f t="shared" si="0"/>
        <v>33</v>
      </c>
      <c r="F11" s="7"/>
      <c r="G11" s="6">
        <f>'T21'!F19</f>
        <v>280</v>
      </c>
      <c r="H11" s="7">
        <f>'T21'!G19</f>
        <v>509</v>
      </c>
      <c r="I11" s="72">
        <f>'T21'!H19</f>
        <v>136</v>
      </c>
      <c r="J11" s="9">
        <f t="shared" si="1"/>
        <v>925</v>
      </c>
      <c r="K11" s="1"/>
    </row>
    <row r="12" spans="1:11" ht="13.5" customHeight="1" x14ac:dyDescent="0.2">
      <c r="A12" s="30" t="s">
        <v>379</v>
      </c>
      <c r="B12" s="7">
        <f>'T21'!F17</f>
        <v>9</v>
      </c>
      <c r="C12" s="7">
        <f>'T21'!G17</f>
        <v>4</v>
      </c>
      <c r="D12" s="72">
        <f>'T21'!H17</f>
        <v>18</v>
      </c>
      <c r="E12" s="9">
        <f t="shared" si="0"/>
        <v>31</v>
      </c>
      <c r="F12" s="7"/>
      <c r="G12" s="6">
        <f>'T21'!F20</f>
        <v>271</v>
      </c>
      <c r="H12" s="7">
        <f>'T21'!G20</f>
        <v>518</v>
      </c>
      <c r="I12" s="72">
        <f>'T21'!H20</f>
        <v>151</v>
      </c>
      <c r="J12" s="9">
        <f t="shared" si="1"/>
        <v>940</v>
      </c>
      <c r="K12" s="1" t="s">
        <v>145</v>
      </c>
    </row>
    <row r="13" spans="1:11" ht="13.5" customHeight="1" x14ac:dyDescent="0.2">
      <c r="A13" s="1261" t="s">
        <v>603</v>
      </c>
      <c r="B13" s="336">
        <f>'T21'!F18</f>
        <v>9</v>
      </c>
      <c r="C13" s="336">
        <f>'T21'!G18</f>
        <v>9</v>
      </c>
      <c r="D13" s="75">
        <f>'T21'!H18</f>
        <v>17</v>
      </c>
      <c r="E13" s="12">
        <f t="shared" si="0"/>
        <v>35</v>
      </c>
      <c r="F13" s="7" t="s">
        <v>143</v>
      </c>
      <c r="G13" s="363">
        <f>'T21'!F21</f>
        <v>254</v>
      </c>
      <c r="H13" s="336">
        <f>'T21'!G21</f>
        <v>418</v>
      </c>
      <c r="I13" s="75">
        <f>'T21'!H21</f>
        <v>125</v>
      </c>
      <c r="J13" s="12">
        <f t="shared" si="1"/>
        <v>797</v>
      </c>
      <c r="K13" s="1" t="s">
        <v>143</v>
      </c>
    </row>
    <row r="14" spans="1:11" x14ac:dyDescent="0.2">
      <c r="A14" s="1"/>
      <c r="B14" s="1"/>
      <c r="C14" s="1"/>
      <c r="D14" s="1"/>
      <c r="E14" s="1"/>
      <c r="F14" s="1"/>
      <c r="G14" s="1"/>
      <c r="H14" s="1"/>
      <c r="I14" s="1"/>
      <c r="J14" s="1"/>
      <c r="K14" s="1"/>
    </row>
    <row r="15" spans="1:11" x14ac:dyDescent="0.2">
      <c r="A15" s="2" t="s">
        <v>162</v>
      </c>
      <c r="B15" s="1"/>
      <c r="C15" s="1"/>
      <c r="D15" s="1"/>
      <c r="E15" s="1"/>
      <c r="F15" s="1"/>
      <c r="G15" s="1"/>
      <c r="H15" s="1"/>
      <c r="I15" s="1"/>
      <c r="J15" s="1"/>
      <c r="K15" s="1"/>
    </row>
    <row r="16" spans="1:11" x14ac:dyDescent="0.2">
      <c r="A16" s="71" t="s">
        <v>967</v>
      </c>
      <c r="B16" s="1"/>
      <c r="C16" s="1"/>
      <c r="D16" s="1"/>
      <c r="E16" s="1"/>
      <c r="F16" s="1"/>
      <c r="G16" s="1"/>
      <c r="H16" s="1"/>
      <c r="I16" s="1"/>
      <c r="J16" s="1"/>
      <c r="K16" s="1"/>
    </row>
    <row r="17" spans="1:11" x14ac:dyDescent="0.2">
      <c r="A17" s="71" t="s">
        <v>968</v>
      </c>
      <c r="B17" s="1"/>
      <c r="C17" s="1"/>
      <c r="D17" s="1"/>
      <c r="E17" s="1"/>
      <c r="F17" s="1"/>
      <c r="G17" s="1"/>
      <c r="H17" s="1"/>
      <c r="I17" s="1"/>
      <c r="J17" s="1"/>
      <c r="K17" s="1"/>
    </row>
    <row r="18" spans="1:11" x14ac:dyDescent="0.2">
      <c r="I18" s="1"/>
      <c r="J18" s="1"/>
      <c r="K18" s="1"/>
    </row>
    <row r="19" spans="1:11" ht="38.25" customHeight="1" x14ac:dyDescent="0.2">
      <c r="A19" s="1671" t="s">
        <v>643</v>
      </c>
      <c r="B19" s="1671"/>
      <c r="C19" s="1671"/>
      <c r="D19" s="1671"/>
      <c r="E19" s="1671"/>
      <c r="F19" s="1671"/>
      <c r="G19" s="1671"/>
      <c r="H19" s="1671"/>
      <c r="I19" s="1671"/>
      <c r="J19" s="1671"/>
      <c r="K19" s="1"/>
    </row>
    <row r="20" spans="1:11" ht="15" x14ac:dyDescent="0.25">
      <c r="A20" s="1"/>
      <c r="B20" s="1"/>
      <c r="C20" s="1"/>
      <c r="D20" s="13"/>
      <c r="E20" s="234" t="s">
        <v>58</v>
      </c>
      <c r="F20" s="13"/>
      <c r="G20" s="13"/>
      <c r="H20" s="13"/>
      <c r="I20" s="13"/>
      <c r="J20" s="234" t="s">
        <v>58</v>
      </c>
      <c r="K20" s="1"/>
    </row>
    <row r="21" spans="1:11" x14ac:dyDescent="0.2">
      <c r="A21" s="1441"/>
      <c r="B21" s="1755" t="s">
        <v>60</v>
      </c>
      <c r="C21" s="1756"/>
      <c r="D21" s="1756"/>
      <c r="E21" s="1757"/>
      <c r="F21" s="1442"/>
      <c r="G21" s="1755" t="s">
        <v>75</v>
      </c>
      <c r="H21" s="1756"/>
      <c r="I21" s="1756"/>
      <c r="J21" s="1757"/>
      <c r="K21" s="1443"/>
    </row>
    <row r="22" spans="1:11" x14ac:dyDescent="0.2">
      <c r="A22" s="1441"/>
      <c r="B22" s="1755" t="s">
        <v>895</v>
      </c>
      <c r="C22" s="1756"/>
      <c r="D22" s="1756"/>
      <c r="E22" s="1757"/>
      <c r="F22" s="1442"/>
      <c r="G22" s="1755" t="s">
        <v>895</v>
      </c>
      <c r="H22" s="1756"/>
      <c r="I22" s="1756"/>
      <c r="J22" s="1757"/>
      <c r="K22" s="1443"/>
    </row>
    <row r="23" spans="1:11" ht="39" customHeight="1" x14ac:dyDescent="0.2">
      <c r="A23" s="4" t="s">
        <v>4</v>
      </c>
      <c r="B23" s="765" t="s">
        <v>289</v>
      </c>
      <c r="C23" s="765" t="s">
        <v>287</v>
      </c>
      <c r="D23" s="765" t="s">
        <v>209</v>
      </c>
      <c r="E23" s="765" t="s">
        <v>11</v>
      </c>
      <c r="F23" s="202"/>
      <c r="G23" s="765" t="s">
        <v>286</v>
      </c>
      <c r="H23" s="765" t="s">
        <v>287</v>
      </c>
      <c r="I23" s="765" t="s">
        <v>209</v>
      </c>
      <c r="J23" s="765" t="s">
        <v>11</v>
      </c>
      <c r="K23" s="1"/>
    </row>
    <row r="24" spans="1:11" ht="18.75" customHeight="1" x14ac:dyDescent="0.2">
      <c r="A24" s="597" t="s">
        <v>20</v>
      </c>
      <c r="B24" s="531">
        <f>B6/'21 21a'!B5*1000</f>
        <v>13.173652694610778</v>
      </c>
      <c r="C24" s="532">
        <f>C6/'21 21a'!C5*1000</f>
        <v>3.249390739236393</v>
      </c>
      <c r="D24" s="532">
        <f>D6/'21 21a'!D5*1000</f>
        <v>29.154518950437318</v>
      </c>
      <c r="E24" s="1018">
        <f>E6/'21 21a'!E5*1000</f>
        <v>8.247027234369007</v>
      </c>
      <c r="F24" s="7"/>
      <c r="G24" s="531">
        <f>G6/'21 21a'!B5*1000</f>
        <v>314.97005988023949</v>
      </c>
      <c r="H24" s="532">
        <f>H6/'21 21a'!C5*1000</f>
        <v>145.68101814243161</v>
      </c>
      <c r="I24" s="532">
        <f>I6/'21 21a'!D5*1000</f>
        <v>253.64431486880468</v>
      </c>
      <c r="J24" s="1018">
        <f>J6/'21 21a'!E5*1000</f>
        <v>186.99654775604142</v>
      </c>
      <c r="K24" s="1"/>
    </row>
    <row r="25" spans="1:11" ht="13.5" customHeight="1" x14ac:dyDescent="0.2">
      <c r="A25" s="10" t="s">
        <v>13</v>
      </c>
      <c r="B25" s="578">
        <f>B7/'21 21a'!B6*1000</f>
        <v>16.184971098265894</v>
      </c>
      <c r="C25" s="579">
        <f>C7/'21 21a'!C6*1000</f>
        <v>3.6557930258717661</v>
      </c>
      <c r="D25" s="579">
        <f>D7/'21 21a'!D6*1000</f>
        <v>28.571428571428569</v>
      </c>
      <c r="E25" s="1019">
        <f>E7/'21 21a'!E6*1000</f>
        <v>9.1778949423940652</v>
      </c>
      <c r="F25" s="7"/>
      <c r="G25" s="578">
        <f>G7/'21 21a'!B6*1000</f>
        <v>344.50867052023119</v>
      </c>
      <c r="H25" s="579">
        <f>H7/'21 21a'!C6*1000</f>
        <v>144.82564679415071</v>
      </c>
      <c r="I25" s="579">
        <f>I7/'21 21a'!D6*1000</f>
        <v>245.71428571428572</v>
      </c>
      <c r="J25" s="1019">
        <f>J7/'21 21a'!E6*1000</f>
        <v>192.3452450693224</v>
      </c>
      <c r="K25" s="1"/>
    </row>
    <row r="26" spans="1:11" ht="13.5" customHeight="1" x14ac:dyDescent="0.2">
      <c r="A26" s="10" t="s">
        <v>15</v>
      </c>
      <c r="B26" s="578">
        <f>B8/'21 21a'!B7*1000</f>
        <v>15.424164524421593</v>
      </c>
      <c r="C26" s="579">
        <f>C8/'21 21a'!C7*1000</f>
        <v>2.7909572983533351</v>
      </c>
      <c r="D26" s="579">
        <f>D8/'21 21a'!D7*1000</f>
        <v>21.806853582554517</v>
      </c>
      <c r="E26" s="1019">
        <f>E8/'21 21a'!E7*1000</f>
        <v>7.195682590445732</v>
      </c>
      <c r="F26" s="7"/>
      <c r="G26" s="578">
        <f>G8/'21 21a'!B7*1000</f>
        <v>356.04113110539851</v>
      </c>
      <c r="H26" s="579">
        <f>H8/'21 21a'!C7*1000</f>
        <v>169.69020373988278</v>
      </c>
      <c r="I26" s="579">
        <f>I8/'21 21a'!D7*1000</f>
        <v>200.93457943925233</v>
      </c>
      <c r="J26" s="1019">
        <f>J8/'21 21a'!E7*1000</f>
        <v>202.67839296422147</v>
      </c>
      <c r="K26" s="1"/>
    </row>
    <row r="27" spans="1:11" ht="13.5" customHeight="1" x14ac:dyDescent="0.2">
      <c r="A27" s="10" t="s">
        <v>17</v>
      </c>
      <c r="B27" s="578">
        <f>B9/'21 21a'!B8*1000</f>
        <v>8.3682008368200833</v>
      </c>
      <c r="C27" s="579">
        <f>C9/'21 21a'!C8*1000</f>
        <v>1.7788319003854136</v>
      </c>
      <c r="D27" s="579">
        <f>D9/'21 21a'!D8*1000</f>
        <v>21.885521885521886</v>
      </c>
      <c r="E27" s="1019">
        <f>E9/'21 21a'!E8*1000</f>
        <v>5.3373185311699398</v>
      </c>
      <c r="F27" s="7"/>
      <c r="G27" s="578">
        <f>G9/'21 21a'!B8*1000</f>
        <v>475.59274755927476</v>
      </c>
      <c r="H27" s="579">
        <f>H9/'21 21a'!C8*1000</f>
        <v>151.20071153276015</v>
      </c>
      <c r="I27" s="579">
        <f>I9/'21 21a'!D8*1000</f>
        <v>227.27272727272725</v>
      </c>
      <c r="J27" s="1019">
        <f>J9/'21 21a'!E8*1000</f>
        <v>210.50384286934246</v>
      </c>
      <c r="K27" s="1"/>
    </row>
    <row r="28" spans="1:11" ht="13.5" customHeight="1" x14ac:dyDescent="0.2">
      <c r="A28" s="10" t="s">
        <v>147</v>
      </c>
      <c r="B28" s="578">
        <f>B10/'21 21a'!B9*1000</f>
        <v>5.6657223796034</v>
      </c>
      <c r="C28" s="579">
        <f>C10/'21 21a'!C9*1000</f>
        <v>3.0211480362537766</v>
      </c>
      <c r="D28" s="579">
        <f>D10/'21 21a'!D9*1000</f>
        <v>19.543973941368076</v>
      </c>
      <c r="E28" s="1019">
        <f>E10/'21 21a'!E9*1000</f>
        <v>5.4424511187260629</v>
      </c>
      <c r="F28" s="7" t="s">
        <v>145</v>
      </c>
      <c r="G28" s="578">
        <f>G10/'21 21a'!B9*1000</f>
        <v>310.19830028328607</v>
      </c>
      <c r="H28" s="579">
        <f>H10/'21 21a'!C9*1000</f>
        <v>126.33891787970339</v>
      </c>
      <c r="I28" s="579">
        <f>I10/'21 21a'!D9*1000</f>
        <v>242.67100977198697</v>
      </c>
      <c r="J28" s="1019">
        <f>J10/'21 21a'!E9*1000</f>
        <v>166.90183430759927</v>
      </c>
      <c r="K28" s="1"/>
    </row>
    <row r="29" spans="1:11" ht="13.5" customHeight="1" x14ac:dyDescent="0.2">
      <c r="A29" s="10" t="s">
        <v>160</v>
      </c>
      <c r="B29" s="578">
        <f>B11/'21 21a'!B10*1000</f>
        <v>16.551724137931036</v>
      </c>
      <c r="C29" s="579">
        <f>C11/'21 21a'!C10*1000</f>
        <v>2.1299254526091587</v>
      </c>
      <c r="D29" s="579">
        <f>D11/'21 21a'!D10*1000</f>
        <v>21.996615905245349</v>
      </c>
      <c r="E29" s="1019">
        <f>E11/'21 21a'!E10*1000</f>
        <v>6.5063091482649842</v>
      </c>
      <c r="F29" s="7"/>
      <c r="G29" s="578">
        <f>G11/'21 21a'!B10*1000</f>
        <v>386.20689655172413</v>
      </c>
      <c r="H29" s="579">
        <f>H11/'21 21a'!C10*1000</f>
        <v>135.51650692225772</v>
      </c>
      <c r="I29" s="579">
        <f>I11/'21 21a'!D10*1000</f>
        <v>230.11844331641285</v>
      </c>
      <c r="J29" s="1019">
        <f>J11/'21 21a'!E10*1000</f>
        <v>182.37381703470032</v>
      </c>
      <c r="K29" s="1"/>
    </row>
    <row r="30" spans="1:11" ht="13.5" customHeight="1" x14ac:dyDescent="0.2">
      <c r="A30" s="10" t="s">
        <v>379</v>
      </c>
      <c r="B30" s="578">
        <f>B12/'21 21a'!B11*1000</f>
        <v>12.78409090909091</v>
      </c>
      <c r="C30" s="579">
        <f>C12/'21 21a'!C11*1000</f>
        <v>1.1028398125172318</v>
      </c>
      <c r="D30" s="579">
        <f>D12/'21 21a'!D11*1000</f>
        <v>30.050083472454091</v>
      </c>
      <c r="E30" s="1019">
        <f>E12/'21 21a'!E11*1000</f>
        <v>6.2880324543610548</v>
      </c>
      <c r="F30" s="7"/>
      <c r="G30" s="578">
        <f>G12/'21 21a'!B11*1000</f>
        <v>384.94318181818181</v>
      </c>
      <c r="H30" s="579">
        <f>H12/'21 21a'!C11*1000</f>
        <v>142.81775572098152</v>
      </c>
      <c r="I30" s="579">
        <f>I12/'21 21a'!D11*1000</f>
        <v>252.08681135225376</v>
      </c>
      <c r="J30" s="1019">
        <f>J12/'21 21a'!E11*1000</f>
        <v>190.66937119675455</v>
      </c>
      <c r="K30" s="1" t="s">
        <v>145</v>
      </c>
    </row>
    <row r="31" spans="1:11" ht="13.5" customHeight="1" x14ac:dyDescent="0.2">
      <c r="A31" s="1261" t="s">
        <v>603</v>
      </c>
      <c r="B31" s="631">
        <f>B13/'21 21a'!B12*1000</f>
        <v>12.622720897615707</v>
      </c>
      <c r="C31" s="581">
        <f>C13/'21 21a'!C12*1000</f>
        <v>2.6277372262773722</v>
      </c>
      <c r="D31" s="581">
        <f>D13/'21 21a'!D12*1000</f>
        <v>27.687296416938111</v>
      </c>
      <c r="E31" s="1020">
        <f>E13/'21 21a'!E12*1000</f>
        <v>7.3653198653198659</v>
      </c>
      <c r="F31" s="7" t="s">
        <v>143</v>
      </c>
      <c r="G31" s="631">
        <f>G13/'21 21a'!B12*1000</f>
        <v>356.24123422159886</v>
      </c>
      <c r="H31" s="581">
        <f>H13/'21 21a'!C12*1000</f>
        <v>122.04379562043796</v>
      </c>
      <c r="I31" s="581">
        <f>I13/'21 21a'!D12*1000</f>
        <v>203.58306188925081</v>
      </c>
      <c r="J31" s="1020">
        <f>J13/'21 21a'!E12*1000</f>
        <v>167.71885521885523</v>
      </c>
      <c r="K31" s="1" t="s">
        <v>143</v>
      </c>
    </row>
    <row r="32" spans="1:11" x14ac:dyDescent="0.2">
      <c r="A32" s="1"/>
      <c r="B32" s="1"/>
      <c r="C32" s="1"/>
      <c r="D32" s="1"/>
      <c r="E32" s="1"/>
      <c r="F32" s="1"/>
      <c r="G32" s="1"/>
      <c r="H32" s="1"/>
      <c r="I32" s="1"/>
      <c r="J32" s="1"/>
      <c r="K32" s="1"/>
    </row>
    <row r="33" spans="1:11" x14ac:dyDescent="0.2">
      <c r="A33" s="2" t="s">
        <v>162</v>
      </c>
      <c r="B33" s="1"/>
      <c r="C33" s="1"/>
      <c r="D33" s="1"/>
      <c r="E33" s="1"/>
      <c r="F33" s="1"/>
      <c r="G33" s="1"/>
      <c r="H33" s="1"/>
      <c r="I33" s="1"/>
      <c r="J33" s="1"/>
      <c r="K33" s="1"/>
    </row>
    <row r="34" spans="1:11" x14ac:dyDescent="0.2">
      <c r="A34" s="71" t="s">
        <v>975</v>
      </c>
      <c r="B34" s="1"/>
      <c r="C34" s="1"/>
      <c r="D34" s="1"/>
      <c r="E34" s="1"/>
      <c r="F34" s="1"/>
      <c r="G34" s="1"/>
      <c r="H34" s="1"/>
      <c r="I34" s="1"/>
      <c r="J34" s="1"/>
      <c r="K34" s="1"/>
    </row>
    <row r="35" spans="1:11" x14ac:dyDescent="0.2">
      <c r="A35" s="71" t="s">
        <v>971</v>
      </c>
      <c r="B35" s="1"/>
      <c r="C35" s="1"/>
      <c r="D35" s="1"/>
      <c r="E35" s="1"/>
      <c r="F35" s="1"/>
      <c r="G35" s="1"/>
      <c r="H35" s="1"/>
      <c r="I35" s="1"/>
      <c r="J35" s="1"/>
      <c r="K35" s="1"/>
    </row>
    <row r="36" spans="1:11" x14ac:dyDescent="0.2">
      <c r="I36" s="1"/>
      <c r="J36" s="1"/>
      <c r="K36" s="1"/>
    </row>
    <row r="37" spans="1:11" x14ac:dyDescent="0.2">
      <c r="A37" s="386" t="s">
        <v>169</v>
      </c>
    </row>
  </sheetData>
  <sheetProtection algorithmName="SHA-512" hashValue="FG8gRW7jnbKslI4XDjh7JZnHFVxH/cJS5oivJsPFlm9Z0/Grg6IHuOs8+6mMODmECSjO0nGuTdPsGDrFShAL4Q==" saltValue="Be/+yFMXhCLWs+wQmDrZFw==" spinCount="100000" sheet="1" objects="1" scenarios="1"/>
  <mergeCells count="10">
    <mergeCell ref="B22:E22"/>
    <mergeCell ref="G22:J22"/>
    <mergeCell ref="A1:J1"/>
    <mergeCell ref="A19:J19"/>
    <mergeCell ref="B3:E3"/>
    <mergeCell ref="G3:J3"/>
    <mergeCell ref="B21:E21"/>
    <mergeCell ref="G21:J21"/>
    <mergeCell ref="B4:E4"/>
    <mergeCell ref="G4:J4"/>
  </mergeCells>
  <hyperlinks>
    <hyperlink ref="A37" location="Contents!A1" display="Return to contents" xr:uid="{00000000-0004-0000-5C00-000000000000}"/>
  </hyperlinks>
  <pageMargins left="0.7" right="0.7" top="0.75" bottom="0.75" header="0.3" footer="0.3"/>
  <pageSetup paperSize="9" scale="6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4">
    <tabColor theme="4"/>
    <pageSetUpPr fitToPage="1"/>
  </sheetPr>
  <dimension ref="A1:P37"/>
  <sheetViews>
    <sheetView showGridLines="0" zoomScaleNormal="100" workbookViewId="0">
      <selection sqref="A1:P1"/>
    </sheetView>
  </sheetViews>
  <sheetFormatPr defaultRowHeight="13.5" customHeight="1" x14ac:dyDescent="0.2"/>
  <cols>
    <col min="1" max="1" width="8.85546875" customWidth="1"/>
    <col min="2" max="2" width="12.28515625" customWidth="1"/>
    <col min="3" max="3" width="17.5703125" customWidth="1"/>
    <col min="4" max="4" width="11" customWidth="1"/>
    <col min="5" max="5" width="11.42578125" customWidth="1"/>
    <col min="6" max="6" width="11.5703125" customWidth="1"/>
    <col min="7" max="7" width="17.7109375" customWidth="1"/>
    <col min="8" max="8" width="10.140625" customWidth="1"/>
    <col min="9" max="9" width="11" customWidth="1"/>
    <col min="10" max="10" width="11.7109375" customWidth="1"/>
    <col min="11" max="11" width="17" customWidth="1"/>
    <col min="12" max="12" width="13.5703125" customWidth="1"/>
    <col min="13" max="13" width="10.140625" customWidth="1"/>
    <col min="14" max="14" width="11.5703125" customWidth="1"/>
    <col min="15" max="15" width="18.5703125" customWidth="1"/>
    <col min="16" max="16" width="2.42578125" customWidth="1"/>
  </cols>
  <sheetData>
    <row r="1" spans="1:16" ht="38.25" customHeight="1" x14ac:dyDescent="0.2">
      <c r="A1" s="1655" t="s">
        <v>645</v>
      </c>
      <c r="B1" s="1655"/>
      <c r="C1" s="1655"/>
      <c r="D1" s="1655"/>
      <c r="E1" s="1655"/>
      <c r="F1" s="1655"/>
      <c r="G1" s="1655"/>
      <c r="H1" s="1655"/>
      <c r="I1" s="1655"/>
      <c r="J1" s="1655"/>
      <c r="K1" s="1655"/>
      <c r="L1" s="1655"/>
      <c r="M1" s="1655"/>
      <c r="N1" s="1655"/>
      <c r="O1" s="1655"/>
      <c r="P1" s="1655"/>
    </row>
    <row r="2" spans="1:16" ht="13.5" customHeight="1" x14ac:dyDescent="0.25">
      <c r="A2" s="1"/>
      <c r="B2" s="1"/>
      <c r="C2" s="1"/>
      <c r="D2" s="1"/>
      <c r="E2" s="1"/>
      <c r="F2" s="1"/>
      <c r="G2" s="1"/>
      <c r="H2" s="253" t="s">
        <v>0</v>
      </c>
      <c r="I2" s="1"/>
      <c r="J2" s="1"/>
      <c r="K2" s="1"/>
      <c r="L2" s="1"/>
      <c r="M2" s="1"/>
      <c r="N2" s="1"/>
      <c r="O2" s="145" t="s">
        <v>64</v>
      </c>
      <c r="P2" s="632"/>
    </row>
    <row r="3" spans="1:16" ht="13.5" customHeight="1" x14ac:dyDescent="0.2">
      <c r="A3" s="1629" t="s">
        <v>4</v>
      </c>
      <c r="B3" s="1674" t="s">
        <v>290</v>
      </c>
      <c r="C3" s="1675"/>
      <c r="D3" s="1675"/>
      <c r="E3" s="1675"/>
      <c r="F3" s="1675"/>
      <c r="G3" s="1676"/>
      <c r="H3" s="1637" t="s">
        <v>356</v>
      </c>
      <c r="I3" s="1"/>
      <c r="J3" s="1674" t="s">
        <v>290</v>
      </c>
      <c r="K3" s="1675"/>
      <c r="L3" s="1675"/>
      <c r="M3" s="1675"/>
      <c r="N3" s="1675"/>
      <c r="O3" s="1676"/>
      <c r="P3" s="632"/>
    </row>
    <row r="4" spans="1:16" ht="41.25" customHeight="1" x14ac:dyDescent="0.2">
      <c r="A4" s="1687"/>
      <c r="B4" s="765" t="s">
        <v>291</v>
      </c>
      <c r="C4" s="765" t="s">
        <v>292</v>
      </c>
      <c r="D4" s="765" t="s">
        <v>293</v>
      </c>
      <c r="E4" s="765" t="s">
        <v>294</v>
      </c>
      <c r="F4" s="121" t="s">
        <v>228</v>
      </c>
      <c r="G4" s="121" t="s">
        <v>644</v>
      </c>
      <c r="H4" s="1729"/>
      <c r="I4" s="101"/>
      <c r="J4" s="102" t="s">
        <v>291</v>
      </c>
      <c r="K4" s="102" t="s">
        <v>292</v>
      </c>
      <c r="L4" s="102" t="s">
        <v>293</v>
      </c>
      <c r="M4" s="102" t="s">
        <v>294</v>
      </c>
      <c r="N4" s="102" t="s">
        <v>228</v>
      </c>
      <c r="O4" s="102" t="s">
        <v>644</v>
      </c>
      <c r="P4" s="633"/>
    </row>
    <row r="5" spans="1:16" ht="18.75" customHeight="1" x14ac:dyDescent="0.2">
      <c r="A5" s="17" t="s">
        <v>16</v>
      </c>
      <c r="B5" s="628"/>
      <c r="C5" s="628"/>
      <c r="D5" s="628"/>
      <c r="E5" s="628"/>
      <c r="F5" s="628"/>
      <c r="G5" s="720"/>
      <c r="H5" s="29">
        <v>6666</v>
      </c>
      <c r="J5" s="1007"/>
      <c r="K5" s="1008"/>
      <c r="L5" s="1008"/>
      <c r="M5" s="1008"/>
      <c r="N5" s="1008"/>
      <c r="O5" s="1009"/>
      <c r="P5" s="634"/>
    </row>
    <row r="6" spans="1:16" ht="13.5" customHeight="1" x14ac:dyDescent="0.2">
      <c r="A6" s="5" t="s">
        <v>18</v>
      </c>
      <c r="B6" s="221"/>
      <c r="C6" s="221"/>
      <c r="D6" s="221"/>
      <c r="E6" s="221"/>
      <c r="F6" s="221"/>
      <c r="G6" s="222"/>
      <c r="H6" s="29">
        <v>6705</v>
      </c>
      <c r="J6" s="722"/>
      <c r="K6" s="723"/>
      <c r="L6" s="723"/>
      <c r="M6" s="723"/>
      <c r="N6" s="723"/>
      <c r="O6" s="724"/>
      <c r="P6" s="634"/>
    </row>
    <row r="7" spans="1:16" ht="13.5" customHeight="1" x14ac:dyDescent="0.2">
      <c r="A7" s="5" t="s">
        <v>19</v>
      </c>
      <c r="B7" s="41">
        <v>1392</v>
      </c>
      <c r="C7" s="41">
        <v>1249</v>
      </c>
      <c r="D7" s="41">
        <v>607</v>
      </c>
      <c r="E7" s="41">
        <v>87</v>
      </c>
      <c r="F7" s="41">
        <v>272</v>
      </c>
      <c r="G7" s="37">
        <v>2966</v>
      </c>
      <c r="H7" s="29">
        <f>SUM(B7:G7)</f>
        <v>6573</v>
      </c>
      <c r="J7" s="1430">
        <f>B7/H7*100</f>
        <v>21.177544500228208</v>
      </c>
      <c r="K7" s="115">
        <f>C7/H7*100</f>
        <v>19.001977787920278</v>
      </c>
      <c r="L7" s="115">
        <f>D7/H7*100</f>
        <v>9.2347482123839946</v>
      </c>
      <c r="M7" s="115">
        <f>E7/H7*100</f>
        <v>1.323596531264263</v>
      </c>
      <c r="N7" s="115">
        <f>F7/H7*100</f>
        <v>4.1381408793549364</v>
      </c>
      <c r="O7" s="1431">
        <f>G7/H7*100</f>
        <v>45.123992088848318</v>
      </c>
      <c r="P7" s="634"/>
    </row>
    <row r="8" spans="1:16" ht="13.5" customHeight="1" x14ac:dyDescent="0.2">
      <c r="A8" s="30" t="s">
        <v>20</v>
      </c>
      <c r="B8" s="41">
        <v>1516</v>
      </c>
      <c r="C8" s="41">
        <v>1254</v>
      </c>
      <c r="D8" s="41">
        <v>595</v>
      </c>
      <c r="E8" s="41">
        <v>113</v>
      </c>
      <c r="F8" s="41">
        <v>267</v>
      </c>
      <c r="G8" s="37">
        <v>2555</v>
      </c>
      <c r="H8" s="29">
        <f t="shared" ref="H8:H15" si="0">SUM(B8:G8)</f>
        <v>6300</v>
      </c>
      <c r="I8" s="768"/>
      <c r="J8" s="1430">
        <f>B8/H8*100</f>
        <v>24.063492063492063</v>
      </c>
      <c r="K8" s="115">
        <f>C8/H8*100</f>
        <v>19.904761904761905</v>
      </c>
      <c r="L8" s="115">
        <f>D8/H8*100</f>
        <v>9.4444444444444446</v>
      </c>
      <c r="M8" s="115">
        <f>E8/H8*100</f>
        <v>1.7936507936507937</v>
      </c>
      <c r="N8" s="115">
        <f>F8/H8*100</f>
        <v>4.2380952380952381</v>
      </c>
      <c r="O8" s="1431">
        <f>G8/H8*100</f>
        <v>40.555555555555557</v>
      </c>
      <c r="P8" s="634"/>
    </row>
    <row r="9" spans="1:16" ht="13.5" customHeight="1" x14ac:dyDescent="0.2">
      <c r="A9" s="30" t="s">
        <v>13</v>
      </c>
      <c r="B9" s="41">
        <v>1611</v>
      </c>
      <c r="C9" s="41">
        <v>1223</v>
      </c>
      <c r="D9" s="41">
        <v>496</v>
      </c>
      <c r="E9" s="41">
        <v>59</v>
      </c>
      <c r="F9" s="41">
        <v>218</v>
      </c>
      <c r="G9" s="37">
        <v>2553</v>
      </c>
      <c r="H9" s="29">
        <f t="shared" si="0"/>
        <v>6160</v>
      </c>
      <c r="I9" s="768"/>
      <c r="J9" s="1430">
        <f t="shared" ref="J9:J13" si="1">B9/H9*100</f>
        <v>26.152597402597404</v>
      </c>
      <c r="K9" s="115">
        <f t="shared" ref="K9:K13" si="2">C9/H9*100</f>
        <v>19.853896103896105</v>
      </c>
      <c r="L9" s="115">
        <f t="shared" ref="L9:L13" si="3">D9/H9*100</f>
        <v>8.0519480519480524</v>
      </c>
      <c r="M9" s="115">
        <f t="shared" ref="M9:M13" si="4">E9/H9*100</f>
        <v>0.95779220779220775</v>
      </c>
      <c r="N9" s="115">
        <f t="shared" ref="N9:N13" si="5">F9/H9*100</f>
        <v>3.5389610389610389</v>
      </c>
      <c r="O9" s="1431">
        <f t="shared" ref="O9:O13" si="6">G9/H9*100</f>
        <v>41.444805194805198</v>
      </c>
      <c r="P9" s="634"/>
    </row>
    <row r="10" spans="1:16" ht="13.5" customHeight="1" x14ac:dyDescent="0.2">
      <c r="A10" s="30" t="s">
        <v>15</v>
      </c>
      <c r="B10" s="41">
        <v>1504</v>
      </c>
      <c r="C10" s="41">
        <v>1102</v>
      </c>
      <c r="D10" s="41">
        <v>461</v>
      </c>
      <c r="E10" s="41">
        <v>81</v>
      </c>
      <c r="F10" s="41">
        <v>150</v>
      </c>
      <c r="G10" s="37">
        <v>2536</v>
      </c>
      <c r="H10" s="29">
        <f t="shared" si="0"/>
        <v>5834</v>
      </c>
      <c r="I10" s="768"/>
      <c r="J10" s="1430">
        <f t="shared" si="1"/>
        <v>25.779910867329448</v>
      </c>
      <c r="K10" s="115">
        <f t="shared" si="2"/>
        <v>18.889269797737402</v>
      </c>
      <c r="L10" s="115">
        <f t="shared" si="3"/>
        <v>7.9019540623928703</v>
      </c>
      <c r="M10" s="115">
        <f t="shared" si="4"/>
        <v>1.3884127528282482</v>
      </c>
      <c r="N10" s="115">
        <f t="shared" si="5"/>
        <v>2.5711347274597189</v>
      </c>
      <c r="O10" s="1431">
        <f t="shared" si="6"/>
        <v>43.469317792252312</v>
      </c>
      <c r="P10" s="634"/>
    </row>
    <row r="11" spans="1:16" ht="13.5" customHeight="1" x14ac:dyDescent="0.2">
      <c r="A11" s="30" t="s">
        <v>17</v>
      </c>
      <c r="B11" s="41">
        <v>1332</v>
      </c>
      <c r="C11" s="41">
        <v>1004</v>
      </c>
      <c r="D11" s="41">
        <v>414</v>
      </c>
      <c r="E11" s="41">
        <v>61</v>
      </c>
      <c r="F11" s="41">
        <v>72</v>
      </c>
      <c r="G11" s="37">
        <v>2451</v>
      </c>
      <c r="H11" s="29">
        <f t="shared" si="0"/>
        <v>5334</v>
      </c>
      <c r="I11" s="768"/>
      <c r="J11" s="1430">
        <f t="shared" si="1"/>
        <v>24.971878515185601</v>
      </c>
      <c r="K11" s="115">
        <f t="shared" si="2"/>
        <v>18.822647169103863</v>
      </c>
      <c r="L11" s="115">
        <f t="shared" si="3"/>
        <v>7.7615298087739042</v>
      </c>
      <c r="M11" s="115">
        <f t="shared" si="4"/>
        <v>1.1436070491188601</v>
      </c>
      <c r="N11" s="115">
        <f t="shared" si="5"/>
        <v>1.3498312710911136</v>
      </c>
      <c r="O11" s="1431">
        <f t="shared" si="6"/>
        <v>45.950506186726656</v>
      </c>
      <c r="P11" s="634"/>
    </row>
    <row r="12" spans="1:16" ht="13.5" customHeight="1" x14ac:dyDescent="0.2">
      <c r="A12" s="30" t="s">
        <v>147</v>
      </c>
      <c r="B12" s="41">
        <v>1584</v>
      </c>
      <c r="C12" s="41">
        <v>927</v>
      </c>
      <c r="D12" s="41">
        <v>368</v>
      </c>
      <c r="E12" s="41">
        <v>57</v>
      </c>
      <c r="F12" s="41">
        <v>95</v>
      </c>
      <c r="G12" s="37">
        <v>2551</v>
      </c>
      <c r="H12" s="29">
        <f t="shared" si="0"/>
        <v>5582</v>
      </c>
      <c r="I12" s="768"/>
      <c r="J12" s="1430">
        <f t="shared" si="1"/>
        <v>28.376925833034754</v>
      </c>
      <c r="K12" s="115">
        <f t="shared" si="2"/>
        <v>16.606950913651023</v>
      </c>
      <c r="L12" s="115">
        <f t="shared" si="3"/>
        <v>6.5926191329272656</v>
      </c>
      <c r="M12" s="115">
        <f t="shared" si="4"/>
        <v>1.0211393765675385</v>
      </c>
      <c r="N12" s="115">
        <f t="shared" si="5"/>
        <v>1.7018989609458974</v>
      </c>
      <c r="O12" s="1431">
        <f t="shared" si="6"/>
        <v>45.700465782873522</v>
      </c>
      <c r="P12" s="634"/>
    </row>
    <row r="13" spans="1:16" ht="13.5" customHeight="1" x14ac:dyDescent="0.2">
      <c r="A13" s="30" t="s">
        <v>160</v>
      </c>
      <c r="B13" s="41">
        <f>'T22'!C5</f>
        <v>1550</v>
      </c>
      <c r="C13" s="41">
        <f>'T22'!D5</f>
        <v>981</v>
      </c>
      <c r="D13" s="41">
        <f>'T22'!E5</f>
        <v>381</v>
      </c>
      <c r="E13" s="41">
        <f>'T22'!F5</f>
        <v>68</v>
      </c>
      <c r="F13" s="41">
        <f>'T22'!G5</f>
        <v>65</v>
      </c>
      <c r="G13" s="37">
        <f>'T22'!H5</f>
        <v>2632</v>
      </c>
      <c r="H13" s="29">
        <f t="shared" si="0"/>
        <v>5677</v>
      </c>
      <c r="I13" s="768"/>
      <c r="J13" s="1430">
        <f t="shared" si="1"/>
        <v>27.303153073806584</v>
      </c>
      <c r="K13" s="115">
        <f t="shared" si="2"/>
        <v>17.280253655099525</v>
      </c>
      <c r="L13" s="115">
        <f t="shared" si="3"/>
        <v>6.7112911749163287</v>
      </c>
      <c r="M13" s="115">
        <f t="shared" si="4"/>
        <v>1.1978157477540954</v>
      </c>
      <c r="N13" s="115">
        <f t="shared" si="5"/>
        <v>1.1449709353531794</v>
      </c>
      <c r="O13" s="1431">
        <f t="shared" si="6"/>
        <v>46.362515413070284</v>
      </c>
      <c r="P13" s="634"/>
    </row>
    <row r="14" spans="1:16" ht="13.5" customHeight="1" x14ac:dyDescent="0.2">
      <c r="A14" s="30" t="s">
        <v>379</v>
      </c>
      <c r="B14" s="41">
        <f>'T22'!C6</f>
        <v>1533</v>
      </c>
      <c r="C14" s="41">
        <f>'T22'!D6</f>
        <v>871</v>
      </c>
      <c r="D14" s="41">
        <f>'T22'!E6</f>
        <v>395</v>
      </c>
      <c r="E14" s="41">
        <f>'T22'!F6</f>
        <v>80</v>
      </c>
      <c r="F14" s="41">
        <f>'T22'!G6</f>
        <v>39</v>
      </c>
      <c r="G14" s="37">
        <f>'T22'!H6</f>
        <v>2630</v>
      </c>
      <c r="H14" s="29">
        <f t="shared" si="0"/>
        <v>5548</v>
      </c>
      <c r="I14" s="768" t="s">
        <v>145</v>
      </c>
      <c r="J14" s="1430">
        <f t="shared" ref="J14:J15" si="7">B14/H14*100</f>
        <v>27.631578947368425</v>
      </c>
      <c r="K14" s="115">
        <f t="shared" ref="K14:K15" si="8">C14/H14*100</f>
        <v>15.699351117519827</v>
      </c>
      <c r="L14" s="115">
        <f>D14/H14*100</f>
        <v>7.119682768565248</v>
      </c>
      <c r="M14" s="115">
        <f t="shared" ref="M14:M15" si="9">E14/H14*100</f>
        <v>1.4419610670511895</v>
      </c>
      <c r="N14" s="115">
        <f t="shared" ref="N14:N15" si="10">F14/H14*100</f>
        <v>0.70295602018745496</v>
      </c>
      <c r="O14" s="1431">
        <f t="shared" ref="O14:O15" si="11">G14/H14*100</f>
        <v>47.404470079307856</v>
      </c>
      <c r="P14" s="84" t="s">
        <v>145</v>
      </c>
    </row>
    <row r="15" spans="1:16" ht="13.5" customHeight="1" x14ac:dyDescent="0.2">
      <c r="A15" s="1261" t="s">
        <v>603</v>
      </c>
      <c r="B15" s="473">
        <f>'T22'!C7</f>
        <v>1459</v>
      </c>
      <c r="C15" s="473">
        <f>'T22'!D7</f>
        <v>847</v>
      </c>
      <c r="D15" s="473">
        <f>'T22'!E7</f>
        <v>417</v>
      </c>
      <c r="E15" s="473">
        <f>'T22'!F7</f>
        <v>63</v>
      </c>
      <c r="F15" s="473">
        <f>'T22'!G7</f>
        <v>41</v>
      </c>
      <c r="G15" s="658">
        <f>'T22'!H7</f>
        <v>2483</v>
      </c>
      <c r="H15" s="31">
        <f t="shared" si="0"/>
        <v>5310</v>
      </c>
      <c r="I15" s="768" t="s">
        <v>143</v>
      </c>
      <c r="J15" s="1432">
        <f t="shared" si="7"/>
        <v>27.476459510357813</v>
      </c>
      <c r="K15" s="1433">
        <f t="shared" si="8"/>
        <v>15.951035781544256</v>
      </c>
      <c r="L15" s="1433">
        <f>D15/H15*100</f>
        <v>7.853107344632769</v>
      </c>
      <c r="M15" s="1433">
        <f t="shared" si="9"/>
        <v>1.1864406779661016</v>
      </c>
      <c r="N15" s="1433">
        <f t="shared" si="10"/>
        <v>0.77212806026365355</v>
      </c>
      <c r="O15" s="1434">
        <f t="shared" si="11"/>
        <v>46.760828625235405</v>
      </c>
      <c r="P15" s="84" t="s">
        <v>143</v>
      </c>
    </row>
    <row r="16" spans="1:16" ht="13.5" customHeight="1" x14ac:dyDescent="0.2">
      <c r="A16" s="1"/>
      <c r="B16" s="1"/>
      <c r="C16" s="1"/>
      <c r="D16" s="1"/>
      <c r="E16" s="1"/>
      <c r="F16" s="1"/>
      <c r="G16" s="1"/>
      <c r="H16" s="1"/>
      <c r="J16" s="1"/>
      <c r="K16" s="1"/>
      <c r="L16" s="1"/>
      <c r="M16" s="1"/>
      <c r="N16" s="1"/>
      <c r="O16" s="1"/>
      <c r="P16" s="634"/>
    </row>
    <row r="17" spans="1:16" ht="13.5" customHeight="1" x14ac:dyDescent="0.25">
      <c r="A17" s="1"/>
      <c r="B17" s="1"/>
      <c r="C17" s="1"/>
      <c r="D17" s="1"/>
      <c r="E17" s="1"/>
      <c r="F17" s="1"/>
      <c r="G17" s="1"/>
      <c r="H17" s="253" t="s">
        <v>0</v>
      </c>
      <c r="I17" s="1"/>
      <c r="J17" s="1"/>
      <c r="K17" s="1"/>
      <c r="L17" s="1"/>
      <c r="M17" s="1"/>
      <c r="N17" s="593"/>
      <c r="O17" s="145" t="s">
        <v>64</v>
      </c>
      <c r="P17" s="634"/>
    </row>
    <row r="18" spans="1:16" ht="13.5" customHeight="1" x14ac:dyDescent="0.2">
      <c r="A18" s="1629" t="s">
        <v>4</v>
      </c>
      <c r="B18" s="1674" t="s">
        <v>295</v>
      </c>
      <c r="C18" s="1675"/>
      <c r="D18" s="1675"/>
      <c r="E18" s="1675"/>
      <c r="F18" s="1675"/>
      <c r="G18" s="1676"/>
      <c r="H18" s="1637" t="s">
        <v>355</v>
      </c>
      <c r="I18" s="1"/>
      <c r="J18" s="1674" t="s">
        <v>295</v>
      </c>
      <c r="K18" s="1675"/>
      <c r="L18" s="1675"/>
      <c r="M18" s="1675"/>
      <c r="N18" s="1675"/>
      <c r="O18" s="1676"/>
      <c r="P18" s="634"/>
    </row>
    <row r="19" spans="1:16" ht="52.5" customHeight="1" x14ac:dyDescent="0.2">
      <c r="A19" s="1687"/>
      <c r="B19" s="765" t="s">
        <v>291</v>
      </c>
      <c r="C19" s="765" t="s">
        <v>292</v>
      </c>
      <c r="D19" s="765" t="s">
        <v>293</v>
      </c>
      <c r="E19" s="765" t="s">
        <v>294</v>
      </c>
      <c r="F19" s="121" t="s">
        <v>228</v>
      </c>
      <c r="G19" s="121" t="s">
        <v>644</v>
      </c>
      <c r="H19" s="1729"/>
      <c r="I19" s="101"/>
      <c r="J19" s="102" t="s">
        <v>291</v>
      </c>
      <c r="K19" s="102" t="s">
        <v>292</v>
      </c>
      <c r="L19" s="102" t="s">
        <v>293</v>
      </c>
      <c r="M19" s="102" t="s">
        <v>294</v>
      </c>
      <c r="N19" s="102" t="s">
        <v>228</v>
      </c>
      <c r="O19" s="102" t="s">
        <v>644</v>
      </c>
      <c r="P19" s="634"/>
    </row>
    <row r="20" spans="1:16" ht="18.75" customHeight="1" x14ac:dyDescent="0.2">
      <c r="A20" s="17" t="s">
        <v>16</v>
      </c>
      <c r="B20" s="628"/>
      <c r="C20" s="628"/>
      <c r="D20" s="628"/>
      <c r="E20" s="628"/>
      <c r="F20" s="628"/>
      <c r="G20" s="720"/>
      <c r="H20" s="657">
        <v>2922</v>
      </c>
      <c r="I20" s="33"/>
      <c r="J20" s="725"/>
      <c r="K20" s="726"/>
      <c r="L20" s="726"/>
      <c r="M20" s="726"/>
      <c r="N20" s="726"/>
      <c r="O20" s="727"/>
      <c r="P20" s="634"/>
    </row>
    <row r="21" spans="1:16" ht="13.5" customHeight="1" x14ac:dyDescent="0.2">
      <c r="A21" s="5" t="s">
        <v>18</v>
      </c>
      <c r="B21" s="221"/>
      <c r="C21" s="221"/>
      <c r="D21" s="221"/>
      <c r="E21" s="221"/>
      <c r="F21" s="221"/>
      <c r="G21" s="222"/>
      <c r="H21" s="29">
        <v>2630</v>
      </c>
      <c r="I21" s="33"/>
      <c r="J21" s="728"/>
      <c r="K21" s="729"/>
      <c r="L21" s="729"/>
      <c r="M21" s="729"/>
      <c r="N21" s="729"/>
      <c r="O21" s="730"/>
      <c r="P21" s="634"/>
    </row>
    <row r="22" spans="1:16" ht="13.5" customHeight="1" x14ac:dyDescent="0.2">
      <c r="A22" s="5" t="s">
        <v>19</v>
      </c>
      <c r="B22" s="41">
        <v>695</v>
      </c>
      <c r="C22" s="41">
        <v>602</v>
      </c>
      <c r="D22" s="41">
        <v>204</v>
      </c>
      <c r="E22" s="41">
        <v>315</v>
      </c>
      <c r="F22" s="41">
        <v>629</v>
      </c>
      <c r="G22" s="37">
        <v>563</v>
      </c>
      <c r="H22" s="29">
        <v>2630</v>
      </c>
      <c r="I22" s="33"/>
      <c r="J22" s="1430">
        <f>B22/H22*100</f>
        <v>26.425855513307983</v>
      </c>
      <c r="K22" s="115">
        <f>C22/H22*100</f>
        <v>22.889733840304181</v>
      </c>
      <c r="L22" s="115">
        <f>D22/H22*100</f>
        <v>7.7566539923954378</v>
      </c>
      <c r="M22" s="115">
        <f>E22/H22*100</f>
        <v>11.977186311787072</v>
      </c>
      <c r="N22" s="115">
        <f>F22/H22*100</f>
        <v>23.916349809885933</v>
      </c>
      <c r="O22" s="1431">
        <f>G22/H22*100</f>
        <v>21.406844106463879</v>
      </c>
      <c r="P22" s="634"/>
    </row>
    <row r="23" spans="1:16" ht="13.5" customHeight="1" x14ac:dyDescent="0.2">
      <c r="A23" s="30" t="s">
        <v>20</v>
      </c>
      <c r="B23" s="41">
        <v>757</v>
      </c>
      <c r="C23" s="41">
        <v>481</v>
      </c>
      <c r="D23" s="41">
        <v>194</v>
      </c>
      <c r="E23" s="41">
        <v>331</v>
      </c>
      <c r="F23" s="41">
        <v>254</v>
      </c>
      <c r="G23" s="37">
        <v>821</v>
      </c>
      <c r="H23" s="29">
        <f>SUM(B23:G23)</f>
        <v>2838</v>
      </c>
      <c r="I23" s="33"/>
      <c r="J23" s="1430">
        <f>B23/H23*100</f>
        <v>26.673713883016209</v>
      </c>
      <c r="K23" s="115">
        <f>C23/H23*100</f>
        <v>16.948555320648346</v>
      </c>
      <c r="L23" s="115">
        <f>D23/H23*100</f>
        <v>6.8357998590556734</v>
      </c>
      <c r="M23" s="115">
        <f>E23/H23*100</f>
        <v>11.663143058491896</v>
      </c>
      <c r="N23" s="115">
        <f>F23/H23*100</f>
        <v>8.9499647639182527</v>
      </c>
      <c r="O23" s="1431">
        <f>G23/H23*100</f>
        <v>28.92882311486963</v>
      </c>
      <c r="P23" s="634"/>
    </row>
    <row r="24" spans="1:16" ht="13.5" customHeight="1" x14ac:dyDescent="0.2">
      <c r="A24" s="30" t="s">
        <v>13</v>
      </c>
      <c r="B24" s="41">
        <v>753</v>
      </c>
      <c r="C24" s="41">
        <v>477</v>
      </c>
      <c r="D24" s="41">
        <v>160</v>
      </c>
      <c r="E24" s="41">
        <v>331</v>
      </c>
      <c r="F24" s="41">
        <v>109</v>
      </c>
      <c r="G24" s="37">
        <v>887</v>
      </c>
      <c r="H24" s="29">
        <f t="shared" ref="H24:H30" si="12">SUM(B24:G24)</f>
        <v>2717</v>
      </c>
      <c r="I24" s="33"/>
      <c r="J24" s="1430">
        <f t="shared" ref="J24:J28" si="13">B24/H24*100</f>
        <v>27.714390872285609</v>
      </c>
      <c r="K24" s="115">
        <f t="shared" ref="K24:K28" si="14">C24/H24*100</f>
        <v>17.556128082443873</v>
      </c>
      <c r="L24" s="115">
        <f t="shared" ref="L24:L28" si="15">D24/H24*100</f>
        <v>5.8888479941111527</v>
      </c>
      <c r="M24" s="115">
        <f t="shared" ref="M24:M28" si="16">E24/H24*100</f>
        <v>12.182554287817446</v>
      </c>
      <c r="N24" s="115">
        <f t="shared" ref="N24:N28" si="17">F24/H24*100</f>
        <v>4.0117776959882221</v>
      </c>
      <c r="O24" s="1431">
        <f t="shared" ref="O24:O28" si="18">G24/H24*100</f>
        <v>32.646301067353697</v>
      </c>
      <c r="P24" s="634"/>
    </row>
    <row r="25" spans="1:16" ht="13.5" customHeight="1" x14ac:dyDescent="0.2">
      <c r="A25" s="30" t="s">
        <v>15</v>
      </c>
      <c r="B25" s="41">
        <v>635</v>
      </c>
      <c r="C25" s="41">
        <v>434</v>
      </c>
      <c r="D25" s="41">
        <v>151</v>
      </c>
      <c r="E25" s="41">
        <v>276</v>
      </c>
      <c r="F25" s="41">
        <v>55</v>
      </c>
      <c r="G25" s="37">
        <v>835</v>
      </c>
      <c r="H25" s="29">
        <f t="shared" si="12"/>
        <v>2386</v>
      </c>
      <c r="I25" s="33"/>
      <c r="J25" s="1430">
        <f t="shared" si="13"/>
        <v>26.613579212070409</v>
      </c>
      <c r="K25" s="115">
        <f t="shared" si="14"/>
        <v>18.189438390611905</v>
      </c>
      <c r="L25" s="115">
        <f t="shared" si="15"/>
        <v>6.3285834031852479</v>
      </c>
      <c r="M25" s="115">
        <f t="shared" si="16"/>
        <v>11.5674769488684</v>
      </c>
      <c r="N25" s="115">
        <f t="shared" si="17"/>
        <v>2.305113160100587</v>
      </c>
      <c r="O25" s="1431">
        <f t="shared" si="18"/>
        <v>34.995808885163456</v>
      </c>
      <c r="P25" s="634"/>
    </row>
    <row r="26" spans="1:16" ht="13.5" customHeight="1" x14ac:dyDescent="0.2">
      <c r="A26" s="30" t="s">
        <v>17</v>
      </c>
      <c r="B26" s="41">
        <v>640</v>
      </c>
      <c r="C26" s="41">
        <v>453</v>
      </c>
      <c r="D26" s="41">
        <v>144</v>
      </c>
      <c r="E26" s="41">
        <v>255</v>
      </c>
      <c r="F26" s="41">
        <v>37</v>
      </c>
      <c r="G26" s="37">
        <v>824</v>
      </c>
      <c r="H26" s="29">
        <f t="shared" si="12"/>
        <v>2353</v>
      </c>
      <c r="I26" s="33"/>
      <c r="J26" s="1430">
        <f t="shared" si="13"/>
        <v>27.199320016999572</v>
      </c>
      <c r="K26" s="115">
        <f t="shared" si="14"/>
        <v>19.25201869953251</v>
      </c>
      <c r="L26" s="115">
        <f t="shared" si="15"/>
        <v>6.119847003824904</v>
      </c>
      <c r="M26" s="115">
        <f t="shared" si="16"/>
        <v>10.837229069273269</v>
      </c>
      <c r="N26" s="115">
        <f t="shared" si="17"/>
        <v>1.5724606884827881</v>
      </c>
      <c r="O26" s="1431">
        <f t="shared" si="18"/>
        <v>35.019124521886951</v>
      </c>
      <c r="P26" s="634"/>
    </row>
    <row r="27" spans="1:16" ht="13.5" customHeight="1" x14ac:dyDescent="0.25">
      <c r="A27" s="30" t="s">
        <v>147</v>
      </c>
      <c r="B27" s="719">
        <v>639</v>
      </c>
      <c r="C27" s="719">
        <v>408</v>
      </c>
      <c r="D27" s="719">
        <v>147</v>
      </c>
      <c r="E27" s="719">
        <v>291</v>
      </c>
      <c r="F27" s="719">
        <v>29</v>
      </c>
      <c r="G27" s="37">
        <v>812</v>
      </c>
      <c r="H27" s="29">
        <f t="shared" si="12"/>
        <v>2326</v>
      </c>
      <c r="I27" s="33"/>
      <c r="J27" s="1430">
        <f t="shared" si="13"/>
        <v>27.472055030094584</v>
      </c>
      <c r="K27" s="115">
        <f t="shared" si="14"/>
        <v>17.540842648323302</v>
      </c>
      <c r="L27" s="115">
        <f t="shared" si="15"/>
        <v>6.3198624247635422</v>
      </c>
      <c r="M27" s="115">
        <f t="shared" si="16"/>
        <v>12.510748065348237</v>
      </c>
      <c r="N27" s="115">
        <f t="shared" si="17"/>
        <v>1.2467755803955289</v>
      </c>
      <c r="O27" s="1431">
        <f t="shared" si="18"/>
        <v>34.909716251074805</v>
      </c>
      <c r="P27" s="634"/>
    </row>
    <row r="28" spans="1:16" ht="13.5" customHeight="1" x14ac:dyDescent="0.25">
      <c r="A28" s="244" t="s">
        <v>160</v>
      </c>
      <c r="B28" s="719">
        <f>'T22'!C8</f>
        <v>696</v>
      </c>
      <c r="C28" s="719">
        <f>'T22'!D8</f>
        <v>448</v>
      </c>
      <c r="D28" s="719">
        <f>'T22'!E8</f>
        <v>160</v>
      </c>
      <c r="E28" s="719">
        <f>'T22'!F8</f>
        <v>262</v>
      </c>
      <c r="F28" s="719">
        <f>'T22'!G8</f>
        <v>19</v>
      </c>
      <c r="G28" s="37">
        <f>'T22'!H8</f>
        <v>912</v>
      </c>
      <c r="H28" s="29">
        <f t="shared" si="12"/>
        <v>2497</v>
      </c>
      <c r="I28" s="33"/>
      <c r="J28" s="1430">
        <f t="shared" si="13"/>
        <v>27.873448137765315</v>
      </c>
      <c r="K28" s="115">
        <f t="shared" si="14"/>
        <v>17.941529835802964</v>
      </c>
      <c r="L28" s="115">
        <f t="shared" si="15"/>
        <v>6.4076892270724866</v>
      </c>
      <c r="M28" s="115">
        <f t="shared" si="16"/>
        <v>10.492591109331197</v>
      </c>
      <c r="N28" s="115">
        <f t="shared" si="17"/>
        <v>0.76091309571485788</v>
      </c>
      <c r="O28" s="1431">
        <f t="shared" si="18"/>
        <v>36.523828594313173</v>
      </c>
      <c r="P28" s="634"/>
    </row>
    <row r="29" spans="1:16" ht="13.5" customHeight="1" x14ac:dyDescent="0.25">
      <c r="A29" s="244" t="s">
        <v>379</v>
      </c>
      <c r="B29" s="719">
        <f>'T22'!C9</f>
        <v>651</v>
      </c>
      <c r="C29" s="719">
        <f>'T22'!D9</f>
        <v>389</v>
      </c>
      <c r="D29" s="719">
        <f>'T22'!E9</f>
        <v>138</v>
      </c>
      <c r="E29" s="719">
        <f>'T22'!F9</f>
        <v>272</v>
      </c>
      <c r="F29" s="719">
        <f>'T22'!G9</f>
        <v>21</v>
      </c>
      <c r="G29" s="37">
        <f>'T22'!H9</f>
        <v>808</v>
      </c>
      <c r="H29" s="29">
        <f t="shared" si="12"/>
        <v>2279</v>
      </c>
      <c r="I29" s="636" t="s">
        <v>145</v>
      </c>
      <c r="J29" s="1430">
        <f t="shared" ref="J29:J30" si="19">B29/H29*100</f>
        <v>28.565160157964019</v>
      </c>
      <c r="K29" s="115">
        <f t="shared" ref="K29:K30" si="20">C29/H29*100</f>
        <v>17.068889863975429</v>
      </c>
      <c r="L29" s="115">
        <f t="shared" ref="L29:L30" si="21">D29/H29*100</f>
        <v>6.0552874067573494</v>
      </c>
      <c r="M29" s="115">
        <f t="shared" ref="M29:M30" si="22">E29/H29*100</f>
        <v>11.935059236507239</v>
      </c>
      <c r="N29" s="115">
        <f t="shared" ref="N29:N30" si="23">F29/H29*100</f>
        <v>0.92145677928916181</v>
      </c>
      <c r="O29" s="1431">
        <f t="shared" ref="O29:O30" si="24">G29/H29*100</f>
        <v>35.454146555506796</v>
      </c>
      <c r="P29" s="84" t="s">
        <v>145</v>
      </c>
    </row>
    <row r="30" spans="1:16" ht="13.5" customHeight="1" x14ac:dyDescent="0.25">
      <c r="A30" s="470" t="s">
        <v>603</v>
      </c>
      <c r="B30" s="721">
        <f>'T22'!C10</f>
        <v>652</v>
      </c>
      <c r="C30" s="721">
        <f>'T22'!D10</f>
        <v>421</v>
      </c>
      <c r="D30" s="721">
        <f>'T22'!E10</f>
        <v>149</v>
      </c>
      <c r="E30" s="721">
        <f>'T22'!F10</f>
        <v>301</v>
      </c>
      <c r="F30" s="721">
        <f>'T22'!G10</f>
        <v>18</v>
      </c>
      <c r="G30" s="658">
        <f>'T22'!H10</f>
        <v>740</v>
      </c>
      <c r="H30" s="31">
        <f t="shared" si="12"/>
        <v>2281</v>
      </c>
      <c r="I30" s="636" t="s">
        <v>143</v>
      </c>
      <c r="J30" s="1432">
        <f t="shared" si="19"/>
        <v>28.583954405962299</v>
      </c>
      <c r="K30" s="1433">
        <f t="shared" si="20"/>
        <v>18.456817185444979</v>
      </c>
      <c r="L30" s="1433">
        <f t="shared" si="21"/>
        <v>6.5322227093380096</v>
      </c>
      <c r="M30" s="1433">
        <f t="shared" si="22"/>
        <v>13.195966681280142</v>
      </c>
      <c r="N30" s="1433">
        <f t="shared" si="23"/>
        <v>0.78912757562472602</v>
      </c>
      <c r="O30" s="1434">
        <f t="shared" si="24"/>
        <v>32.441911442349848</v>
      </c>
      <c r="P30" s="84" t="s">
        <v>143</v>
      </c>
    </row>
    <row r="31" spans="1:16" ht="13.5" customHeight="1" x14ac:dyDescent="0.2">
      <c r="A31" s="1"/>
      <c r="B31" s="1"/>
      <c r="C31" s="1"/>
      <c r="D31" s="1"/>
      <c r="E31" s="1"/>
      <c r="F31" s="1"/>
      <c r="G31" s="1"/>
      <c r="H31" s="1"/>
      <c r="I31" s="1"/>
      <c r="J31" s="1"/>
      <c r="K31" s="1"/>
      <c r="L31" s="1"/>
      <c r="M31" s="1"/>
      <c r="N31" s="1"/>
      <c r="O31" s="1"/>
      <c r="P31" s="632"/>
    </row>
    <row r="32" spans="1:16" ht="13.5" customHeight="1" x14ac:dyDescent="0.2">
      <c r="A32" s="13" t="s">
        <v>162</v>
      </c>
      <c r="B32" s="1"/>
      <c r="C32" s="1"/>
      <c r="D32" s="1"/>
      <c r="E32" s="1"/>
      <c r="F32" s="1"/>
      <c r="G32" s="1"/>
      <c r="H32" s="1"/>
      <c r="I32" s="1"/>
      <c r="J32" s="1"/>
      <c r="K32" s="1"/>
      <c r="L32" s="1"/>
      <c r="M32" s="1"/>
      <c r="N32" s="1"/>
      <c r="O32" s="1"/>
      <c r="P32" s="632"/>
    </row>
    <row r="33" spans="1:16" ht="13.5" customHeight="1" x14ac:dyDescent="0.2">
      <c r="A33" s="1643" t="s">
        <v>1050</v>
      </c>
      <c r="B33" s="1643"/>
      <c r="C33" s="1"/>
      <c r="D33" s="1"/>
      <c r="E33" s="1"/>
      <c r="F33" s="1"/>
      <c r="G33" s="1"/>
      <c r="H33" s="1"/>
      <c r="I33" s="1"/>
      <c r="J33" s="1"/>
      <c r="K33" s="1"/>
      <c r="L33" s="1"/>
      <c r="M33" s="1"/>
      <c r="N33" s="1"/>
      <c r="O33" s="1"/>
      <c r="P33" s="632"/>
    </row>
    <row r="34" spans="1:16" ht="13.5" customHeight="1" x14ac:dyDescent="0.2">
      <c r="A34" s="71" t="s">
        <v>971</v>
      </c>
      <c r="B34" s="1"/>
      <c r="C34" s="1"/>
      <c r="D34" s="1"/>
      <c r="E34" s="1"/>
      <c r="F34" s="1"/>
      <c r="G34" s="1"/>
      <c r="H34" s="1"/>
      <c r="I34" s="1"/>
      <c r="J34" s="1"/>
      <c r="K34" s="1"/>
      <c r="L34" s="1"/>
      <c r="M34" s="1"/>
      <c r="N34" s="1"/>
      <c r="O34" s="1"/>
      <c r="P34" s="632"/>
    </row>
    <row r="35" spans="1:16" ht="13.5" customHeight="1" x14ac:dyDescent="0.2">
      <c r="A35" s="1643" t="s">
        <v>1046</v>
      </c>
      <c r="B35" s="1643"/>
      <c r="C35" s="1643"/>
      <c r="D35" s="1643"/>
      <c r="E35" s="1643"/>
      <c r="F35" s="1643"/>
      <c r="G35" s="1643"/>
      <c r="H35" s="1643"/>
      <c r="I35" s="1"/>
      <c r="J35" s="1"/>
      <c r="K35" s="1"/>
      <c r="L35" s="1"/>
      <c r="M35" s="1"/>
      <c r="N35" s="1"/>
      <c r="O35" s="1"/>
      <c r="P35" s="632"/>
    </row>
    <row r="36" spans="1:16" ht="13.5" customHeight="1" x14ac:dyDescent="0.2">
      <c r="A36" s="1673"/>
      <c r="B36" s="1673"/>
      <c r="C36" s="1673"/>
      <c r="D36" s="1673"/>
      <c r="E36" s="1673"/>
      <c r="F36" s="1673"/>
      <c r="G36" s="1673"/>
      <c r="H36" s="1"/>
      <c r="I36" s="1"/>
      <c r="J36" s="1"/>
      <c r="K36" s="1"/>
      <c r="L36" s="1"/>
      <c r="M36" s="1"/>
      <c r="N36" s="1"/>
      <c r="O36" s="1"/>
      <c r="P36" s="632"/>
    </row>
    <row r="37" spans="1:16" ht="13.5" customHeight="1" x14ac:dyDescent="0.2">
      <c r="A37" s="386" t="s">
        <v>169</v>
      </c>
    </row>
  </sheetData>
  <sheetProtection algorithmName="SHA-512" hashValue="11eTaFyda15+oam7PCMhXqKvgm0lbMAOVDHnutqA0cCVzas9gAKKu7MpLhjq5aGXH88+4cF8hTsqXU73Ii5Xyg==" saltValue="UxuLEAB7USan/efZSvkG0g==" spinCount="100000" sheet="1" objects="1" scenarios="1"/>
  <mergeCells count="12">
    <mergeCell ref="A36:G36"/>
    <mergeCell ref="A1:P1"/>
    <mergeCell ref="J3:O3"/>
    <mergeCell ref="J18:O18"/>
    <mergeCell ref="A33:B33"/>
    <mergeCell ref="A35:H35"/>
    <mergeCell ref="B3:G3"/>
    <mergeCell ref="B18:G18"/>
    <mergeCell ref="A3:A4"/>
    <mergeCell ref="A18:A19"/>
    <mergeCell ref="H3:H4"/>
    <mergeCell ref="H18:H19"/>
  </mergeCells>
  <hyperlinks>
    <hyperlink ref="A37" location="Contents!A1" display="Return to contents" xr:uid="{00000000-0004-0000-5D00-000000000000}"/>
  </hyperlinks>
  <pageMargins left="0.7" right="0.7" top="0.75" bottom="0.75" header="0.3" footer="0.3"/>
  <pageSetup paperSize="9" scale="68"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5">
    <tabColor theme="4"/>
    <pageSetUpPr fitToPage="1"/>
  </sheetPr>
  <dimension ref="A1:R117"/>
  <sheetViews>
    <sheetView showGridLines="0" zoomScaleNormal="100" workbookViewId="0">
      <selection sqref="A1:M1"/>
    </sheetView>
  </sheetViews>
  <sheetFormatPr defaultRowHeight="12.75" x14ac:dyDescent="0.2"/>
  <cols>
    <col min="1" max="1" width="23.42578125" customWidth="1"/>
    <col min="2" max="2" width="10.5703125" customWidth="1"/>
    <col min="3" max="3" width="11.7109375" customWidth="1"/>
    <col min="4" max="4" width="12.140625" customWidth="1"/>
    <col min="5" max="5" width="12.5703125" customWidth="1"/>
    <col min="6" max="6" width="12" customWidth="1"/>
    <col min="7" max="7" width="12.42578125" customWidth="1"/>
    <col min="8" max="8" width="9.42578125" customWidth="1"/>
    <col min="9" max="9" width="11.140625" customWidth="1"/>
    <col min="10" max="10" width="9.5703125" customWidth="1"/>
    <col min="11" max="11" width="11" customWidth="1"/>
    <col min="12" max="12" width="11.28515625" customWidth="1"/>
    <col min="13" max="13" width="10.85546875" customWidth="1"/>
    <col min="14" max="14" width="11.5703125" customWidth="1"/>
    <col min="15" max="15" width="12.7109375" customWidth="1"/>
    <col min="16" max="16" width="12.140625" customWidth="1"/>
    <col min="17" max="17" width="12.42578125" customWidth="1"/>
  </cols>
  <sheetData>
    <row r="1" spans="1:18" s="545" customFormat="1" ht="38.25" customHeight="1" x14ac:dyDescent="0.2">
      <c r="A1" s="1655" t="s">
        <v>646</v>
      </c>
      <c r="B1" s="1655"/>
      <c r="C1" s="1655"/>
      <c r="D1" s="1655"/>
      <c r="E1" s="1655"/>
      <c r="F1" s="1655"/>
      <c r="G1" s="1655"/>
      <c r="H1" s="1655"/>
      <c r="I1" s="1655"/>
      <c r="J1" s="1655"/>
      <c r="K1" s="1655"/>
      <c r="L1" s="1655"/>
      <c r="M1" s="1655"/>
      <c r="N1" s="659"/>
      <c r="O1" s="659"/>
      <c r="P1" s="659"/>
    </row>
    <row r="2" spans="1:18" ht="15" x14ac:dyDescent="0.25">
      <c r="A2" s="2"/>
      <c r="B2" s="1"/>
      <c r="C2" s="1"/>
      <c r="D2" s="1"/>
      <c r="E2" s="1"/>
      <c r="F2" s="1"/>
      <c r="G2" s="1"/>
      <c r="I2" s="253" t="s">
        <v>0</v>
      </c>
      <c r="J2" s="1"/>
      <c r="K2" s="1"/>
      <c r="L2" s="1"/>
      <c r="M2" s="1"/>
      <c r="N2" s="1"/>
      <c r="P2" s="1"/>
      <c r="Q2" s="145" t="s">
        <v>64</v>
      </c>
    </row>
    <row r="3" spans="1:18" x14ac:dyDescent="0.2">
      <c r="A3" s="51"/>
      <c r="B3" s="1674" t="s">
        <v>647</v>
      </c>
      <c r="C3" s="1675"/>
      <c r="D3" s="1675"/>
      <c r="E3" s="1675"/>
      <c r="F3" s="1675"/>
      <c r="G3" s="1675"/>
      <c r="H3" s="1675"/>
      <c r="I3" s="1676"/>
      <c r="J3" s="1"/>
      <c r="K3" s="1674" t="s">
        <v>296</v>
      </c>
      <c r="L3" s="1675"/>
      <c r="M3" s="1675"/>
      <c r="N3" s="1675"/>
      <c r="O3" s="1675"/>
      <c r="P3" s="1675"/>
      <c r="Q3" s="1676"/>
    </row>
    <row r="4" spans="1:18" ht="26.25" customHeight="1" x14ac:dyDescent="0.2">
      <c r="A4" s="17" t="s">
        <v>4</v>
      </c>
      <c r="B4" s="26" t="s">
        <v>297</v>
      </c>
      <c r="C4" s="670" t="s">
        <v>298</v>
      </c>
      <c r="D4" s="670" t="s">
        <v>299</v>
      </c>
      <c r="E4" s="670" t="s">
        <v>300</v>
      </c>
      <c r="F4" s="670" t="s">
        <v>301</v>
      </c>
      <c r="G4" s="670" t="s">
        <v>329</v>
      </c>
      <c r="H4" s="670" t="s">
        <v>190</v>
      </c>
      <c r="I4" s="670" t="s">
        <v>11</v>
      </c>
      <c r="J4" s="1"/>
      <c r="K4" s="697" t="s">
        <v>297</v>
      </c>
      <c r="L4" s="697" t="s">
        <v>298</v>
      </c>
      <c r="M4" s="697" t="s">
        <v>299</v>
      </c>
      <c r="N4" s="697" t="s">
        <v>300</v>
      </c>
      <c r="O4" s="697" t="s">
        <v>301</v>
      </c>
      <c r="P4" s="697" t="s">
        <v>329</v>
      </c>
      <c r="Q4" s="205" t="s">
        <v>190</v>
      </c>
    </row>
    <row r="5" spans="1:18" ht="18.75" customHeight="1" x14ac:dyDescent="0.2">
      <c r="A5" s="1017" t="s">
        <v>20</v>
      </c>
      <c r="B5" s="215">
        <v>4543</v>
      </c>
      <c r="C5" s="215">
        <v>5918</v>
      </c>
      <c r="D5" s="215">
        <v>2404</v>
      </c>
      <c r="E5" s="215">
        <v>155</v>
      </c>
      <c r="F5" s="215">
        <v>29</v>
      </c>
      <c r="G5" s="215">
        <v>27</v>
      </c>
      <c r="H5" s="215">
        <v>0</v>
      </c>
      <c r="I5" s="484">
        <f>SUM(B5:H5)</f>
        <v>13076</v>
      </c>
      <c r="J5" s="59"/>
      <c r="K5" s="1444">
        <f>B5/I5*100</f>
        <v>34.743040685224841</v>
      </c>
      <c r="L5" s="1445">
        <f>C5/I5*100</f>
        <v>45.258488834505968</v>
      </c>
      <c r="M5" s="1445">
        <f>D5/I5*100</f>
        <v>18.384827164270419</v>
      </c>
      <c r="N5" s="1445">
        <f>E5/I5*100</f>
        <v>1.1853777913735086</v>
      </c>
      <c r="O5" s="1445">
        <f>F5/I5*100</f>
        <v>0.22178036096665646</v>
      </c>
      <c r="P5" s="1445">
        <f>G5/I5*100</f>
        <v>0.20648516365861119</v>
      </c>
      <c r="Q5" s="1446">
        <f>H5/I5*100</f>
        <v>0</v>
      </c>
    </row>
    <row r="6" spans="1:18" ht="13.5" customHeight="1" x14ac:dyDescent="0.2">
      <c r="A6" s="30" t="s">
        <v>13</v>
      </c>
      <c r="B6" s="177">
        <v>3983</v>
      </c>
      <c r="C6" s="177">
        <v>5443</v>
      </c>
      <c r="D6" s="177">
        <v>2688</v>
      </c>
      <c r="E6" s="177">
        <v>131</v>
      </c>
      <c r="F6" s="177">
        <v>28</v>
      </c>
      <c r="G6" s="177">
        <v>17</v>
      </c>
      <c r="H6" s="177">
        <v>0</v>
      </c>
      <c r="I6" s="485">
        <f t="shared" ref="I6:I12" si="0">SUM(B6:H6)</f>
        <v>12290</v>
      </c>
      <c r="J6" s="59"/>
      <c r="K6" s="1447">
        <f t="shared" ref="K6:K10" si="1">B6/I6*100</f>
        <v>32.408462164361268</v>
      </c>
      <c r="L6" s="1448">
        <f t="shared" ref="L6:L10" si="2">C6/I6*100</f>
        <v>44.288039056143205</v>
      </c>
      <c r="M6" s="1448">
        <f t="shared" ref="M6:M10" si="3">D6/I6*100</f>
        <v>21.871440195280716</v>
      </c>
      <c r="N6" s="1448">
        <f t="shared" ref="N6:N10" si="4">E6/I6*100</f>
        <v>1.0659072416598863</v>
      </c>
      <c r="O6" s="1448">
        <f t="shared" ref="O6:O10" si="5">F6/I6*100</f>
        <v>0.2278275020341741</v>
      </c>
      <c r="P6" s="1448">
        <f t="shared" ref="P6:P10" si="6">G6/I6*100</f>
        <v>0.13832384052074859</v>
      </c>
      <c r="Q6" s="1449">
        <f t="shared" ref="Q6:Q10" si="7">H6/I6*100</f>
        <v>0</v>
      </c>
    </row>
    <row r="7" spans="1:18" ht="13.5" customHeight="1" x14ac:dyDescent="0.2">
      <c r="A7" s="30" t="s">
        <v>15</v>
      </c>
      <c r="B7" s="177">
        <v>3350</v>
      </c>
      <c r="C7" s="177">
        <v>5122</v>
      </c>
      <c r="D7" s="177">
        <v>2345</v>
      </c>
      <c r="E7" s="177">
        <v>101</v>
      </c>
      <c r="F7" s="177">
        <v>27</v>
      </c>
      <c r="G7" s="177">
        <v>19</v>
      </c>
      <c r="H7" s="177">
        <v>0</v>
      </c>
      <c r="I7" s="485">
        <f t="shared" si="0"/>
        <v>10964</v>
      </c>
      <c r="J7" s="59"/>
      <c r="K7" s="1447">
        <f t="shared" si="1"/>
        <v>30.554542137905869</v>
      </c>
      <c r="L7" s="1448">
        <f t="shared" si="2"/>
        <v>46.71652681503101</v>
      </c>
      <c r="M7" s="1448">
        <f t="shared" si="3"/>
        <v>21.388179496534114</v>
      </c>
      <c r="N7" s="1448">
        <f t="shared" si="4"/>
        <v>0.92119664356074427</v>
      </c>
      <c r="O7" s="1448">
        <f t="shared" si="5"/>
        <v>0.24626048887267421</v>
      </c>
      <c r="P7" s="1448">
        <f t="shared" si="6"/>
        <v>0.17329441809558555</v>
      </c>
      <c r="Q7" s="1449">
        <f t="shared" si="7"/>
        <v>0</v>
      </c>
    </row>
    <row r="8" spans="1:18" ht="13.5" customHeight="1" x14ac:dyDescent="0.2">
      <c r="A8" s="30" t="s">
        <v>17</v>
      </c>
      <c r="B8" s="177">
        <v>3360</v>
      </c>
      <c r="C8" s="177">
        <v>4736</v>
      </c>
      <c r="D8" s="177">
        <v>2169</v>
      </c>
      <c r="E8" s="177">
        <v>127</v>
      </c>
      <c r="F8" s="177">
        <v>18</v>
      </c>
      <c r="G8" s="177">
        <v>17</v>
      </c>
      <c r="H8" s="177">
        <v>3</v>
      </c>
      <c r="I8" s="485">
        <f t="shared" si="0"/>
        <v>10430</v>
      </c>
      <c r="J8" s="59"/>
      <c r="K8" s="1447">
        <f t="shared" si="1"/>
        <v>32.214765100671137</v>
      </c>
      <c r="L8" s="1448">
        <f t="shared" si="2"/>
        <v>45.407478427612659</v>
      </c>
      <c r="M8" s="1448">
        <f t="shared" si="3"/>
        <v>20.795781399808245</v>
      </c>
      <c r="N8" s="1448">
        <f t="shared" si="4"/>
        <v>1.2176414189837008</v>
      </c>
      <c r="O8" s="1448">
        <f t="shared" si="5"/>
        <v>0.17257909875359539</v>
      </c>
      <c r="P8" s="1448">
        <f t="shared" si="6"/>
        <v>0.16299137104506231</v>
      </c>
      <c r="Q8" s="1449">
        <f t="shared" si="7"/>
        <v>2.876318312559923E-2</v>
      </c>
    </row>
    <row r="9" spans="1:18" ht="13.5" customHeight="1" x14ac:dyDescent="0.2">
      <c r="A9" s="30" t="s">
        <v>147</v>
      </c>
      <c r="B9" s="177">
        <v>3242</v>
      </c>
      <c r="C9" s="177">
        <v>4840</v>
      </c>
      <c r="D9" s="177">
        <v>2280</v>
      </c>
      <c r="E9" s="177">
        <v>114</v>
      </c>
      <c r="F9" s="177">
        <v>22</v>
      </c>
      <c r="G9" s="177">
        <v>19</v>
      </c>
      <c r="H9" s="177">
        <v>5</v>
      </c>
      <c r="I9" s="485">
        <f t="shared" si="0"/>
        <v>10522</v>
      </c>
      <c r="J9" s="59"/>
      <c r="K9" s="1447">
        <f t="shared" si="1"/>
        <v>30.811632769435469</v>
      </c>
      <c r="L9" s="1448">
        <f t="shared" si="2"/>
        <v>45.998859532408289</v>
      </c>
      <c r="M9" s="1448">
        <f t="shared" si="3"/>
        <v>21.668884242539441</v>
      </c>
      <c r="N9" s="1448">
        <f t="shared" si="4"/>
        <v>1.0834442121269721</v>
      </c>
      <c r="O9" s="1448">
        <f t="shared" si="5"/>
        <v>0.20908572514731039</v>
      </c>
      <c r="P9" s="1448">
        <f t="shared" si="6"/>
        <v>0.18057403535449534</v>
      </c>
      <c r="Q9" s="1449">
        <f t="shared" si="7"/>
        <v>4.7519482988025094E-2</v>
      </c>
    </row>
    <row r="10" spans="1:18" ht="13.5" customHeight="1" x14ac:dyDescent="0.2">
      <c r="A10" s="30" t="s">
        <v>160</v>
      </c>
      <c r="B10" s="177">
        <f>'T23'!D5</f>
        <v>3353</v>
      </c>
      <c r="C10" s="177">
        <f>'T23'!E5</f>
        <v>4897</v>
      </c>
      <c r="D10" s="177">
        <f>'T23'!F5</f>
        <v>2354</v>
      </c>
      <c r="E10" s="177">
        <f>'T23'!G5</f>
        <v>111</v>
      </c>
      <c r="F10" s="177">
        <f>'T23'!H5</f>
        <v>21</v>
      </c>
      <c r="G10" s="177">
        <f>'T23'!I5</f>
        <v>17</v>
      </c>
      <c r="H10" s="177">
        <f>'T23'!J5</f>
        <v>155</v>
      </c>
      <c r="I10" s="485">
        <f t="shared" si="0"/>
        <v>10908</v>
      </c>
      <c r="J10" s="59"/>
      <c r="K10" s="1447">
        <f t="shared" si="1"/>
        <v>30.73890722405574</v>
      </c>
      <c r="L10" s="1448">
        <f t="shared" si="2"/>
        <v>44.893656032269895</v>
      </c>
      <c r="M10" s="1448">
        <f t="shared" si="3"/>
        <v>21.580491382471582</v>
      </c>
      <c r="N10" s="1448">
        <f t="shared" si="4"/>
        <v>1.0176017601760174</v>
      </c>
      <c r="O10" s="1448">
        <f t="shared" si="5"/>
        <v>0.19251925192519251</v>
      </c>
      <c r="P10" s="1448">
        <f t="shared" si="6"/>
        <v>0.15584891822515584</v>
      </c>
      <c r="Q10" s="1449">
        <f t="shared" si="7"/>
        <v>1.4209754308764211</v>
      </c>
    </row>
    <row r="11" spans="1:18" ht="13.5" customHeight="1" x14ac:dyDescent="0.2">
      <c r="A11" s="30" t="s">
        <v>379</v>
      </c>
      <c r="B11" s="177">
        <f>'T23'!D6</f>
        <v>3569</v>
      </c>
      <c r="C11" s="177">
        <f>'T23'!E6</f>
        <v>4819</v>
      </c>
      <c r="D11" s="177">
        <f>'T23'!F6</f>
        <v>2257</v>
      </c>
      <c r="E11" s="177">
        <f>'T23'!G6</f>
        <v>125</v>
      </c>
      <c r="F11" s="177">
        <f>'T23'!H6</f>
        <v>16</v>
      </c>
      <c r="G11" s="177">
        <f>'T23'!I6</f>
        <v>17</v>
      </c>
      <c r="H11" s="177">
        <f>'T23'!J6</f>
        <v>1</v>
      </c>
      <c r="I11" s="485">
        <f t="shared" si="0"/>
        <v>10804</v>
      </c>
      <c r="J11" s="72" t="s">
        <v>145</v>
      </c>
      <c r="K11" s="1447">
        <f t="shared" ref="K11:K12" si="8">B11/I11*100</f>
        <v>33.034061458718995</v>
      </c>
      <c r="L11" s="1448">
        <f t="shared" ref="L11:L12" si="9">C11/I11*100</f>
        <v>44.603850425768229</v>
      </c>
      <c r="M11" s="1448">
        <f t="shared" ref="M11:M12" si="10">D11/I11*100</f>
        <v>20.890410958904109</v>
      </c>
      <c r="N11" s="1448">
        <f t="shared" ref="N11:N12" si="11">E11/I11*100</f>
        <v>1.1569788967049239</v>
      </c>
      <c r="O11" s="1448">
        <f t="shared" ref="O11:O12" si="12">F11/I11*100</f>
        <v>0.1480932987782303</v>
      </c>
      <c r="P11" s="1448">
        <f t="shared" ref="P11:P12" si="13">G11/I11*100</f>
        <v>0.15734912995186967</v>
      </c>
      <c r="Q11" s="1449">
        <f t="shared" ref="Q11:Q12" si="14">H11/I11*100</f>
        <v>9.2558311736393936E-3</v>
      </c>
      <c r="R11" t="s">
        <v>145</v>
      </c>
    </row>
    <row r="12" spans="1:18" ht="13.5" customHeight="1" x14ac:dyDescent="0.2">
      <c r="A12" s="1261" t="s">
        <v>603</v>
      </c>
      <c r="B12" s="482">
        <f>'T23'!D7</f>
        <v>3572</v>
      </c>
      <c r="C12" s="482">
        <f>'T23'!E7</f>
        <v>4607</v>
      </c>
      <c r="D12" s="482">
        <f>'T23'!F7</f>
        <v>2213</v>
      </c>
      <c r="E12" s="482">
        <f>'T23'!G7</f>
        <v>124</v>
      </c>
      <c r="F12" s="482">
        <f>'T23'!H7</f>
        <v>27</v>
      </c>
      <c r="G12" s="482">
        <f>'T23'!I7</f>
        <v>19</v>
      </c>
      <c r="H12" s="482">
        <f>'T23'!J7</f>
        <v>1</v>
      </c>
      <c r="I12" s="486">
        <f t="shared" si="0"/>
        <v>10563</v>
      </c>
      <c r="J12" s="72" t="s">
        <v>143</v>
      </c>
      <c r="K12" s="1450">
        <f t="shared" si="8"/>
        <v>33.816150714759061</v>
      </c>
      <c r="L12" s="1451">
        <f t="shared" si="9"/>
        <v>43.614503455457729</v>
      </c>
      <c r="M12" s="1451">
        <f t="shared" si="10"/>
        <v>20.950487550885168</v>
      </c>
      <c r="N12" s="1451">
        <f t="shared" si="11"/>
        <v>1.1739089273880527</v>
      </c>
      <c r="O12" s="1451">
        <f t="shared" si="12"/>
        <v>0.25560920193126951</v>
      </c>
      <c r="P12" s="1451">
        <f t="shared" si="13"/>
        <v>0.17987314209978225</v>
      </c>
      <c r="Q12" s="1452">
        <f t="shared" si="14"/>
        <v>9.4670074789359078E-3</v>
      </c>
      <c r="R12" t="s">
        <v>143</v>
      </c>
    </row>
    <row r="13" spans="1:18" x14ac:dyDescent="0.2">
      <c r="A13" s="2"/>
      <c r="B13" s="7"/>
      <c r="C13" s="7"/>
      <c r="D13" s="7"/>
      <c r="E13" s="7"/>
      <c r="F13" s="7"/>
      <c r="G13" s="7"/>
      <c r="H13" s="34"/>
      <c r="I13" s="1"/>
      <c r="J13" s="274"/>
      <c r="K13" s="274"/>
      <c r="L13" s="274"/>
      <c r="M13" s="274"/>
      <c r="N13" s="274"/>
      <c r="O13" s="274"/>
      <c r="P13" s="1"/>
    </row>
    <row r="14" spans="1:18" x14ac:dyDescent="0.2">
      <c r="A14" s="2"/>
      <c r="B14" s="7"/>
      <c r="C14" s="7"/>
      <c r="D14" s="7"/>
      <c r="E14" s="7"/>
      <c r="F14" s="7"/>
      <c r="G14" s="7"/>
      <c r="H14" s="34"/>
      <c r="I14" s="1"/>
      <c r="J14" s="274"/>
      <c r="K14" s="274"/>
      <c r="L14" s="274"/>
      <c r="M14" s="274"/>
      <c r="N14" s="274"/>
      <c r="O14" s="274"/>
      <c r="P14" s="1"/>
    </row>
    <row r="15" spans="1:18" ht="15" x14ac:dyDescent="0.25">
      <c r="A15" s="2"/>
      <c r="B15" s="7"/>
      <c r="C15" s="7"/>
      <c r="D15" s="7"/>
      <c r="F15" s="7"/>
      <c r="G15" s="7"/>
      <c r="H15" s="34"/>
      <c r="I15" s="253" t="s">
        <v>0</v>
      </c>
      <c r="J15" s="274"/>
      <c r="K15" s="274"/>
      <c r="N15" s="274"/>
      <c r="O15" s="274"/>
      <c r="P15" s="1"/>
      <c r="Q15" s="145" t="s">
        <v>64</v>
      </c>
    </row>
    <row r="16" spans="1:18" x14ac:dyDescent="0.2">
      <c r="A16" s="1"/>
      <c r="B16" s="1674" t="s">
        <v>115</v>
      </c>
      <c r="C16" s="1675"/>
      <c r="D16" s="1675"/>
      <c r="E16" s="1675"/>
      <c r="F16" s="1675"/>
      <c r="G16" s="1675"/>
      <c r="H16" s="1675"/>
      <c r="I16" s="1676"/>
      <c r="J16" s="518"/>
      <c r="K16" s="1674" t="s">
        <v>115</v>
      </c>
      <c r="L16" s="1675"/>
      <c r="M16" s="1675"/>
      <c r="N16" s="1675"/>
      <c r="O16" s="1675"/>
      <c r="P16" s="1675"/>
      <c r="Q16" s="1676"/>
    </row>
    <row r="17" spans="1:18" ht="26.25" customHeight="1" x14ac:dyDescent="0.2">
      <c r="A17" s="4" t="s">
        <v>4</v>
      </c>
      <c r="B17" s="26" t="s">
        <v>297</v>
      </c>
      <c r="C17" s="670" t="s">
        <v>298</v>
      </c>
      <c r="D17" s="466" t="s">
        <v>299</v>
      </c>
      <c r="E17" s="466" t="s">
        <v>300</v>
      </c>
      <c r="F17" s="466" t="s">
        <v>332</v>
      </c>
      <c r="G17" s="1333" t="s">
        <v>329</v>
      </c>
      <c r="H17" s="466" t="s">
        <v>190</v>
      </c>
      <c r="I17" s="670" t="s">
        <v>11</v>
      </c>
      <c r="J17" s="228"/>
      <c r="K17" s="697" t="s">
        <v>297</v>
      </c>
      <c r="L17" s="697" t="s">
        <v>298</v>
      </c>
      <c r="M17" s="697" t="s">
        <v>299</v>
      </c>
      <c r="N17" s="665" t="s">
        <v>300</v>
      </c>
      <c r="O17" s="466" t="s">
        <v>332</v>
      </c>
      <c r="P17" s="466" t="s">
        <v>329</v>
      </c>
      <c r="Q17" s="670" t="s">
        <v>190</v>
      </c>
    </row>
    <row r="18" spans="1:18" ht="18.75" customHeight="1" x14ac:dyDescent="0.2">
      <c r="A18" s="597" t="s">
        <v>20</v>
      </c>
      <c r="B18" s="478">
        <v>20471</v>
      </c>
      <c r="C18" s="215">
        <v>3190</v>
      </c>
      <c r="D18" s="215">
        <v>494</v>
      </c>
      <c r="E18" s="215">
        <v>0</v>
      </c>
      <c r="F18" s="215">
        <v>0</v>
      </c>
      <c r="G18" s="1334">
        <v>0</v>
      </c>
      <c r="H18" s="215">
        <v>0</v>
      </c>
      <c r="I18" s="484">
        <f>SUM(B18:H18)</f>
        <v>24155</v>
      </c>
      <c r="J18" s="34"/>
      <c r="K18" s="1444">
        <f>B18/I18*100</f>
        <v>84.748499275512316</v>
      </c>
      <c r="L18" s="1445">
        <f>C18/I18*100</f>
        <v>13.206375491616642</v>
      </c>
      <c r="M18" s="1445">
        <f>D18/I18*100</f>
        <v>2.0451252328710412</v>
      </c>
      <c r="N18" s="1445">
        <f>E18/I18*100</f>
        <v>0</v>
      </c>
      <c r="O18" s="1453">
        <f>F18/I18*100</f>
        <v>0</v>
      </c>
      <c r="P18" s="1453">
        <f>G18/I18*100</f>
        <v>0</v>
      </c>
      <c r="Q18" s="1454">
        <f>H18/I18*100</f>
        <v>0</v>
      </c>
    </row>
    <row r="19" spans="1:18" ht="13.5" customHeight="1" x14ac:dyDescent="0.2">
      <c r="A19" s="10" t="s">
        <v>13</v>
      </c>
      <c r="B19" s="479">
        <v>15626</v>
      </c>
      <c r="C19" s="177">
        <v>2575</v>
      </c>
      <c r="D19" s="177">
        <v>421</v>
      </c>
      <c r="E19" s="177">
        <v>0</v>
      </c>
      <c r="F19" s="177">
        <v>0</v>
      </c>
      <c r="G19" s="612">
        <v>0</v>
      </c>
      <c r="H19" s="177">
        <v>0</v>
      </c>
      <c r="I19" s="485">
        <f t="shared" ref="I19:I25" si="15">SUM(B19:H19)</f>
        <v>18622</v>
      </c>
      <c r="J19" s="34"/>
      <c r="K19" s="1447">
        <f t="shared" ref="K19:K23" si="16">B19/I19*100</f>
        <v>83.911502523896459</v>
      </c>
      <c r="L19" s="1448">
        <f t="shared" ref="L19:L23" si="17">C19/I19*100</f>
        <v>13.827730641177101</v>
      </c>
      <c r="M19" s="1448">
        <f t="shared" ref="M19:M23" si="18">D19/I19*100</f>
        <v>2.2607668349264309</v>
      </c>
      <c r="N19" s="1448">
        <f t="shared" ref="N19:N23" si="19">E19/I19*100</f>
        <v>0</v>
      </c>
      <c r="O19" s="1455">
        <f t="shared" ref="O19:O23" si="20">F19/I19*100</f>
        <v>0</v>
      </c>
      <c r="P19" s="1455">
        <f t="shared" ref="P19:P23" si="21">G19/I19*100</f>
        <v>0</v>
      </c>
      <c r="Q19" s="1456">
        <f t="shared" ref="Q19:Q23" si="22">H19/I19*100</f>
        <v>0</v>
      </c>
    </row>
    <row r="20" spans="1:18" ht="13.5" customHeight="1" x14ac:dyDescent="0.2">
      <c r="A20" s="10" t="s">
        <v>15</v>
      </c>
      <c r="B20" s="479">
        <v>12009</v>
      </c>
      <c r="C20" s="177">
        <v>1896</v>
      </c>
      <c r="D20" s="177">
        <v>344</v>
      </c>
      <c r="E20" s="177">
        <v>0</v>
      </c>
      <c r="F20" s="177">
        <v>0</v>
      </c>
      <c r="G20" s="612">
        <v>0</v>
      </c>
      <c r="H20" s="177">
        <v>0</v>
      </c>
      <c r="I20" s="485">
        <f t="shared" si="15"/>
        <v>14249</v>
      </c>
      <c r="J20" s="34"/>
      <c r="K20" s="1447">
        <f t="shared" si="16"/>
        <v>84.27959856832058</v>
      </c>
      <c r="L20" s="1448">
        <f t="shared" si="17"/>
        <v>13.306196926100078</v>
      </c>
      <c r="M20" s="1448">
        <f t="shared" si="18"/>
        <v>2.4142045055793386</v>
      </c>
      <c r="N20" s="1448">
        <f t="shared" si="19"/>
        <v>0</v>
      </c>
      <c r="O20" s="1455">
        <f t="shared" si="20"/>
        <v>0</v>
      </c>
      <c r="P20" s="1455">
        <f t="shared" si="21"/>
        <v>0</v>
      </c>
      <c r="Q20" s="1456">
        <f t="shared" si="22"/>
        <v>0</v>
      </c>
    </row>
    <row r="21" spans="1:18" ht="13.5" customHeight="1" x14ac:dyDescent="0.2">
      <c r="A21" s="10" t="s">
        <v>17</v>
      </c>
      <c r="B21" s="479">
        <v>14092</v>
      </c>
      <c r="C21" s="177">
        <v>1895</v>
      </c>
      <c r="D21" s="177">
        <v>333</v>
      </c>
      <c r="E21" s="177">
        <v>0</v>
      </c>
      <c r="F21" s="177">
        <v>0</v>
      </c>
      <c r="G21" s="612">
        <v>0</v>
      </c>
      <c r="H21" s="177">
        <f>24+5+1</f>
        <v>30</v>
      </c>
      <c r="I21" s="485">
        <f t="shared" si="15"/>
        <v>16350</v>
      </c>
      <c r="J21" s="72" t="s">
        <v>145</v>
      </c>
      <c r="K21" s="1447">
        <f t="shared" si="16"/>
        <v>86.189602446483178</v>
      </c>
      <c r="L21" s="1448">
        <f t="shared" si="17"/>
        <v>11.590214067278287</v>
      </c>
      <c r="M21" s="1448">
        <f t="shared" si="18"/>
        <v>2.0366972477064218</v>
      </c>
      <c r="N21" s="1448">
        <f t="shared" si="19"/>
        <v>0</v>
      </c>
      <c r="O21" s="1455">
        <f t="shared" si="20"/>
        <v>0</v>
      </c>
      <c r="P21" s="1455">
        <f t="shared" si="21"/>
        <v>0</v>
      </c>
      <c r="Q21" s="1456">
        <f t="shared" si="22"/>
        <v>0.1834862385321101</v>
      </c>
    </row>
    <row r="22" spans="1:18" ht="13.5" customHeight="1" x14ac:dyDescent="0.2">
      <c r="A22" s="10" t="s">
        <v>147</v>
      </c>
      <c r="B22" s="479">
        <v>11495</v>
      </c>
      <c r="C22" s="177">
        <v>1595</v>
      </c>
      <c r="D22" s="177">
        <v>287</v>
      </c>
      <c r="E22" s="177">
        <v>0</v>
      </c>
      <c r="F22" s="177">
        <v>0</v>
      </c>
      <c r="G22" s="612">
        <v>0</v>
      </c>
      <c r="H22" s="177">
        <v>13</v>
      </c>
      <c r="I22" s="485">
        <f t="shared" si="15"/>
        <v>13390</v>
      </c>
      <c r="J22" s="34"/>
      <c r="K22" s="1447">
        <f t="shared" si="16"/>
        <v>85.847647498132943</v>
      </c>
      <c r="L22" s="1448">
        <f t="shared" si="17"/>
        <v>11.911874533233757</v>
      </c>
      <c r="M22" s="1448">
        <f t="shared" si="18"/>
        <v>2.1433905899925318</v>
      </c>
      <c r="N22" s="1448">
        <f t="shared" si="19"/>
        <v>0</v>
      </c>
      <c r="O22" s="1455">
        <f t="shared" si="20"/>
        <v>0</v>
      </c>
      <c r="P22" s="1455">
        <f t="shared" si="21"/>
        <v>0</v>
      </c>
      <c r="Q22" s="1456">
        <f t="shared" si="22"/>
        <v>9.7087378640776698E-2</v>
      </c>
    </row>
    <row r="23" spans="1:18" ht="13.5" customHeight="1" x14ac:dyDescent="0.2">
      <c r="A23" s="30" t="s">
        <v>160</v>
      </c>
      <c r="B23" s="479">
        <f>'T23'!D8</f>
        <v>12744</v>
      </c>
      <c r="C23" s="177">
        <f>'T23'!E8</f>
        <v>1522</v>
      </c>
      <c r="D23" s="177">
        <f>'T23'!F8</f>
        <v>276</v>
      </c>
      <c r="E23" s="177">
        <v>0</v>
      </c>
      <c r="F23" s="177">
        <f>'T23'!H8</f>
        <v>0</v>
      </c>
      <c r="G23" s="612">
        <f>'T23'!I8</f>
        <v>0</v>
      </c>
      <c r="H23" s="177">
        <f>'T23'!J8+'T23'!G8</f>
        <v>162</v>
      </c>
      <c r="I23" s="485">
        <f t="shared" si="15"/>
        <v>14704</v>
      </c>
      <c r="J23" s="72" t="s">
        <v>145</v>
      </c>
      <c r="K23" s="1447">
        <f t="shared" si="16"/>
        <v>86.670293797606092</v>
      </c>
      <c r="L23" s="1448">
        <f t="shared" si="17"/>
        <v>10.350924918389554</v>
      </c>
      <c r="M23" s="1448">
        <f t="shared" si="18"/>
        <v>1.8770402611534276</v>
      </c>
      <c r="N23" s="1448">
        <f t="shared" si="19"/>
        <v>0</v>
      </c>
      <c r="O23" s="1455">
        <f t="shared" si="20"/>
        <v>0</v>
      </c>
      <c r="P23" s="1455">
        <f t="shared" si="21"/>
        <v>0</v>
      </c>
      <c r="Q23" s="1456">
        <f t="shared" si="22"/>
        <v>1.101741022850925</v>
      </c>
      <c r="R23" t="s">
        <v>145</v>
      </c>
    </row>
    <row r="24" spans="1:18" ht="13.5" customHeight="1" x14ac:dyDescent="0.2">
      <c r="A24" s="30" t="s">
        <v>379</v>
      </c>
      <c r="B24" s="479">
        <f>'T23'!D9</f>
        <v>13943</v>
      </c>
      <c r="C24" s="177">
        <f>'T23'!E9</f>
        <v>1367</v>
      </c>
      <c r="D24" s="177">
        <f>'T23'!F9</f>
        <v>313</v>
      </c>
      <c r="E24" s="177">
        <v>0</v>
      </c>
      <c r="F24" s="177">
        <f>'T23'!H9</f>
        <v>0</v>
      </c>
      <c r="G24" s="612">
        <f>'T23'!I9</f>
        <v>0</v>
      </c>
      <c r="H24" s="177">
        <f>'T23'!J9+'T23'!G9</f>
        <v>15</v>
      </c>
      <c r="I24" s="485">
        <f t="shared" si="15"/>
        <v>15638</v>
      </c>
      <c r="J24" s="72" t="s">
        <v>145</v>
      </c>
      <c r="K24" s="1447">
        <f t="shared" ref="K24:K25" si="23">B24/I24*100</f>
        <v>89.161018032996537</v>
      </c>
      <c r="L24" s="1448">
        <f t="shared" ref="L24:L25" si="24">C24/I24*100</f>
        <v>8.7415270494948203</v>
      </c>
      <c r="M24" s="1448">
        <f t="shared" ref="M24:M25" si="25">D24/I24*100</f>
        <v>2.0015347231103724</v>
      </c>
      <c r="N24" s="1448">
        <f t="shared" ref="N24:N25" si="26">E24/I24*100</f>
        <v>0</v>
      </c>
      <c r="O24" s="1455">
        <f t="shared" ref="O24:O25" si="27">F24/I24*100</f>
        <v>0</v>
      </c>
      <c r="P24" s="1455">
        <f t="shared" ref="P24:P25" si="28">G24/I24*100</f>
        <v>0</v>
      </c>
      <c r="Q24" s="1456">
        <f t="shared" ref="Q24:Q25" si="29">H24/I24*100</f>
        <v>9.5920194398260647E-2</v>
      </c>
      <c r="R24" t="s">
        <v>145</v>
      </c>
    </row>
    <row r="25" spans="1:18" ht="13.5" customHeight="1" x14ac:dyDescent="0.2">
      <c r="A25" s="1261" t="s">
        <v>603</v>
      </c>
      <c r="B25" s="481">
        <f>'T23'!D10</f>
        <v>12904</v>
      </c>
      <c r="C25" s="482">
        <f>'T23'!E10</f>
        <v>1420</v>
      </c>
      <c r="D25" s="482">
        <f>'T23'!F10</f>
        <v>338</v>
      </c>
      <c r="E25" s="482">
        <f>'T23'!G10</f>
        <v>0</v>
      </c>
      <c r="F25" s="482">
        <f>'T23'!H10</f>
        <v>0</v>
      </c>
      <c r="G25" s="1012">
        <f>'T23'!I10</f>
        <v>0</v>
      </c>
      <c r="H25" s="482">
        <f>'T23'!J10</f>
        <v>11</v>
      </c>
      <c r="I25" s="486">
        <f t="shared" si="15"/>
        <v>14673</v>
      </c>
      <c r="J25" s="72" t="s">
        <v>143</v>
      </c>
      <c r="K25" s="1450">
        <f t="shared" si="23"/>
        <v>87.94384243167724</v>
      </c>
      <c r="L25" s="1451">
        <f t="shared" si="24"/>
        <v>9.6776392012540047</v>
      </c>
      <c r="M25" s="1451">
        <f t="shared" si="25"/>
        <v>2.303550739453418</v>
      </c>
      <c r="N25" s="1451">
        <f t="shared" si="26"/>
        <v>0</v>
      </c>
      <c r="O25" s="1457">
        <f t="shared" si="27"/>
        <v>0</v>
      </c>
      <c r="P25" s="1457">
        <f t="shared" si="28"/>
        <v>0</v>
      </c>
      <c r="Q25" s="1458">
        <f t="shared" si="29"/>
        <v>7.496762761534792E-2</v>
      </c>
      <c r="R25" t="s">
        <v>143</v>
      </c>
    </row>
    <row r="26" spans="1:18" x14ac:dyDescent="0.2">
      <c r="A26" s="2"/>
      <c r="B26" s="7"/>
      <c r="C26" s="7"/>
      <c r="D26" s="7"/>
      <c r="E26" s="7"/>
      <c r="F26" s="7"/>
      <c r="G26" s="7"/>
      <c r="H26" s="34"/>
      <c r="I26" s="1"/>
      <c r="J26" s="274"/>
      <c r="K26" s="274"/>
      <c r="L26" s="274"/>
      <c r="M26" s="1"/>
      <c r="N26" s="1"/>
      <c r="O26" s="274"/>
      <c r="P26" s="1"/>
    </row>
    <row r="27" spans="1:18" x14ac:dyDescent="0.2">
      <c r="A27" s="1588" t="s">
        <v>162</v>
      </c>
      <c r="E27" s="768"/>
      <c r="M27" s="1589"/>
      <c r="N27" s="1589"/>
      <c r="O27" s="1590"/>
    </row>
    <row r="28" spans="1:18" x14ac:dyDescent="0.2">
      <c r="A28" s="1301" t="s">
        <v>1050</v>
      </c>
      <c r="M28" s="1589"/>
      <c r="N28" s="1589"/>
      <c r="O28" s="1589"/>
    </row>
    <row r="29" spans="1:18" x14ac:dyDescent="0.2">
      <c r="A29" s="1587" t="s">
        <v>971</v>
      </c>
      <c r="M29" s="1589"/>
      <c r="N29" s="1589"/>
      <c r="O29" s="1589"/>
    </row>
    <row r="30" spans="1:18" ht="25.5" customHeight="1" x14ac:dyDescent="0.2">
      <c r="A30" s="1697" t="s">
        <v>1052</v>
      </c>
      <c r="B30" s="1697"/>
      <c r="C30" s="1697"/>
      <c r="D30" s="1697"/>
      <c r="E30" s="1697"/>
      <c r="F30" s="1697"/>
      <c r="G30" s="1697"/>
      <c r="H30" s="1697"/>
      <c r="I30" s="1697"/>
      <c r="J30" s="1697"/>
      <c r="K30" s="1697"/>
      <c r="L30" s="1697"/>
      <c r="M30" s="1697"/>
      <c r="N30" s="1697"/>
      <c r="O30" s="1697"/>
      <c r="P30" s="1697"/>
      <c r="Q30" s="1697"/>
      <c r="R30" s="1697"/>
    </row>
    <row r="31" spans="1:18" x14ac:dyDescent="0.2">
      <c r="A31" s="1758" t="s">
        <v>1053</v>
      </c>
      <c r="B31" s="1758"/>
      <c r="C31" s="1758"/>
      <c r="D31" s="1758"/>
      <c r="E31" s="1758"/>
      <c r="F31" s="1758"/>
      <c r="G31" s="1758"/>
      <c r="H31" s="1758"/>
      <c r="I31" s="1758"/>
      <c r="J31" s="1758"/>
      <c r="K31" s="1758"/>
      <c r="L31" s="1758"/>
      <c r="M31" s="1758"/>
      <c r="N31" s="1758"/>
      <c r="O31" s="1758"/>
    </row>
    <row r="32" spans="1:18" x14ac:dyDescent="0.2">
      <c r="A32" s="1758" t="s">
        <v>1054</v>
      </c>
      <c r="B32" s="1758"/>
      <c r="C32" s="1758"/>
      <c r="D32" s="1758"/>
      <c r="E32" s="1758"/>
      <c r="F32" s="1758"/>
      <c r="G32" s="1758"/>
      <c r="H32" s="1758"/>
      <c r="I32" s="1758"/>
      <c r="J32" s="1758"/>
      <c r="K32" s="1758"/>
      <c r="L32" s="1758"/>
      <c r="M32" s="1758"/>
      <c r="N32" s="1758"/>
      <c r="O32" s="1758"/>
    </row>
    <row r="33" spans="1:17" x14ac:dyDescent="0.2">
      <c r="A33" s="2"/>
      <c r="B33" s="7"/>
      <c r="C33" s="7"/>
      <c r="D33" s="7"/>
      <c r="E33" s="7"/>
      <c r="F33" s="7"/>
      <c r="G33" s="7"/>
      <c r="H33" s="34"/>
      <c r="I33" s="1"/>
      <c r="J33" s="274"/>
      <c r="K33" s="274"/>
      <c r="L33" s="274"/>
      <c r="M33" s="1"/>
      <c r="N33" s="1"/>
      <c r="O33" s="1"/>
      <c r="P33" s="1"/>
    </row>
    <row r="34" spans="1:17" ht="38.25" customHeight="1" x14ac:dyDescent="0.2">
      <c r="A34" s="1653" t="s">
        <v>859</v>
      </c>
      <c r="B34" s="1653"/>
      <c r="C34" s="1653"/>
      <c r="D34" s="1653"/>
      <c r="E34" s="1653"/>
      <c r="F34" s="1653"/>
      <c r="G34" s="1653"/>
      <c r="H34" s="1653"/>
      <c r="I34" s="1653"/>
      <c r="J34" s="1653"/>
      <c r="K34" s="1653"/>
      <c r="L34" s="467"/>
      <c r="M34" s="467"/>
      <c r="N34" s="467"/>
      <c r="O34" s="467"/>
      <c r="P34" s="1"/>
    </row>
    <row r="35" spans="1:17" ht="15" x14ac:dyDescent="0.25">
      <c r="A35" s="1"/>
      <c r="B35" s="1"/>
      <c r="C35" s="1"/>
      <c r="D35" s="1"/>
      <c r="E35" s="1"/>
      <c r="F35" s="1"/>
      <c r="G35" s="1"/>
      <c r="I35" s="253" t="s">
        <v>0</v>
      </c>
      <c r="J35" s="1"/>
      <c r="K35" s="1"/>
      <c r="L35" s="1"/>
      <c r="M35" s="1"/>
      <c r="N35" s="1"/>
      <c r="P35" s="1"/>
      <c r="Q35" s="145" t="s">
        <v>64</v>
      </c>
    </row>
    <row r="36" spans="1:17" x14ac:dyDescent="0.2">
      <c r="A36" s="1"/>
      <c r="B36" s="1674" t="s">
        <v>296</v>
      </c>
      <c r="C36" s="1675"/>
      <c r="D36" s="1675"/>
      <c r="E36" s="1675"/>
      <c r="F36" s="1675"/>
      <c r="G36" s="1675"/>
      <c r="H36" s="1675"/>
      <c r="I36" s="1676"/>
      <c r="J36" s="1"/>
      <c r="K36" s="1674" t="s">
        <v>296</v>
      </c>
      <c r="L36" s="1675"/>
      <c r="M36" s="1675"/>
      <c r="N36" s="1675"/>
      <c r="O36" s="1675"/>
      <c r="P36" s="1675"/>
      <c r="Q36" s="1676"/>
    </row>
    <row r="37" spans="1:17" ht="26.25" customHeight="1" x14ac:dyDescent="0.2">
      <c r="A37" s="4" t="s">
        <v>22</v>
      </c>
      <c r="B37" s="26" t="s">
        <v>297</v>
      </c>
      <c r="C37" s="670" t="s">
        <v>298</v>
      </c>
      <c r="D37" s="670" t="s">
        <v>299</v>
      </c>
      <c r="E37" s="670" t="s">
        <v>300</v>
      </c>
      <c r="F37" s="670" t="s">
        <v>301</v>
      </c>
      <c r="G37" s="670" t="s">
        <v>329</v>
      </c>
      <c r="H37" s="670" t="s">
        <v>190</v>
      </c>
      <c r="I37" s="670" t="s">
        <v>11</v>
      </c>
      <c r="J37" s="1"/>
      <c r="K37" s="697" t="s">
        <v>297</v>
      </c>
      <c r="L37" s="697" t="s">
        <v>298</v>
      </c>
      <c r="M37" s="697" t="s">
        <v>299</v>
      </c>
      <c r="N37" s="697" t="s">
        <v>300</v>
      </c>
      <c r="O37" s="697" t="s">
        <v>301</v>
      </c>
      <c r="P37" s="697" t="s">
        <v>330</v>
      </c>
      <c r="Q37" s="205" t="s">
        <v>190</v>
      </c>
    </row>
    <row r="38" spans="1:17" ht="18.75" customHeight="1" x14ac:dyDescent="0.2">
      <c r="A38" s="343" t="s">
        <v>23</v>
      </c>
      <c r="B38" s="745">
        <f>T_23!I7</f>
        <v>99</v>
      </c>
      <c r="C38" s="746">
        <f>T_23!J7</f>
        <v>243</v>
      </c>
      <c r="D38" s="756">
        <f>T_23!K7</f>
        <v>103</v>
      </c>
      <c r="E38" s="756">
        <f>T_23!L7</f>
        <v>5</v>
      </c>
      <c r="F38" s="756">
        <f>T_23!M7</f>
        <v>1</v>
      </c>
      <c r="G38" s="756">
        <f>T_23!N7</f>
        <v>0</v>
      </c>
      <c r="H38" s="753">
        <f>T_23!O7</f>
        <v>0</v>
      </c>
      <c r="I38" s="742">
        <f>SUM(B38:H38)</f>
        <v>451</v>
      </c>
      <c r="J38" s="177"/>
      <c r="K38" s="1415">
        <f>B38/I38*100</f>
        <v>21.951219512195124</v>
      </c>
      <c r="L38" s="1416">
        <f>C38/I38*100</f>
        <v>53.880266075388029</v>
      </c>
      <c r="M38" s="1416">
        <f>D38/I38*100</f>
        <v>22.838137472283815</v>
      </c>
      <c r="N38" s="1416">
        <f>E38/I38*100</f>
        <v>1.1086474501108647</v>
      </c>
      <c r="O38" s="1416">
        <f>F38/I38*100</f>
        <v>0.22172949002217296</v>
      </c>
      <c r="P38" s="1416">
        <f>G38/I38*100</f>
        <v>0</v>
      </c>
      <c r="Q38" s="1459">
        <f>H38/I38*100</f>
        <v>0</v>
      </c>
    </row>
    <row r="39" spans="1:17" ht="13.5" customHeight="1" x14ac:dyDescent="0.2">
      <c r="A39" s="46" t="s">
        <v>24</v>
      </c>
      <c r="B39" s="667">
        <f>T_23!I8</f>
        <v>114</v>
      </c>
      <c r="C39" s="668">
        <f>T_23!J8</f>
        <v>220</v>
      </c>
      <c r="D39" s="757">
        <f>T_23!K8</f>
        <v>45</v>
      </c>
      <c r="E39" s="757">
        <f>T_23!L8</f>
        <v>11</v>
      </c>
      <c r="F39" s="757">
        <f>T_23!M8</f>
        <v>0</v>
      </c>
      <c r="G39" s="757">
        <f>T_23!N8</f>
        <v>0</v>
      </c>
      <c r="H39" s="754">
        <f>T_23!O8</f>
        <v>0</v>
      </c>
      <c r="I39" s="666">
        <f t="shared" ref="I39:I70" si="30">SUM(B39:H39)</f>
        <v>390</v>
      </c>
      <c r="J39" s="177"/>
      <c r="K39" s="1410">
        <f t="shared" ref="K39:K69" si="31">B39/I39*100</f>
        <v>29.230769230769234</v>
      </c>
      <c r="L39" s="1411">
        <f t="shared" ref="L39:L69" si="32">C39/I39*100</f>
        <v>56.410256410256409</v>
      </c>
      <c r="M39" s="1411">
        <f t="shared" ref="M39:M69" si="33">D39/I39*100</f>
        <v>11.538461538461538</v>
      </c>
      <c r="N39" s="1411">
        <f t="shared" ref="N39:N69" si="34">E39/I39*100</f>
        <v>2.8205128205128207</v>
      </c>
      <c r="O39" s="1411">
        <f t="shared" ref="O39:O69" si="35">F39/I39*100</f>
        <v>0</v>
      </c>
      <c r="P39" s="1411">
        <f t="shared" ref="P39:P69" si="36">G39/I39*100</f>
        <v>0</v>
      </c>
      <c r="Q39" s="1449">
        <f t="shared" ref="Q39:Q68" si="37">H39/I39*100</f>
        <v>0</v>
      </c>
    </row>
    <row r="40" spans="1:17" ht="13.5" customHeight="1" x14ac:dyDescent="0.2">
      <c r="A40" s="343" t="s">
        <v>25</v>
      </c>
      <c r="B40" s="748">
        <f>T_23!I9</f>
        <v>50</v>
      </c>
      <c r="C40" s="749">
        <f>T_23!J9</f>
        <v>89</v>
      </c>
      <c r="D40" s="758">
        <f>T_23!K9</f>
        <v>20</v>
      </c>
      <c r="E40" s="758">
        <f>T_23!L9</f>
        <v>1</v>
      </c>
      <c r="F40" s="758">
        <f>T_23!M9</f>
        <v>1</v>
      </c>
      <c r="G40" s="758">
        <f>T_23!N9</f>
        <v>0</v>
      </c>
      <c r="H40" s="755">
        <f>T_23!O9</f>
        <v>0</v>
      </c>
      <c r="I40" s="743">
        <f t="shared" si="30"/>
        <v>161</v>
      </c>
      <c r="J40" s="177"/>
      <c r="K40" s="1408">
        <f t="shared" si="31"/>
        <v>31.05590062111801</v>
      </c>
      <c r="L40" s="1409">
        <f t="shared" si="32"/>
        <v>55.279503105590067</v>
      </c>
      <c r="M40" s="1409">
        <f t="shared" si="33"/>
        <v>12.422360248447205</v>
      </c>
      <c r="N40" s="1409">
        <f t="shared" si="34"/>
        <v>0.6211180124223602</v>
      </c>
      <c r="O40" s="1409">
        <f t="shared" si="35"/>
        <v>0.6211180124223602</v>
      </c>
      <c r="P40" s="1409">
        <f t="shared" si="36"/>
        <v>0</v>
      </c>
      <c r="Q40" s="1460">
        <f t="shared" si="37"/>
        <v>0</v>
      </c>
    </row>
    <row r="41" spans="1:17" ht="13.5" customHeight="1" x14ac:dyDescent="0.2">
      <c r="A41" s="46" t="s">
        <v>26</v>
      </c>
      <c r="B41" s="667">
        <f>T_23!I10</f>
        <v>66</v>
      </c>
      <c r="C41" s="668">
        <f>T_23!J10</f>
        <v>98</v>
      </c>
      <c r="D41" s="757">
        <f>T_23!K10</f>
        <v>17</v>
      </c>
      <c r="E41" s="757">
        <f>T_23!L10</f>
        <v>2</v>
      </c>
      <c r="F41" s="757">
        <f>T_23!M10</f>
        <v>0</v>
      </c>
      <c r="G41" s="757">
        <f>T_23!N10</f>
        <v>0</v>
      </c>
      <c r="H41" s="754">
        <f>T_23!O10</f>
        <v>0</v>
      </c>
      <c r="I41" s="666">
        <f t="shared" si="30"/>
        <v>183</v>
      </c>
      <c r="J41" s="177"/>
      <c r="K41" s="1410">
        <f t="shared" si="31"/>
        <v>36.065573770491802</v>
      </c>
      <c r="L41" s="1411">
        <f t="shared" si="32"/>
        <v>53.551912568306015</v>
      </c>
      <c r="M41" s="1411">
        <f t="shared" si="33"/>
        <v>9.2896174863387984</v>
      </c>
      <c r="N41" s="1411">
        <f t="shared" si="34"/>
        <v>1.0928961748633881</v>
      </c>
      <c r="O41" s="1411">
        <f t="shared" si="35"/>
        <v>0</v>
      </c>
      <c r="P41" s="1411">
        <f t="shared" si="36"/>
        <v>0</v>
      </c>
      <c r="Q41" s="1449">
        <f t="shared" si="37"/>
        <v>0</v>
      </c>
    </row>
    <row r="42" spans="1:17" ht="13.5" customHeight="1" x14ac:dyDescent="0.2">
      <c r="A42" s="343" t="s">
        <v>27</v>
      </c>
      <c r="B42" s="748">
        <f>T_23!I11</f>
        <v>34</v>
      </c>
      <c r="C42" s="749">
        <f>T_23!J11</f>
        <v>36</v>
      </c>
      <c r="D42" s="758">
        <f>T_23!K11</f>
        <v>21</v>
      </c>
      <c r="E42" s="758">
        <f>T_23!L11</f>
        <v>2</v>
      </c>
      <c r="F42" s="758">
        <f>T_23!M11</f>
        <v>0</v>
      </c>
      <c r="G42" s="758">
        <f>T_23!N11</f>
        <v>0</v>
      </c>
      <c r="H42" s="749">
        <f>T_23!O11</f>
        <v>0</v>
      </c>
      <c r="I42" s="743">
        <f t="shared" si="30"/>
        <v>93</v>
      </c>
      <c r="J42" s="177"/>
      <c r="K42" s="1408">
        <f t="shared" si="31"/>
        <v>36.55913978494624</v>
      </c>
      <c r="L42" s="1409">
        <f t="shared" si="32"/>
        <v>38.70967741935484</v>
      </c>
      <c r="M42" s="1409">
        <f t="shared" si="33"/>
        <v>22.58064516129032</v>
      </c>
      <c r="N42" s="1409">
        <f t="shared" si="34"/>
        <v>2.1505376344086025</v>
      </c>
      <c r="O42" s="1409">
        <f t="shared" si="35"/>
        <v>0</v>
      </c>
      <c r="P42" s="1409">
        <f t="shared" si="36"/>
        <v>0</v>
      </c>
      <c r="Q42" s="1460">
        <f t="shared" si="37"/>
        <v>0</v>
      </c>
    </row>
    <row r="43" spans="1:17" ht="13.5" customHeight="1" x14ac:dyDescent="0.2">
      <c r="A43" s="46" t="s">
        <v>28</v>
      </c>
      <c r="B43" s="667">
        <f>T_23!I12</f>
        <v>73</v>
      </c>
      <c r="C43" s="668">
        <f>T_23!J12</f>
        <v>118</v>
      </c>
      <c r="D43" s="757">
        <f>T_23!K12</f>
        <v>28</v>
      </c>
      <c r="E43" s="757">
        <f>T_23!L12</f>
        <v>4</v>
      </c>
      <c r="F43" s="757">
        <f>T_23!M12</f>
        <v>0</v>
      </c>
      <c r="G43" s="757">
        <f>T_23!N12</f>
        <v>0</v>
      </c>
      <c r="H43" s="754">
        <f>T_23!O12</f>
        <v>1</v>
      </c>
      <c r="I43" s="666">
        <f t="shared" si="30"/>
        <v>224</v>
      </c>
      <c r="J43" s="177"/>
      <c r="K43" s="1410">
        <f t="shared" si="31"/>
        <v>32.589285714285715</v>
      </c>
      <c r="L43" s="1411">
        <f t="shared" si="32"/>
        <v>52.678571428571431</v>
      </c>
      <c r="M43" s="1411">
        <f t="shared" si="33"/>
        <v>12.5</v>
      </c>
      <c r="N43" s="1411">
        <f t="shared" si="34"/>
        <v>1.7857142857142856</v>
      </c>
      <c r="O43" s="1411">
        <f t="shared" si="35"/>
        <v>0</v>
      </c>
      <c r="P43" s="1411">
        <f t="shared" si="36"/>
        <v>0</v>
      </c>
      <c r="Q43" s="1449">
        <f t="shared" si="37"/>
        <v>0.4464285714285714</v>
      </c>
    </row>
    <row r="44" spans="1:17" ht="13.5" customHeight="1" x14ac:dyDescent="0.2">
      <c r="A44" s="343" t="s">
        <v>29</v>
      </c>
      <c r="B44" s="748">
        <f>T_23!I13</f>
        <v>75</v>
      </c>
      <c r="C44" s="749">
        <f>T_23!J13</f>
        <v>203</v>
      </c>
      <c r="D44" s="758">
        <f>T_23!K13</f>
        <v>58</v>
      </c>
      <c r="E44" s="758">
        <f>T_23!L13</f>
        <v>1</v>
      </c>
      <c r="F44" s="758">
        <f>T_23!M13</f>
        <v>0</v>
      </c>
      <c r="G44" s="758">
        <f>T_23!N13</f>
        <v>1</v>
      </c>
      <c r="H44" s="755">
        <f>T_23!O13</f>
        <v>0</v>
      </c>
      <c r="I44" s="743">
        <f t="shared" si="30"/>
        <v>338</v>
      </c>
      <c r="J44" s="177"/>
      <c r="K44" s="1408">
        <f t="shared" si="31"/>
        <v>22.189349112426036</v>
      </c>
      <c r="L44" s="1409">
        <f t="shared" si="32"/>
        <v>60.059171597633132</v>
      </c>
      <c r="M44" s="1409">
        <f t="shared" si="33"/>
        <v>17.159763313609467</v>
      </c>
      <c r="N44" s="1409">
        <f t="shared" si="34"/>
        <v>0.29585798816568049</v>
      </c>
      <c r="O44" s="1409">
        <f t="shared" si="35"/>
        <v>0</v>
      </c>
      <c r="P44" s="1409">
        <f t="shared" si="36"/>
        <v>0.29585798816568049</v>
      </c>
      <c r="Q44" s="1460">
        <f t="shared" si="37"/>
        <v>0</v>
      </c>
    </row>
    <row r="45" spans="1:17" ht="13.5" customHeight="1" x14ac:dyDescent="0.2">
      <c r="A45" s="46" t="s">
        <v>30</v>
      </c>
      <c r="B45" s="667">
        <f>T_23!I14</f>
        <v>79</v>
      </c>
      <c r="C45" s="668">
        <f>T_23!J14</f>
        <v>82</v>
      </c>
      <c r="D45" s="757">
        <f>T_23!K14</f>
        <v>14</v>
      </c>
      <c r="E45" s="757">
        <f>T_23!L14</f>
        <v>4</v>
      </c>
      <c r="F45" s="757">
        <f>T_23!M14</f>
        <v>1</v>
      </c>
      <c r="G45" s="757">
        <f>T_23!N14</f>
        <v>0</v>
      </c>
      <c r="H45" s="754">
        <f>T_23!O14</f>
        <v>0</v>
      </c>
      <c r="I45" s="666">
        <f t="shared" si="30"/>
        <v>180</v>
      </c>
      <c r="J45" s="177"/>
      <c r="K45" s="1410">
        <f t="shared" si="31"/>
        <v>43.888888888888886</v>
      </c>
      <c r="L45" s="1411">
        <f t="shared" si="32"/>
        <v>45.555555555555557</v>
      </c>
      <c r="M45" s="1411">
        <f t="shared" si="33"/>
        <v>7.7777777777777777</v>
      </c>
      <c r="N45" s="1411">
        <f t="shared" si="34"/>
        <v>2.2222222222222223</v>
      </c>
      <c r="O45" s="1411">
        <f t="shared" si="35"/>
        <v>0.55555555555555558</v>
      </c>
      <c r="P45" s="1411">
        <f t="shared" si="36"/>
        <v>0</v>
      </c>
      <c r="Q45" s="1449">
        <f t="shared" si="37"/>
        <v>0</v>
      </c>
    </row>
    <row r="46" spans="1:17" ht="13.5" customHeight="1" x14ac:dyDescent="0.2">
      <c r="A46" s="343" t="s">
        <v>31</v>
      </c>
      <c r="B46" s="748">
        <f>T_23!I15</f>
        <v>75</v>
      </c>
      <c r="C46" s="749">
        <f>T_23!J15</f>
        <v>63</v>
      </c>
      <c r="D46" s="758">
        <f>T_23!K15</f>
        <v>17</v>
      </c>
      <c r="E46" s="758">
        <f>T_23!L15</f>
        <v>3</v>
      </c>
      <c r="F46" s="758">
        <f>T_23!M15</f>
        <v>0</v>
      </c>
      <c r="G46" s="758">
        <f>T_23!N15</f>
        <v>0</v>
      </c>
      <c r="H46" s="755">
        <f>T_23!O15</f>
        <v>0</v>
      </c>
      <c r="I46" s="743">
        <f>SUM(B46:H46)</f>
        <v>158</v>
      </c>
      <c r="J46" s="177"/>
      <c r="K46" s="1408">
        <f t="shared" si="31"/>
        <v>47.468354430379748</v>
      </c>
      <c r="L46" s="1409">
        <f t="shared" si="32"/>
        <v>39.87341772151899</v>
      </c>
      <c r="M46" s="1409">
        <f t="shared" si="33"/>
        <v>10.759493670886076</v>
      </c>
      <c r="N46" s="1409">
        <f t="shared" si="34"/>
        <v>1.89873417721519</v>
      </c>
      <c r="O46" s="1409">
        <f t="shared" si="35"/>
        <v>0</v>
      </c>
      <c r="P46" s="1409">
        <f t="shared" si="36"/>
        <v>0</v>
      </c>
      <c r="Q46" s="1460">
        <f t="shared" si="37"/>
        <v>0</v>
      </c>
    </row>
    <row r="47" spans="1:17" ht="13.5" customHeight="1" x14ac:dyDescent="0.2">
      <c r="A47" s="46" t="s">
        <v>32</v>
      </c>
      <c r="B47" s="667">
        <f>T_23!I16</f>
        <v>77</v>
      </c>
      <c r="C47" s="668">
        <f>T_23!J16</f>
        <v>87</v>
      </c>
      <c r="D47" s="757">
        <f>T_23!K16</f>
        <v>22</v>
      </c>
      <c r="E47" s="757">
        <f>T_23!L16</f>
        <v>2</v>
      </c>
      <c r="F47" s="757">
        <f>T_23!M16</f>
        <v>0</v>
      </c>
      <c r="G47" s="757">
        <f>T_23!N16</f>
        <v>0</v>
      </c>
      <c r="H47" s="668">
        <f>T_23!O16</f>
        <v>0</v>
      </c>
      <c r="I47" s="666">
        <f t="shared" si="30"/>
        <v>188</v>
      </c>
      <c r="J47" s="177"/>
      <c r="K47" s="1410">
        <f t="shared" si="31"/>
        <v>40.957446808510639</v>
      </c>
      <c r="L47" s="1411">
        <f t="shared" si="32"/>
        <v>46.276595744680847</v>
      </c>
      <c r="M47" s="1411">
        <f t="shared" si="33"/>
        <v>11.702127659574469</v>
      </c>
      <c r="N47" s="1411">
        <f t="shared" si="34"/>
        <v>1.0638297872340425</v>
      </c>
      <c r="O47" s="1411">
        <f t="shared" si="35"/>
        <v>0</v>
      </c>
      <c r="P47" s="1411">
        <f t="shared" si="36"/>
        <v>0</v>
      </c>
      <c r="Q47" s="1449">
        <f t="shared" si="37"/>
        <v>0</v>
      </c>
    </row>
    <row r="48" spans="1:17" ht="13.5" customHeight="1" x14ac:dyDescent="0.2">
      <c r="A48" s="343" t="s">
        <v>33</v>
      </c>
      <c r="B48" s="748">
        <f>T_23!I17</f>
        <v>62</v>
      </c>
      <c r="C48" s="749">
        <f>T_23!J17</f>
        <v>54</v>
      </c>
      <c r="D48" s="758">
        <f>T_23!K17</f>
        <v>10</v>
      </c>
      <c r="E48" s="758">
        <f>T_23!L17</f>
        <v>2</v>
      </c>
      <c r="F48" s="758">
        <f>T_23!M17</f>
        <v>1</v>
      </c>
      <c r="G48" s="758">
        <f>T_23!N17</f>
        <v>1</v>
      </c>
      <c r="H48" s="755">
        <f>T_23!O17</f>
        <v>0</v>
      </c>
      <c r="I48" s="743">
        <f t="shared" si="30"/>
        <v>130</v>
      </c>
      <c r="J48" s="177"/>
      <c r="K48" s="1408">
        <f t="shared" si="31"/>
        <v>47.692307692307693</v>
      </c>
      <c r="L48" s="1409">
        <f t="shared" si="32"/>
        <v>41.53846153846154</v>
      </c>
      <c r="M48" s="1409">
        <f t="shared" si="33"/>
        <v>7.6923076923076925</v>
      </c>
      <c r="N48" s="1409">
        <f t="shared" si="34"/>
        <v>1.5384615384615385</v>
      </c>
      <c r="O48" s="1409">
        <f t="shared" si="35"/>
        <v>0.76923076923076927</v>
      </c>
      <c r="P48" s="1409">
        <f t="shared" si="36"/>
        <v>0.76923076923076927</v>
      </c>
      <c r="Q48" s="1460">
        <f t="shared" si="37"/>
        <v>0</v>
      </c>
    </row>
    <row r="49" spans="1:17" ht="13.5" customHeight="1" x14ac:dyDescent="0.2">
      <c r="A49" s="46" t="s">
        <v>137</v>
      </c>
      <c r="B49" s="667">
        <f>T_23!I18</f>
        <v>294</v>
      </c>
      <c r="C49" s="668">
        <f>T_23!J18</f>
        <v>340</v>
      </c>
      <c r="D49" s="757">
        <f>T_23!K18</f>
        <v>383</v>
      </c>
      <c r="E49" s="757">
        <f>T_23!L18</f>
        <v>7</v>
      </c>
      <c r="F49" s="757">
        <f>T_23!M18</f>
        <v>3</v>
      </c>
      <c r="G49" s="757">
        <f>T_23!N18</f>
        <v>1</v>
      </c>
      <c r="H49" s="668">
        <f>T_23!O18</f>
        <v>0</v>
      </c>
      <c r="I49" s="666">
        <f t="shared" si="30"/>
        <v>1028</v>
      </c>
      <c r="J49" s="177"/>
      <c r="K49" s="1410">
        <f t="shared" si="31"/>
        <v>28.599221789883266</v>
      </c>
      <c r="L49" s="1411">
        <f t="shared" si="32"/>
        <v>33.07392996108949</v>
      </c>
      <c r="M49" s="1411">
        <f t="shared" si="33"/>
        <v>37.2568093385214</v>
      </c>
      <c r="N49" s="1411">
        <f t="shared" si="34"/>
        <v>0.68093385214007784</v>
      </c>
      <c r="O49" s="1411">
        <f t="shared" si="35"/>
        <v>0.29182879377431908</v>
      </c>
      <c r="P49" s="1411">
        <f t="shared" si="36"/>
        <v>9.727626459143969E-2</v>
      </c>
      <c r="Q49" s="1449">
        <f t="shared" si="37"/>
        <v>0</v>
      </c>
    </row>
    <row r="50" spans="1:17" ht="13.5" customHeight="1" x14ac:dyDescent="0.2">
      <c r="A50" s="343" t="s">
        <v>34</v>
      </c>
      <c r="B50" s="748">
        <f>T_23!I19</f>
        <v>127</v>
      </c>
      <c r="C50" s="749">
        <f>T_23!J19</f>
        <v>147</v>
      </c>
      <c r="D50" s="758">
        <f>T_23!K19</f>
        <v>59</v>
      </c>
      <c r="E50" s="758">
        <f>T_23!L19</f>
        <v>3</v>
      </c>
      <c r="F50" s="758">
        <f>T_23!M19</f>
        <v>1</v>
      </c>
      <c r="G50" s="758">
        <f>T_23!N19</f>
        <v>2</v>
      </c>
      <c r="H50" s="749">
        <f>T_23!O19</f>
        <v>0</v>
      </c>
      <c r="I50" s="743">
        <f t="shared" si="30"/>
        <v>339</v>
      </c>
      <c r="J50" s="177"/>
      <c r="K50" s="1408">
        <f t="shared" si="31"/>
        <v>37.463126843657818</v>
      </c>
      <c r="L50" s="1409">
        <f t="shared" si="32"/>
        <v>43.362831858407077</v>
      </c>
      <c r="M50" s="1409">
        <f t="shared" si="33"/>
        <v>17.404129793510325</v>
      </c>
      <c r="N50" s="1409">
        <f t="shared" si="34"/>
        <v>0.88495575221238942</v>
      </c>
      <c r="O50" s="1409">
        <f t="shared" si="35"/>
        <v>0.29498525073746312</v>
      </c>
      <c r="P50" s="1409">
        <f t="shared" si="36"/>
        <v>0.58997050147492625</v>
      </c>
      <c r="Q50" s="1460">
        <f t="shared" si="37"/>
        <v>0</v>
      </c>
    </row>
    <row r="51" spans="1:17" ht="13.5" customHeight="1" x14ac:dyDescent="0.2">
      <c r="A51" s="46" t="s">
        <v>35</v>
      </c>
      <c r="B51" s="667">
        <f>T_23!I20</f>
        <v>205</v>
      </c>
      <c r="C51" s="668">
        <f>T_23!J20</f>
        <v>344</v>
      </c>
      <c r="D51" s="757">
        <f>T_23!K20</f>
        <v>84</v>
      </c>
      <c r="E51" s="757">
        <f>T_23!L20</f>
        <v>9</v>
      </c>
      <c r="F51" s="757">
        <f>T_23!M20</f>
        <v>1</v>
      </c>
      <c r="G51" s="757">
        <f>T_23!N20</f>
        <v>1</v>
      </c>
      <c r="H51" s="754">
        <f>T_23!O20</f>
        <v>0</v>
      </c>
      <c r="I51" s="666">
        <f t="shared" si="30"/>
        <v>644</v>
      </c>
      <c r="J51" s="177"/>
      <c r="K51" s="1410">
        <f t="shared" si="31"/>
        <v>31.832298136645964</v>
      </c>
      <c r="L51" s="1411">
        <f t="shared" si="32"/>
        <v>53.41614906832298</v>
      </c>
      <c r="M51" s="1411">
        <f t="shared" si="33"/>
        <v>13.043478260869565</v>
      </c>
      <c r="N51" s="1411">
        <f t="shared" si="34"/>
        <v>1.3975155279503106</v>
      </c>
      <c r="O51" s="1411">
        <f t="shared" si="35"/>
        <v>0.15527950310559005</v>
      </c>
      <c r="P51" s="1411">
        <f t="shared" si="36"/>
        <v>0.15527950310559005</v>
      </c>
      <c r="Q51" s="1449">
        <f t="shared" si="37"/>
        <v>0</v>
      </c>
    </row>
    <row r="52" spans="1:17" ht="13.5" customHeight="1" x14ac:dyDescent="0.2">
      <c r="A52" s="343" t="s">
        <v>36</v>
      </c>
      <c r="B52" s="748">
        <f>T_23!I21</f>
        <v>438</v>
      </c>
      <c r="C52" s="749">
        <f>T_23!J21</f>
        <v>562</v>
      </c>
      <c r="D52" s="758">
        <f>T_23!K21</f>
        <v>685</v>
      </c>
      <c r="E52" s="758">
        <f>T_23!L21</f>
        <v>18</v>
      </c>
      <c r="F52" s="758">
        <f>T_23!M21</f>
        <v>2</v>
      </c>
      <c r="G52" s="758">
        <f>T_23!N21</f>
        <v>3</v>
      </c>
      <c r="H52" s="749">
        <f>T_23!O21</f>
        <v>0</v>
      </c>
      <c r="I52" s="743">
        <f t="shared" si="30"/>
        <v>1708</v>
      </c>
      <c r="J52" s="177"/>
      <c r="K52" s="1408">
        <f t="shared" si="31"/>
        <v>25.644028103044498</v>
      </c>
      <c r="L52" s="1409">
        <f t="shared" si="32"/>
        <v>32.903981264636997</v>
      </c>
      <c r="M52" s="1409">
        <f t="shared" si="33"/>
        <v>40.105386416861826</v>
      </c>
      <c r="N52" s="1409">
        <f t="shared" si="34"/>
        <v>1.053864168618267</v>
      </c>
      <c r="O52" s="1409">
        <f t="shared" si="35"/>
        <v>0.117096018735363</v>
      </c>
      <c r="P52" s="1409">
        <f t="shared" si="36"/>
        <v>0.1756440281030445</v>
      </c>
      <c r="Q52" s="1460">
        <f t="shared" si="37"/>
        <v>0</v>
      </c>
    </row>
    <row r="53" spans="1:17" ht="13.5" customHeight="1" x14ac:dyDescent="0.2">
      <c r="A53" s="46" t="s">
        <v>37</v>
      </c>
      <c r="B53" s="667">
        <f>T_23!I22</f>
        <v>121</v>
      </c>
      <c r="C53" s="668">
        <f>T_23!J22</f>
        <v>167</v>
      </c>
      <c r="D53" s="757">
        <f>T_23!K22</f>
        <v>54</v>
      </c>
      <c r="E53" s="757">
        <f>T_23!L22</f>
        <v>6</v>
      </c>
      <c r="F53" s="757">
        <f>T_23!M22</f>
        <v>5</v>
      </c>
      <c r="G53" s="757">
        <f>T_23!N22</f>
        <v>2</v>
      </c>
      <c r="H53" s="754">
        <f>T_23!O22</f>
        <v>0</v>
      </c>
      <c r="I53" s="666">
        <f t="shared" si="30"/>
        <v>355</v>
      </c>
      <c r="J53" s="177"/>
      <c r="K53" s="1410">
        <f t="shared" si="31"/>
        <v>34.08450704225352</v>
      </c>
      <c r="L53" s="1411">
        <f t="shared" si="32"/>
        <v>47.04225352112676</v>
      </c>
      <c r="M53" s="1411">
        <f t="shared" si="33"/>
        <v>15.211267605633802</v>
      </c>
      <c r="N53" s="1411">
        <f t="shared" si="34"/>
        <v>1.6901408450704223</v>
      </c>
      <c r="O53" s="1411">
        <f t="shared" si="35"/>
        <v>1.4084507042253522</v>
      </c>
      <c r="P53" s="1411">
        <f t="shared" si="36"/>
        <v>0.56338028169014087</v>
      </c>
      <c r="Q53" s="1449">
        <f t="shared" si="37"/>
        <v>0</v>
      </c>
    </row>
    <row r="54" spans="1:17" ht="13.5" customHeight="1" x14ac:dyDescent="0.2">
      <c r="A54" s="343" t="s">
        <v>38</v>
      </c>
      <c r="B54" s="748">
        <f>T_23!I23</f>
        <v>68</v>
      </c>
      <c r="C54" s="749">
        <f>T_23!J23</f>
        <v>68</v>
      </c>
      <c r="D54" s="758">
        <f>T_23!K23</f>
        <v>50</v>
      </c>
      <c r="E54" s="758">
        <f>T_23!L23</f>
        <v>2</v>
      </c>
      <c r="F54" s="758">
        <f>T_23!M23</f>
        <v>1</v>
      </c>
      <c r="G54" s="758">
        <f>T_23!N23</f>
        <v>0</v>
      </c>
      <c r="H54" s="749">
        <f>T_23!O23</f>
        <v>0</v>
      </c>
      <c r="I54" s="743">
        <f t="shared" si="30"/>
        <v>189</v>
      </c>
      <c r="J54" s="177"/>
      <c r="K54" s="1408">
        <f t="shared" si="31"/>
        <v>35.978835978835974</v>
      </c>
      <c r="L54" s="1409">
        <f t="shared" si="32"/>
        <v>35.978835978835974</v>
      </c>
      <c r="M54" s="1409">
        <f t="shared" si="33"/>
        <v>26.455026455026452</v>
      </c>
      <c r="N54" s="1409">
        <f t="shared" si="34"/>
        <v>1.0582010582010581</v>
      </c>
      <c r="O54" s="1409">
        <f t="shared" si="35"/>
        <v>0.52910052910052907</v>
      </c>
      <c r="P54" s="1409">
        <f t="shared" si="36"/>
        <v>0</v>
      </c>
      <c r="Q54" s="1460">
        <f t="shared" si="37"/>
        <v>0</v>
      </c>
    </row>
    <row r="55" spans="1:17" ht="13.5" customHeight="1" x14ac:dyDescent="0.2">
      <c r="A55" s="46" t="s">
        <v>39</v>
      </c>
      <c r="B55" s="667">
        <f>T_23!I24</f>
        <v>141</v>
      </c>
      <c r="C55" s="668">
        <f>T_23!J24</f>
        <v>52</v>
      </c>
      <c r="D55" s="757">
        <f>T_23!K24</f>
        <v>13</v>
      </c>
      <c r="E55" s="757">
        <f>T_23!L24</f>
        <v>3</v>
      </c>
      <c r="F55" s="757">
        <f>T_23!M24</f>
        <v>0</v>
      </c>
      <c r="G55" s="757">
        <f>T_23!N24</f>
        <v>0</v>
      </c>
      <c r="H55" s="668">
        <f>T_23!O24</f>
        <v>0</v>
      </c>
      <c r="I55" s="666">
        <f t="shared" si="30"/>
        <v>209</v>
      </c>
      <c r="J55" s="177"/>
      <c r="K55" s="1410">
        <f t="shared" si="31"/>
        <v>67.464114832535884</v>
      </c>
      <c r="L55" s="1411">
        <f t="shared" si="32"/>
        <v>24.880382775119617</v>
      </c>
      <c r="M55" s="1411">
        <f t="shared" si="33"/>
        <v>6.2200956937799043</v>
      </c>
      <c r="N55" s="1411">
        <f t="shared" si="34"/>
        <v>1.4354066985645932</v>
      </c>
      <c r="O55" s="1411">
        <f t="shared" si="35"/>
        <v>0</v>
      </c>
      <c r="P55" s="1411">
        <f t="shared" si="36"/>
        <v>0</v>
      </c>
      <c r="Q55" s="1449">
        <f t="shared" si="37"/>
        <v>0</v>
      </c>
    </row>
    <row r="56" spans="1:17" ht="13.5" customHeight="1" x14ac:dyDescent="0.2">
      <c r="A56" s="343" t="s">
        <v>40</v>
      </c>
      <c r="B56" s="748">
        <f>T_23!I25</f>
        <v>40</v>
      </c>
      <c r="C56" s="749">
        <f>T_23!J25</f>
        <v>53</v>
      </c>
      <c r="D56" s="758">
        <f>T_23!K25</f>
        <v>15</v>
      </c>
      <c r="E56" s="758">
        <f>T_23!L25</f>
        <v>3</v>
      </c>
      <c r="F56" s="758">
        <f>T_23!M25</f>
        <v>0</v>
      </c>
      <c r="G56" s="758">
        <f>T_23!N25</f>
        <v>0</v>
      </c>
      <c r="H56" s="755">
        <f>T_23!O25</f>
        <v>0</v>
      </c>
      <c r="I56" s="743">
        <f t="shared" si="30"/>
        <v>111</v>
      </c>
      <c r="J56" s="177"/>
      <c r="K56" s="1408">
        <f t="shared" si="31"/>
        <v>36.036036036036037</v>
      </c>
      <c r="L56" s="1409">
        <f t="shared" si="32"/>
        <v>47.747747747747752</v>
      </c>
      <c r="M56" s="1409">
        <f t="shared" si="33"/>
        <v>13.513513513513514</v>
      </c>
      <c r="N56" s="1409">
        <f t="shared" si="34"/>
        <v>2.7027027027027026</v>
      </c>
      <c r="O56" s="1409">
        <f t="shared" si="35"/>
        <v>0</v>
      </c>
      <c r="P56" s="1409">
        <f t="shared" si="36"/>
        <v>0</v>
      </c>
      <c r="Q56" s="1460">
        <f t="shared" si="37"/>
        <v>0</v>
      </c>
    </row>
    <row r="57" spans="1:17" ht="13.5" customHeight="1" x14ac:dyDescent="0.2">
      <c r="A57" s="46" t="s">
        <v>393</v>
      </c>
      <c r="B57" s="667">
        <f>T_23!I26</f>
        <v>13</v>
      </c>
      <c r="C57" s="668">
        <f>T_23!J26</f>
        <v>21</v>
      </c>
      <c r="D57" s="757">
        <f>T_23!K26</f>
        <v>3</v>
      </c>
      <c r="E57" s="757">
        <f>T_23!L26</f>
        <v>1</v>
      </c>
      <c r="F57" s="757">
        <f>T_23!M26</f>
        <v>0</v>
      </c>
      <c r="G57" s="757">
        <f>T_23!N26</f>
        <v>1</v>
      </c>
      <c r="H57" s="754">
        <f>T_23!O26</f>
        <v>0</v>
      </c>
      <c r="I57" s="666">
        <f>SUM(B57:H57)</f>
        <v>39</v>
      </c>
      <c r="J57" s="177"/>
      <c r="K57" s="1410">
        <f t="shared" si="31"/>
        <v>33.333333333333329</v>
      </c>
      <c r="L57" s="1411">
        <f t="shared" si="32"/>
        <v>53.846153846153847</v>
      </c>
      <c r="M57" s="1411">
        <f t="shared" si="33"/>
        <v>7.6923076923076925</v>
      </c>
      <c r="N57" s="1411">
        <f t="shared" si="34"/>
        <v>2.5641025641025639</v>
      </c>
      <c r="O57" s="1411">
        <f t="shared" si="35"/>
        <v>0</v>
      </c>
      <c r="P57" s="1411">
        <f t="shared" si="36"/>
        <v>2.5641025641025639</v>
      </c>
      <c r="Q57" s="1449">
        <f t="shared" si="37"/>
        <v>0</v>
      </c>
    </row>
    <row r="58" spans="1:17" ht="13.5" customHeight="1" x14ac:dyDescent="0.2">
      <c r="A58" s="343" t="s">
        <v>41</v>
      </c>
      <c r="B58" s="748">
        <f>T_23!I27</f>
        <v>107</v>
      </c>
      <c r="C58" s="749">
        <f>T_23!J27</f>
        <v>125</v>
      </c>
      <c r="D58" s="758">
        <f>T_23!K27</f>
        <v>35</v>
      </c>
      <c r="E58" s="758">
        <f>T_23!L27</f>
        <v>3</v>
      </c>
      <c r="F58" s="758">
        <f>T_23!M27</f>
        <v>0</v>
      </c>
      <c r="G58" s="758">
        <f>T_23!N27</f>
        <v>0</v>
      </c>
      <c r="H58" s="749">
        <f>T_23!O27</f>
        <v>0</v>
      </c>
      <c r="I58" s="743">
        <f t="shared" si="30"/>
        <v>270</v>
      </c>
      <c r="J58" s="177"/>
      <c r="K58" s="1408">
        <f t="shared" si="31"/>
        <v>39.629629629629633</v>
      </c>
      <c r="L58" s="1409">
        <f t="shared" si="32"/>
        <v>46.296296296296298</v>
      </c>
      <c r="M58" s="1409">
        <f t="shared" si="33"/>
        <v>12.962962962962962</v>
      </c>
      <c r="N58" s="1409">
        <f t="shared" si="34"/>
        <v>1.1111111111111112</v>
      </c>
      <c r="O58" s="1409">
        <f t="shared" si="35"/>
        <v>0</v>
      </c>
      <c r="P58" s="1409">
        <f t="shared" si="36"/>
        <v>0</v>
      </c>
      <c r="Q58" s="1460">
        <f t="shared" si="37"/>
        <v>0</v>
      </c>
    </row>
    <row r="59" spans="1:17" ht="13.5" customHeight="1" x14ac:dyDescent="0.2">
      <c r="A59" s="46" t="s">
        <v>42</v>
      </c>
      <c r="B59" s="667">
        <f>T_23!I28</f>
        <v>244</v>
      </c>
      <c r="C59" s="668">
        <f>T_23!J28</f>
        <v>314</v>
      </c>
      <c r="D59" s="757">
        <f>T_23!K28</f>
        <v>90</v>
      </c>
      <c r="E59" s="757">
        <f>T_23!L28</f>
        <v>4</v>
      </c>
      <c r="F59" s="757">
        <f>T_23!M28</f>
        <v>2</v>
      </c>
      <c r="G59" s="757">
        <f>T_23!N28</f>
        <v>0</v>
      </c>
      <c r="H59" s="668">
        <f>T_23!O28</f>
        <v>0</v>
      </c>
      <c r="I59" s="666">
        <f t="shared" si="30"/>
        <v>654</v>
      </c>
      <c r="J59" s="177"/>
      <c r="K59" s="1410">
        <f t="shared" si="31"/>
        <v>37.308868501529055</v>
      </c>
      <c r="L59" s="1411">
        <f t="shared" si="32"/>
        <v>48.01223241590214</v>
      </c>
      <c r="M59" s="1411">
        <f t="shared" si="33"/>
        <v>13.761467889908257</v>
      </c>
      <c r="N59" s="1411">
        <f t="shared" si="34"/>
        <v>0.6116207951070336</v>
      </c>
      <c r="O59" s="1411">
        <f t="shared" si="35"/>
        <v>0.3058103975535168</v>
      </c>
      <c r="P59" s="1411">
        <f t="shared" si="36"/>
        <v>0</v>
      </c>
      <c r="Q59" s="1449">
        <f t="shared" si="37"/>
        <v>0</v>
      </c>
    </row>
    <row r="60" spans="1:17" ht="13.5" customHeight="1" x14ac:dyDescent="0.2">
      <c r="A60" s="343" t="s">
        <v>43</v>
      </c>
      <c r="B60" s="748">
        <f>T_23!I29</f>
        <v>8</v>
      </c>
      <c r="C60" s="749">
        <f>T_23!J29</f>
        <v>6</v>
      </c>
      <c r="D60" s="758">
        <f>T_23!K29</f>
        <v>1</v>
      </c>
      <c r="E60" s="758">
        <f>T_23!L29</f>
        <v>0</v>
      </c>
      <c r="F60" s="758">
        <f>T_23!M29</f>
        <v>0</v>
      </c>
      <c r="G60" s="758">
        <f>T_23!N29</f>
        <v>0</v>
      </c>
      <c r="H60" s="755">
        <f>T_23!O29</f>
        <v>0</v>
      </c>
      <c r="I60" s="743">
        <f t="shared" si="30"/>
        <v>15</v>
      </c>
      <c r="J60" s="177"/>
      <c r="K60" s="1408">
        <f t="shared" si="31"/>
        <v>53.333333333333336</v>
      </c>
      <c r="L60" s="1409">
        <f t="shared" si="32"/>
        <v>40</v>
      </c>
      <c r="M60" s="1409">
        <f t="shared" si="33"/>
        <v>6.666666666666667</v>
      </c>
      <c r="N60" s="1409">
        <f t="shared" si="34"/>
        <v>0</v>
      </c>
      <c r="O60" s="1409">
        <f t="shared" si="35"/>
        <v>0</v>
      </c>
      <c r="P60" s="1409">
        <f t="shared" si="36"/>
        <v>0</v>
      </c>
      <c r="Q60" s="1460">
        <f t="shared" si="37"/>
        <v>0</v>
      </c>
    </row>
    <row r="61" spans="1:17" ht="13.5" customHeight="1" x14ac:dyDescent="0.2">
      <c r="A61" s="46" t="s">
        <v>44</v>
      </c>
      <c r="B61" s="667">
        <f>T_23!I30</f>
        <v>66</v>
      </c>
      <c r="C61" s="668">
        <f>T_23!J30</f>
        <v>123</v>
      </c>
      <c r="D61" s="757">
        <f>T_23!K30</f>
        <v>36</v>
      </c>
      <c r="E61" s="757">
        <f>T_23!L30</f>
        <v>0</v>
      </c>
      <c r="F61" s="757">
        <f>T_23!M30</f>
        <v>4</v>
      </c>
      <c r="G61" s="757">
        <f>T_23!N30</f>
        <v>1</v>
      </c>
      <c r="H61" s="754">
        <f>T_23!O30</f>
        <v>0</v>
      </c>
      <c r="I61" s="666">
        <f t="shared" si="30"/>
        <v>230</v>
      </c>
      <c r="J61" s="177"/>
      <c r="K61" s="1410">
        <f t="shared" si="31"/>
        <v>28.695652173913043</v>
      </c>
      <c r="L61" s="1411">
        <f t="shared" si="32"/>
        <v>53.478260869565219</v>
      </c>
      <c r="M61" s="1411">
        <f t="shared" si="33"/>
        <v>15.65217391304348</v>
      </c>
      <c r="N61" s="1411">
        <f t="shared" si="34"/>
        <v>0</v>
      </c>
      <c r="O61" s="1411">
        <f t="shared" si="35"/>
        <v>1.7391304347826086</v>
      </c>
      <c r="P61" s="1411">
        <f t="shared" si="36"/>
        <v>0.43478260869565216</v>
      </c>
      <c r="Q61" s="1449">
        <f t="shared" si="37"/>
        <v>0</v>
      </c>
    </row>
    <row r="62" spans="1:17" ht="13.5" customHeight="1" x14ac:dyDescent="0.2">
      <c r="A62" s="343" t="s">
        <v>45</v>
      </c>
      <c r="B62" s="748">
        <f>T_23!I31</f>
        <v>138</v>
      </c>
      <c r="C62" s="749">
        <f>T_23!J31</f>
        <v>158</v>
      </c>
      <c r="D62" s="758">
        <f>T_23!K31</f>
        <v>91</v>
      </c>
      <c r="E62" s="758">
        <f>T_23!L31</f>
        <v>5</v>
      </c>
      <c r="F62" s="758">
        <f>T_23!M31</f>
        <v>0</v>
      </c>
      <c r="G62" s="758">
        <f>T_23!N31</f>
        <v>1</v>
      </c>
      <c r="H62" s="749">
        <f>T_23!O31</f>
        <v>0</v>
      </c>
      <c r="I62" s="743">
        <f t="shared" si="30"/>
        <v>393</v>
      </c>
      <c r="J62" s="177"/>
      <c r="K62" s="1408">
        <f t="shared" si="31"/>
        <v>35.114503816793892</v>
      </c>
      <c r="L62" s="1409">
        <f t="shared" si="32"/>
        <v>40.203562340966918</v>
      </c>
      <c r="M62" s="1409">
        <f t="shared" si="33"/>
        <v>23.155216284987276</v>
      </c>
      <c r="N62" s="1409">
        <f t="shared" si="34"/>
        <v>1.2722646310432568</v>
      </c>
      <c r="O62" s="1409">
        <f t="shared" si="35"/>
        <v>0</v>
      </c>
      <c r="P62" s="1409">
        <f t="shared" si="36"/>
        <v>0.2544529262086514</v>
      </c>
      <c r="Q62" s="1460">
        <f t="shared" si="37"/>
        <v>0</v>
      </c>
    </row>
    <row r="63" spans="1:17" ht="13.5" customHeight="1" x14ac:dyDescent="0.2">
      <c r="A63" s="10" t="s">
        <v>46</v>
      </c>
      <c r="B63" s="667">
        <f>T_23!I32</f>
        <v>107</v>
      </c>
      <c r="C63" s="668">
        <f>T_23!J32</f>
        <v>77</v>
      </c>
      <c r="D63" s="757">
        <f>T_23!K32</f>
        <v>14</v>
      </c>
      <c r="E63" s="757">
        <f>T_23!L32</f>
        <v>4</v>
      </c>
      <c r="F63" s="757">
        <f>T_23!M32</f>
        <v>0</v>
      </c>
      <c r="G63" s="757">
        <f>T_23!N32</f>
        <v>1</v>
      </c>
      <c r="H63" s="668">
        <f>T_23!O32</f>
        <v>0</v>
      </c>
      <c r="I63" s="666">
        <f t="shared" si="30"/>
        <v>203</v>
      </c>
      <c r="J63" s="177"/>
      <c r="K63" s="1410">
        <f t="shared" si="31"/>
        <v>52.709359605911331</v>
      </c>
      <c r="L63" s="1411">
        <f t="shared" si="32"/>
        <v>37.931034482758619</v>
      </c>
      <c r="M63" s="1411">
        <f t="shared" si="33"/>
        <v>6.8965517241379306</v>
      </c>
      <c r="N63" s="1411">
        <f t="shared" si="34"/>
        <v>1.9704433497536946</v>
      </c>
      <c r="O63" s="1411">
        <f t="shared" si="35"/>
        <v>0</v>
      </c>
      <c r="P63" s="1411">
        <f t="shared" si="36"/>
        <v>0.49261083743842365</v>
      </c>
      <c r="Q63" s="1449">
        <f t="shared" si="37"/>
        <v>0</v>
      </c>
    </row>
    <row r="64" spans="1:17" ht="13.5" customHeight="1" x14ac:dyDescent="0.2">
      <c r="A64" s="343" t="s">
        <v>47</v>
      </c>
      <c r="B64" s="748">
        <f>T_23!I33</f>
        <v>12</v>
      </c>
      <c r="C64" s="749">
        <f>T_23!J33</f>
        <v>14</v>
      </c>
      <c r="D64" s="758">
        <f>T_23!K33</f>
        <v>5</v>
      </c>
      <c r="E64" s="758">
        <f>T_23!L33</f>
        <v>1</v>
      </c>
      <c r="F64" s="758">
        <f>T_23!M33</f>
        <v>0</v>
      </c>
      <c r="G64" s="758">
        <f>T_23!N33</f>
        <v>0</v>
      </c>
      <c r="H64" s="755">
        <f>T_23!O33</f>
        <v>0</v>
      </c>
      <c r="I64" s="743">
        <f t="shared" si="30"/>
        <v>32</v>
      </c>
      <c r="J64" s="177"/>
      <c r="K64" s="1408">
        <f t="shared" si="31"/>
        <v>37.5</v>
      </c>
      <c r="L64" s="1409">
        <f t="shared" si="32"/>
        <v>43.75</v>
      </c>
      <c r="M64" s="1409">
        <f t="shared" si="33"/>
        <v>15.625</v>
      </c>
      <c r="N64" s="1409">
        <f t="shared" si="34"/>
        <v>3.125</v>
      </c>
      <c r="O64" s="1409">
        <f t="shared" si="35"/>
        <v>0</v>
      </c>
      <c r="P64" s="1409">
        <f t="shared" si="36"/>
        <v>0</v>
      </c>
      <c r="Q64" s="1460">
        <f t="shared" si="37"/>
        <v>0</v>
      </c>
    </row>
    <row r="65" spans="1:17" ht="13.5" customHeight="1" x14ac:dyDescent="0.2">
      <c r="A65" s="46" t="s">
        <v>48</v>
      </c>
      <c r="B65" s="667">
        <f>T_23!I34</f>
        <v>66</v>
      </c>
      <c r="C65" s="668">
        <f>T_23!J34</f>
        <v>103</v>
      </c>
      <c r="D65" s="757">
        <f>T_23!K34</f>
        <v>31</v>
      </c>
      <c r="E65" s="757">
        <f>T_23!L34</f>
        <v>2</v>
      </c>
      <c r="F65" s="757">
        <f>T_23!M34</f>
        <v>1</v>
      </c>
      <c r="G65" s="757">
        <f>T_23!N34</f>
        <v>1</v>
      </c>
      <c r="H65" s="754">
        <f>T_23!O34</f>
        <v>0</v>
      </c>
      <c r="I65" s="666">
        <f>SUM(B65:H65)</f>
        <v>204</v>
      </c>
      <c r="J65" s="177"/>
      <c r="K65" s="1410">
        <f t="shared" si="31"/>
        <v>32.352941176470587</v>
      </c>
      <c r="L65" s="1411">
        <f t="shared" si="32"/>
        <v>50.490196078431367</v>
      </c>
      <c r="M65" s="1411">
        <f t="shared" si="33"/>
        <v>15.196078431372548</v>
      </c>
      <c r="N65" s="1411">
        <f t="shared" si="34"/>
        <v>0.98039215686274506</v>
      </c>
      <c r="O65" s="1411">
        <f t="shared" si="35"/>
        <v>0.49019607843137253</v>
      </c>
      <c r="P65" s="1411">
        <f t="shared" si="36"/>
        <v>0.49019607843137253</v>
      </c>
      <c r="Q65" s="1449">
        <f t="shared" si="37"/>
        <v>0</v>
      </c>
    </row>
    <row r="66" spans="1:17" ht="13.5" customHeight="1" x14ac:dyDescent="0.2">
      <c r="A66" s="343" t="s">
        <v>49</v>
      </c>
      <c r="B66" s="748">
        <f>T_23!I35</f>
        <v>216</v>
      </c>
      <c r="C66" s="749">
        <f>T_23!J35</f>
        <v>266</v>
      </c>
      <c r="D66" s="758">
        <f>T_23!K35</f>
        <v>91</v>
      </c>
      <c r="E66" s="758">
        <f>T_23!L35</f>
        <v>9</v>
      </c>
      <c r="F66" s="758">
        <f>T_23!M35</f>
        <v>1</v>
      </c>
      <c r="G66" s="758">
        <f>T_23!N35</f>
        <v>0</v>
      </c>
      <c r="H66" s="755">
        <f>T_23!O35</f>
        <v>0</v>
      </c>
      <c r="I66" s="743">
        <f t="shared" si="30"/>
        <v>583</v>
      </c>
      <c r="J66" s="177"/>
      <c r="K66" s="1408">
        <f t="shared" si="31"/>
        <v>37.049742710120071</v>
      </c>
      <c r="L66" s="1409">
        <f t="shared" si="32"/>
        <v>45.626072041166381</v>
      </c>
      <c r="M66" s="1409">
        <f t="shared" si="33"/>
        <v>15.608919382504288</v>
      </c>
      <c r="N66" s="1409">
        <f t="shared" si="34"/>
        <v>1.5437392795883362</v>
      </c>
      <c r="O66" s="1409">
        <f t="shared" si="35"/>
        <v>0.17152658662092624</v>
      </c>
      <c r="P66" s="1409">
        <f t="shared" si="36"/>
        <v>0</v>
      </c>
      <c r="Q66" s="1460">
        <f t="shared" si="37"/>
        <v>0</v>
      </c>
    </row>
    <row r="67" spans="1:17" ht="13.5" customHeight="1" x14ac:dyDescent="0.2">
      <c r="A67" s="46" t="s">
        <v>50</v>
      </c>
      <c r="B67" s="667">
        <f>T_23!I36</f>
        <v>58</v>
      </c>
      <c r="C67" s="668">
        <f>T_23!J36</f>
        <v>76</v>
      </c>
      <c r="D67" s="757">
        <f>T_23!K36</f>
        <v>36</v>
      </c>
      <c r="E67" s="757">
        <f>T_23!L36</f>
        <v>2</v>
      </c>
      <c r="F67" s="757">
        <f>T_23!M36</f>
        <v>1</v>
      </c>
      <c r="G67" s="757">
        <f>T_23!N36</f>
        <v>0</v>
      </c>
      <c r="H67" s="668">
        <f>T_23!O36</f>
        <v>0</v>
      </c>
      <c r="I67" s="666">
        <f t="shared" si="30"/>
        <v>173</v>
      </c>
      <c r="J67" s="177"/>
      <c r="K67" s="1410">
        <f t="shared" si="31"/>
        <v>33.52601156069364</v>
      </c>
      <c r="L67" s="1411">
        <f t="shared" si="32"/>
        <v>43.930635838150287</v>
      </c>
      <c r="M67" s="1411">
        <f t="shared" si="33"/>
        <v>20.809248554913296</v>
      </c>
      <c r="N67" s="1411">
        <f t="shared" si="34"/>
        <v>1.1560693641618496</v>
      </c>
      <c r="O67" s="1411">
        <f t="shared" si="35"/>
        <v>0.57803468208092479</v>
      </c>
      <c r="P67" s="1411">
        <f t="shared" si="36"/>
        <v>0</v>
      </c>
      <c r="Q67" s="1449">
        <f t="shared" si="37"/>
        <v>0</v>
      </c>
    </row>
    <row r="68" spans="1:17" ht="13.5" customHeight="1" x14ac:dyDescent="0.2">
      <c r="A68" s="343" t="s">
        <v>51</v>
      </c>
      <c r="B68" s="748">
        <f>T_23!I37</f>
        <v>102</v>
      </c>
      <c r="C68" s="749">
        <f>T_23!J37</f>
        <v>125</v>
      </c>
      <c r="D68" s="758">
        <f>T_23!K37</f>
        <v>37</v>
      </c>
      <c r="E68" s="758">
        <f>T_23!L37</f>
        <v>2</v>
      </c>
      <c r="F68" s="758">
        <f>T_23!M37</f>
        <v>1</v>
      </c>
      <c r="G68" s="758">
        <f>T_23!N37</f>
        <v>2</v>
      </c>
      <c r="H68" s="755">
        <f>T_23!O37</f>
        <v>0</v>
      </c>
      <c r="I68" s="743">
        <f t="shared" si="30"/>
        <v>269</v>
      </c>
      <c r="J68" s="177"/>
      <c r="K68" s="1408">
        <f t="shared" si="31"/>
        <v>37.918215613382898</v>
      </c>
      <c r="L68" s="1409">
        <f t="shared" si="32"/>
        <v>46.468401486988846</v>
      </c>
      <c r="M68" s="1409">
        <f t="shared" si="33"/>
        <v>13.754646840148698</v>
      </c>
      <c r="N68" s="1409">
        <f t="shared" si="34"/>
        <v>0.74349442379182151</v>
      </c>
      <c r="O68" s="1409">
        <f t="shared" si="35"/>
        <v>0.37174721189591076</v>
      </c>
      <c r="P68" s="1409">
        <f t="shared" si="36"/>
        <v>0.74349442379182151</v>
      </c>
      <c r="Q68" s="1460">
        <f t="shared" si="37"/>
        <v>0</v>
      </c>
    </row>
    <row r="69" spans="1:17" ht="13.5" customHeight="1" x14ac:dyDescent="0.2">
      <c r="A69" s="46" t="s">
        <v>52</v>
      </c>
      <c r="B69" s="667">
        <f>T_23!I38</f>
        <v>197</v>
      </c>
      <c r="C69" s="668">
        <f>T_23!J38</f>
        <v>173</v>
      </c>
      <c r="D69" s="757">
        <f>T_23!K38</f>
        <v>45</v>
      </c>
      <c r="E69" s="757">
        <f>T_23!L38</f>
        <v>3</v>
      </c>
      <c r="F69" s="757">
        <f>T_23!M38</f>
        <v>0</v>
      </c>
      <c r="G69" s="757">
        <f>T_23!N38</f>
        <v>1</v>
      </c>
      <c r="H69" s="668">
        <f>T_23!O38</f>
        <v>0</v>
      </c>
      <c r="I69" s="666">
        <f t="shared" si="30"/>
        <v>419</v>
      </c>
      <c r="J69" s="177"/>
      <c r="K69" s="1410">
        <f t="shared" si="31"/>
        <v>47.016706443914082</v>
      </c>
      <c r="L69" s="1411">
        <f t="shared" si="32"/>
        <v>41.288782816229116</v>
      </c>
      <c r="M69" s="1411">
        <f t="shared" si="33"/>
        <v>10.739856801909307</v>
      </c>
      <c r="N69" s="1411">
        <f t="shared" si="34"/>
        <v>0.71599045346062051</v>
      </c>
      <c r="O69" s="1411">
        <f t="shared" si="35"/>
        <v>0</v>
      </c>
      <c r="P69" s="1411">
        <f t="shared" si="36"/>
        <v>0.23866348448687352</v>
      </c>
      <c r="Q69" s="1449">
        <f>H69/I69*100</f>
        <v>0</v>
      </c>
    </row>
    <row r="70" spans="1:17" ht="13.5" customHeight="1" x14ac:dyDescent="0.2">
      <c r="A70" s="343"/>
      <c r="B70" s="323"/>
      <c r="C70" s="758"/>
      <c r="D70" s="758"/>
      <c r="E70" s="758"/>
      <c r="F70" s="758"/>
      <c r="G70" s="758"/>
      <c r="H70" s="758"/>
      <c r="I70" s="744">
        <f t="shared" si="30"/>
        <v>0</v>
      </c>
      <c r="J70" s="177"/>
      <c r="K70" s="1461"/>
      <c r="L70" s="1462"/>
      <c r="M70" s="1462"/>
      <c r="N70" s="1462"/>
      <c r="O70" s="1462"/>
      <c r="P70" s="1462"/>
      <c r="Q70" s="1463"/>
    </row>
    <row r="71" spans="1:17" ht="30" customHeight="1" x14ac:dyDescent="0.2">
      <c r="A71" s="204" t="s">
        <v>159</v>
      </c>
      <c r="B71" s="526">
        <f>SUM(B38:B69)</f>
        <v>3572</v>
      </c>
      <c r="C71" s="527">
        <f t="shared" ref="C71:H71" si="38">SUM(C38:C69)</f>
        <v>4607</v>
      </c>
      <c r="D71" s="527">
        <f>SUM(D38:D69)</f>
        <v>2213</v>
      </c>
      <c r="E71" s="527">
        <f t="shared" si="38"/>
        <v>124</v>
      </c>
      <c r="F71" s="527">
        <f t="shared" si="38"/>
        <v>27</v>
      </c>
      <c r="G71" s="527">
        <f>SUM(G38:G69)</f>
        <v>19</v>
      </c>
      <c r="H71" s="528">
        <f t="shared" si="38"/>
        <v>1</v>
      </c>
      <c r="I71" s="529">
        <f>SUM(I38:I69)</f>
        <v>10563</v>
      </c>
      <c r="J71" s="177"/>
      <c r="K71" s="1464">
        <f>B71/I71*100</f>
        <v>33.816150714759061</v>
      </c>
      <c r="L71" s="1465">
        <f>C71/I71*100</f>
        <v>43.614503455457729</v>
      </c>
      <c r="M71" s="1465">
        <f>D71/I71*100</f>
        <v>20.950487550885168</v>
      </c>
      <c r="N71" s="1465">
        <f>E71/I71*100</f>
        <v>1.1739089273880527</v>
      </c>
      <c r="O71" s="1465">
        <f>F71/I71*100</f>
        <v>0.25560920193126951</v>
      </c>
      <c r="P71" s="1465">
        <f>G71/I71*100</f>
        <v>0.17987314209978225</v>
      </c>
      <c r="Q71" s="1466">
        <f>H71/I71*100</f>
        <v>9.4670074789359078E-3</v>
      </c>
    </row>
    <row r="72" spans="1:17" x14ac:dyDescent="0.2">
      <c r="A72" s="2"/>
      <c r="B72" s="34"/>
      <c r="C72" s="34"/>
      <c r="D72" s="34"/>
      <c r="E72" s="34"/>
      <c r="F72" s="34"/>
      <c r="G72" s="34"/>
      <c r="H72" s="34"/>
      <c r="I72" s="34"/>
      <c r="J72" s="1"/>
      <c r="K72" s="637"/>
      <c r="L72" s="637"/>
      <c r="M72" s="637"/>
      <c r="N72" s="637"/>
      <c r="O72" s="637"/>
      <c r="P72" s="637"/>
      <c r="Q72" s="1"/>
    </row>
    <row r="73" spans="1:17" ht="52.5" customHeight="1" x14ac:dyDescent="0.25">
      <c r="A73" s="2"/>
      <c r="B73" s="7"/>
      <c r="C73" s="7"/>
      <c r="D73" s="7"/>
      <c r="G73" s="253" t="s">
        <v>0</v>
      </c>
      <c r="H73" s="7"/>
      <c r="I73" s="34"/>
      <c r="J73" s="1"/>
      <c r="K73" s="274"/>
      <c r="L73" s="274"/>
      <c r="N73" s="637"/>
      <c r="O73" s="145" t="s">
        <v>64</v>
      </c>
      <c r="P73" s="637"/>
      <c r="Q73" s="1"/>
    </row>
    <row r="74" spans="1:17" x14ac:dyDescent="0.2">
      <c r="A74" s="1"/>
      <c r="B74" s="1674" t="s">
        <v>115</v>
      </c>
      <c r="C74" s="1675"/>
      <c r="D74" s="1675"/>
      <c r="E74" s="1675"/>
      <c r="F74" s="1675"/>
      <c r="G74" s="1676"/>
      <c r="H74" s="1"/>
      <c r="I74" s="1"/>
      <c r="J74" s="1"/>
      <c r="K74" s="1674" t="s">
        <v>115</v>
      </c>
      <c r="L74" s="1675"/>
      <c r="M74" s="1675"/>
      <c r="N74" s="1675"/>
      <c r="O74" s="1676"/>
      <c r="P74" s="637"/>
      <c r="Q74" s="1"/>
    </row>
    <row r="75" spans="1:17" ht="26.25" customHeight="1" x14ac:dyDescent="0.2">
      <c r="A75" s="4" t="s">
        <v>22</v>
      </c>
      <c r="B75" s="26" t="s">
        <v>297</v>
      </c>
      <c r="C75" s="670" t="s">
        <v>298</v>
      </c>
      <c r="D75" s="466" t="s">
        <v>299</v>
      </c>
      <c r="E75" s="466" t="s">
        <v>300</v>
      </c>
      <c r="F75" s="466" t="s">
        <v>190</v>
      </c>
      <c r="G75" s="140" t="s">
        <v>11</v>
      </c>
      <c r="H75" s="228"/>
      <c r="I75" s="228"/>
      <c r="J75" s="228"/>
      <c r="K75" s="697" t="s">
        <v>297</v>
      </c>
      <c r="L75" s="697" t="s">
        <v>298</v>
      </c>
      <c r="M75" s="697" t="s">
        <v>299</v>
      </c>
      <c r="N75" s="665" t="s">
        <v>300</v>
      </c>
      <c r="O75" s="669" t="s">
        <v>190</v>
      </c>
      <c r="P75" s="637"/>
      <c r="Q75" s="1"/>
    </row>
    <row r="76" spans="1:17" ht="18.75" customHeight="1" x14ac:dyDescent="0.2">
      <c r="A76" s="343" t="s">
        <v>23</v>
      </c>
      <c r="B76" s="745">
        <f>T_23!B7</f>
        <v>316</v>
      </c>
      <c r="C76" s="746">
        <f>T_23!C7</f>
        <v>18</v>
      </c>
      <c r="D76" s="747">
        <f>T_23!D7</f>
        <v>6</v>
      </c>
      <c r="E76" s="747">
        <f>T_23!E7</f>
        <v>0</v>
      </c>
      <c r="F76" s="1335">
        <f>T_23!F7</f>
        <v>0</v>
      </c>
      <c r="G76" s="616">
        <f>SUM(B76:F76)</f>
        <v>340</v>
      </c>
      <c r="H76" s="34"/>
      <c r="I76" s="34"/>
      <c r="J76" s="34"/>
      <c r="K76" s="1415">
        <f>B76/G76*100</f>
        <v>92.941176470588232</v>
      </c>
      <c r="L76" s="1416">
        <f>C76/G76*100</f>
        <v>5.2941176470588234</v>
      </c>
      <c r="M76" s="1416">
        <f>D76/G76*100</f>
        <v>1.7647058823529411</v>
      </c>
      <c r="N76" s="1467">
        <f>E76/G76*100</f>
        <v>0</v>
      </c>
      <c r="O76" s="1459">
        <f>F76/G76*100</f>
        <v>0</v>
      </c>
    </row>
    <row r="77" spans="1:17" ht="13.5" customHeight="1" x14ac:dyDescent="0.2">
      <c r="A77" s="46" t="s">
        <v>24</v>
      </c>
      <c r="B77" s="667">
        <f>T_23!B8</f>
        <v>183</v>
      </c>
      <c r="C77" s="668">
        <f>T_23!C8</f>
        <v>26</v>
      </c>
      <c r="D77" s="179">
        <f>T_23!D8</f>
        <v>5</v>
      </c>
      <c r="E77" s="179">
        <f>T_23!E8</f>
        <v>0</v>
      </c>
      <c r="F77" s="180">
        <f>T_23!F8</f>
        <v>0</v>
      </c>
      <c r="G77" s="562">
        <f t="shared" ref="G77:G107" si="39">SUM(B77:F77)</f>
        <v>214</v>
      </c>
      <c r="H77" s="34"/>
      <c r="I77" s="34"/>
      <c r="J77" s="34"/>
      <c r="K77" s="1410">
        <f t="shared" ref="K77:K109" si="40">B77/G77*100</f>
        <v>85.514018691588788</v>
      </c>
      <c r="L77" s="1411">
        <f t="shared" ref="L77:L109" si="41">C77/G77*100</f>
        <v>12.149532710280374</v>
      </c>
      <c r="M77" s="1411">
        <f t="shared" ref="M77:M109" si="42">D77/G77*100</f>
        <v>2.3364485981308412</v>
      </c>
      <c r="N77" s="1448">
        <f t="shared" ref="N77:N109" si="43">E77/G77*100</f>
        <v>0</v>
      </c>
      <c r="O77" s="1449">
        <f t="shared" ref="O77:O109" si="44">F77/G77*100</f>
        <v>0</v>
      </c>
    </row>
    <row r="78" spans="1:17" ht="13.5" customHeight="1" x14ac:dyDescent="0.2">
      <c r="A78" s="343" t="s">
        <v>25</v>
      </c>
      <c r="B78" s="748">
        <f>T_23!B9</f>
        <v>161</v>
      </c>
      <c r="C78" s="749">
        <f>T_23!C9</f>
        <v>11</v>
      </c>
      <c r="D78" s="621">
        <f>T_23!D9</f>
        <v>7</v>
      </c>
      <c r="E78" s="621">
        <f>T_23!E9</f>
        <v>0</v>
      </c>
      <c r="F78" s="623">
        <f>T_23!F9</f>
        <v>0</v>
      </c>
      <c r="G78" s="616">
        <f t="shared" si="39"/>
        <v>179</v>
      </c>
      <c r="H78" s="34"/>
      <c r="I78" s="34"/>
      <c r="J78" s="34"/>
      <c r="K78" s="1408">
        <f t="shared" si="40"/>
        <v>89.944134078212286</v>
      </c>
      <c r="L78" s="1409">
        <f t="shared" si="41"/>
        <v>6.1452513966480442</v>
      </c>
      <c r="M78" s="1409">
        <f t="shared" si="42"/>
        <v>3.9106145251396649</v>
      </c>
      <c r="N78" s="1468">
        <f t="shared" si="43"/>
        <v>0</v>
      </c>
      <c r="O78" s="1460">
        <f t="shared" si="44"/>
        <v>0</v>
      </c>
    </row>
    <row r="79" spans="1:17" ht="13.5" customHeight="1" x14ac:dyDescent="0.2">
      <c r="A79" s="46" t="s">
        <v>26</v>
      </c>
      <c r="B79" s="667">
        <f>T_23!B10</f>
        <v>57</v>
      </c>
      <c r="C79" s="668">
        <f>T_23!C10</f>
        <v>22</v>
      </c>
      <c r="D79" s="179">
        <f>T_23!D10</f>
        <v>2</v>
      </c>
      <c r="E79" s="179">
        <f>T_23!E10</f>
        <v>0</v>
      </c>
      <c r="F79" s="180">
        <f>T_23!F10</f>
        <v>0</v>
      </c>
      <c r="G79" s="562">
        <f t="shared" si="39"/>
        <v>81</v>
      </c>
      <c r="H79" s="34"/>
      <c r="I79" s="34"/>
      <c r="J79" s="34"/>
      <c r="K79" s="1410">
        <f t="shared" si="40"/>
        <v>70.370370370370367</v>
      </c>
      <c r="L79" s="1411">
        <f t="shared" si="41"/>
        <v>27.160493827160494</v>
      </c>
      <c r="M79" s="1411">
        <f t="shared" si="42"/>
        <v>2.4691358024691357</v>
      </c>
      <c r="N79" s="1448">
        <f t="shared" si="43"/>
        <v>0</v>
      </c>
      <c r="O79" s="1449">
        <f t="shared" si="44"/>
        <v>0</v>
      </c>
    </row>
    <row r="80" spans="1:17" ht="13.5" customHeight="1" x14ac:dyDescent="0.2">
      <c r="A80" s="343" t="s">
        <v>27</v>
      </c>
      <c r="B80" s="748">
        <f>T_23!B11</f>
        <v>94</v>
      </c>
      <c r="C80" s="749">
        <f>T_23!C11</f>
        <v>13</v>
      </c>
      <c r="D80" s="621">
        <f>T_23!D11</f>
        <v>1</v>
      </c>
      <c r="E80" s="621">
        <f>T_23!E11</f>
        <v>0</v>
      </c>
      <c r="F80" s="623">
        <f>T_23!F11</f>
        <v>0</v>
      </c>
      <c r="G80" s="616">
        <f t="shared" si="39"/>
        <v>108</v>
      </c>
      <c r="H80" s="34"/>
      <c r="I80" s="34"/>
      <c r="J80" s="34"/>
      <c r="K80" s="1408">
        <f t="shared" si="40"/>
        <v>87.037037037037038</v>
      </c>
      <c r="L80" s="1409">
        <f t="shared" si="41"/>
        <v>12.037037037037036</v>
      </c>
      <c r="M80" s="1409">
        <f t="shared" si="42"/>
        <v>0.92592592592592582</v>
      </c>
      <c r="N80" s="1468">
        <f t="shared" si="43"/>
        <v>0</v>
      </c>
      <c r="O80" s="1460">
        <f t="shared" si="44"/>
        <v>0</v>
      </c>
    </row>
    <row r="81" spans="1:15" ht="13.5" customHeight="1" x14ac:dyDescent="0.2">
      <c r="A81" s="46" t="s">
        <v>28</v>
      </c>
      <c r="B81" s="667">
        <f>T_23!B12</f>
        <v>140</v>
      </c>
      <c r="C81" s="668">
        <f>T_23!C12</f>
        <v>29</v>
      </c>
      <c r="D81" s="179">
        <f>T_23!D12</f>
        <v>3</v>
      </c>
      <c r="E81" s="179">
        <f>T_23!E12</f>
        <v>0</v>
      </c>
      <c r="F81" s="180">
        <f>T_23!F12</f>
        <v>0</v>
      </c>
      <c r="G81" s="562">
        <f t="shared" si="39"/>
        <v>172</v>
      </c>
      <c r="H81" s="34"/>
      <c r="I81" s="34"/>
      <c r="J81" s="34"/>
      <c r="K81" s="1410">
        <f t="shared" si="40"/>
        <v>81.395348837209298</v>
      </c>
      <c r="L81" s="1411">
        <f t="shared" si="41"/>
        <v>16.86046511627907</v>
      </c>
      <c r="M81" s="1411">
        <f t="shared" si="42"/>
        <v>1.7441860465116279</v>
      </c>
      <c r="N81" s="1448">
        <f t="shared" si="43"/>
        <v>0</v>
      </c>
      <c r="O81" s="1449">
        <f t="shared" si="44"/>
        <v>0</v>
      </c>
    </row>
    <row r="82" spans="1:15" ht="13.5" customHeight="1" x14ac:dyDescent="0.2">
      <c r="A82" s="343" t="s">
        <v>29</v>
      </c>
      <c r="B82" s="748">
        <f>T_23!B13</f>
        <v>742</v>
      </c>
      <c r="C82" s="749">
        <f>T_23!C13</f>
        <v>24</v>
      </c>
      <c r="D82" s="621">
        <f>T_23!D13</f>
        <v>5</v>
      </c>
      <c r="E82" s="621">
        <f>T_23!E13</f>
        <v>0</v>
      </c>
      <c r="F82" s="623">
        <f>T_23!F13</f>
        <v>0</v>
      </c>
      <c r="G82" s="616">
        <f t="shared" si="39"/>
        <v>771</v>
      </c>
      <c r="H82" s="34"/>
      <c r="I82" s="34"/>
      <c r="J82" s="34"/>
      <c r="K82" s="1408">
        <f t="shared" si="40"/>
        <v>96.238651102464331</v>
      </c>
      <c r="L82" s="1409">
        <f t="shared" si="41"/>
        <v>3.1128404669260701</v>
      </c>
      <c r="M82" s="1409">
        <f t="shared" si="42"/>
        <v>0.64850843060959795</v>
      </c>
      <c r="N82" s="1468">
        <f t="shared" si="43"/>
        <v>0</v>
      </c>
      <c r="O82" s="1460">
        <f t="shared" si="44"/>
        <v>0</v>
      </c>
    </row>
    <row r="83" spans="1:15" ht="13.5" customHeight="1" x14ac:dyDescent="0.2">
      <c r="A83" s="46" t="s">
        <v>30</v>
      </c>
      <c r="B83" s="667">
        <f>T_23!B14</f>
        <v>512</v>
      </c>
      <c r="C83" s="668">
        <f>T_23!C14</f>
        <v>76</v>
      </c>
      <c r="D83" s="179">
        <f>T_23!D14</f>
        <v>3</v>
      </c>
      <c r="E83" s="179">
        <f>T_23!E14</f>
        <v>0</v>
      </c>
      <c r="F83" s="180">
        <f>T_23!F14</f>
        <v>0</v>
      </c>
      <c r="G83" s="562">
        <f t="shared" si="39"/>
        <v>591</v>
      </c>
      <c r="H83" s="34"/>
      <c r="I83" s="34"/>
      <c r="J83" s="34"/>
      <c r="K83" s="1410">
        <f t="shared" si="40"/>
        <v>86.632825719120135</v>
      </c>
      <c r="L83" s="1411">
        <f t="shared" si="41"/>
        <v>12.859560067681894</v>
      </c>
      <c r="M83" s="1411">
        <f t="shared" si="42"/>
        <v>0.50761421319796951</v>
      </c>
      <c r="N83" s="1448">
        <f t="shared" si="43"/>
        <v>0</v>
      </c>
      <c r="O83" s="1449">
        <f t="shared" si="44"/>
        <v>0</v>
      </c>
    </row>
    <row r="84" spans="1:15" ht="13.5" customHeight="1" x14ac:dyDescent="0.2">
      <c r="A84" s="343" t="s">
        <v>31</v>
      </c>
      <c r="B84" s="748">
        <f>T_23!B15</f>
        <v>157</v>
      </c>
      <c r="C84" s="749">
        <f>T_23!C15</f>
        <v>17</v>
      </c>
      <c r="D84" s="621">
        <f>T_23!D15</f>
        <v>1</v>
      </c>
      <c r="E84" s="621">
        <f>T_23!E15</f>
        <v>0</v>
      </c>
      <c r="F84" s="623">
        <f>T_23!F15</f>
        <v>0</v>
      </c>
      <c r="G84" s="616">
        <f t="shared" si="39"/>
        <v>175</v>
      </c>
      <c r="H84" s="34"/>
      <c r="I84" s="34"/>
      <c r="J84" s="34"/>
      <c r="K84" s="1408">
        <f t="shared" si="40"/>
        <v>89.714285714285708</v>
      </c>
      <c r="L84" s="1409">
        <f t="shared" si="41"/>
        <v>9.7142857142857135</v>
      </c>
      <c r="M84" s="1409">
        <f t="shared" si="42"/>
        <v>0.5714285714285714</v>
      </c>
      <c r="N84" s="1468">
        <f t="shared" si="43"/>
        <v>0</v>
      </c>
      <c r="O84" s="1460">
        <f t="shared" si="44"/>
        <v>0</v>
      </c>
    </row>
    <row r="85" spans="1:15" ht="13.5" customHeight="1" x14ac:dyDescent="0.2">
      <c r="A85" s="46" t="s">
        <v>32</v>
      </c>
      <c r="B85" s="667">
        <f>T_23!B16</f>
        <v>224</v>
      </c>
      <c r="C85" s="668">
        <f>T_23!C16</f>
        <v>19</v>
      </c>
      <c r="D85" s="179">
        <f>T_23!D16</f>
        <v>0</v>
      </c>
      <c r="E85" s="179">
        <f>T_23!E16</f>
        <v>0</v>
      </c>
      <c r="F85" s="180">
        <f>T_23!F16</f>
        <v>0</v>
      </c>
      <c r="G85" s="562">
        <f t="shared" si="39"/>
        <v>243</v>
      </c>
      <c r="H85" s="34"/>
      <c r="I85" s="34"/>
      <c r="J85" s="34"/>
      <c r="K85" s="1410">
        <f t="shared" si="40"/>
        <v>92.181069958847743</v>
      </c>
      <c r="L85" s="1411">
        <f t="shared" si="41"/>
        <v>7.8189300411522638</v>
      </c>
      <c r="M85" s="1411">
        <f t="shared" si="42"/>
        <v>0</v>
      </c>
      <c r="N85" s="1448">
        <f t="shared" si="43"/>
        <v>0</v>
      </c>
      <c r="O85" s="1449">
        <f t="shared" si="44"/>
        <v>0</v>
      </c>
    </row>
    <row r="86" spans="1:15" ht="13.5" customHeight="1" x14ac:dyDescent="0.2">
      <c r="A86" s="343" t="s">
        <v>33</v>
      </c>
      <c r="B86" s="748">
        <f>T_23!B17</f>
        <v>129</v>
      </c>
      <c r="C86" s="749">
        <f>T_23!C17</f>
        <v>28</v>
      </c>
      <c r="D86" s="621">
        <f>T_23!D17</f>
        <v>8</v>
      </c>
      <c r="E86" s="621">
        <f>T_23!E17</f>
        <v>0</v>
      </c>
      <c r="F86" s="623">
        <f>T_23!F17</f>
        <v>0</v>
      </c>
      <c r="G86" s="616">
        <f t="shared" si="39"/>
        <v>165</v>
      </c>
      <c r="H86" s="34"/>
      <c r="I86" s="34"/>
      <c r="J86" s="34"/>
      <c r="K86" s="1408">
        <f t="shared" si="40"/>
        <v>78.181818181818187</v>
      </c>
      <c r="L86" s="1409">
        <f t="shared" si="41"/>
        <v>16.969696969696972</v>
      </c>
      <c r="M86" s="1409">
        <f t="shared" si="42"/>
        <v>4.8484848484848486</v>
      </c>
      <c r="N86" s="1468">
        <f t="shared" si="43"/>
        <v>0</v>
      </c>
      <c r="O86" s="1460">
        <f t="shared" si="44"/>
        <v>0</v>
      </c>
    </row>
    <row r="87" spans="1:15" ht="13.5" customHeight="1" x14ac:dyDescent="0.2">
      <c r="A87" s="46" t="s">
        <v>137</v>
      </c>
      <c r="B87" s="667">
        <f>T_23!B18</f>
        <v>1670</v>
      </c>
      <c r="C87" s="668">
        <f>T_23!C18</f>
        <v>85</v>
      </c>
      <c r="D87" s="179">
        <f>T_23!D18</f>
        <v>28</v>
      </c>
      <c r="E87" s="179">
        <f>T_23!E18</f>
        <v>0</v>
      </c>
      <c r="F87" s="180">
        <f>T_23!F18</f>
        <v>0</v>
      </c>
      <c r="G87" s="562">
        <f t="shared" si="39"/>
        <v>1783</v>
      </c>
      <c r="H87" s="34"/>
      <c r="I87" s="34"/>
      <c r="J87" s="34"/>
      <c r="K87" s="1410">
        <f t="shared" si="40"/>
        <v>93.662366797532243</v>
      </c>
      <c r="L87" s="1411">
        <f t="shared" si="41"/>
        <v>4.7672462142456533</v>
      </c>
      <c r="M87" s="1411">
        <f t="shared" si="42"/>
        <v>1.5703869882220975</v>
      </c>
      <c r="N87" s="1448">
        <f t="shared" si="43"/>
        <v>0</v>
      </c>
      <c r="O87" s="1449">
        <f t="shared" si="44"/>
        <v>0</v>
      </c>
    </row>
    <row r="88" spans="1:15" ht="13.5" customHeight="1" x14ac:dyDescent="0.2">
      <c r="A88" s="343" t="s">
        <v>34</v>
      </c>
      <c r="B88" s="748">
        <f>T_23!B19</f>
        <v>384</v>
      </c>
      <c r="C88" s="749">
        <f>T_23!C19</f>
        <v>37</v>
      </c>
      <c r="D88" s="621">
        <f>T_23!D19</f>
        <v>5</v>
      </c>
      <c r="E88" s="621">
        <f>T_23!E19</f>
        <v>0</v>
      </c>
      <c r="F88" s="623">
        <f>T_23!F19</f>
        <v>0</v>
      </c>
      <c r="G88" s="616">
        <f t="shared" si="39"/>
        <v>426</v>
      </c>
      <c r="H88" s="34"/>
      <c r="I88" s="34"/>
      <c r="J88" s="34"/>
      <c r="K88" s="1408">
        <f t="shared" si="40"/>
        <v>90.140845070422543</v>
      </c>
      <c r="L88" s="1409">
        <f t="shared" si="41"/>
        <v>8.6854460093896719</v>
      </c>
      <c r="M88" s="1409">
        <f t="shared" si="42"/>
        <v>1.1737089201877933</v>
      </c>
      <c r="N88" s="1468">
        <f t="shared" si="43"/>
        <v>0</v>
      </c>
      <c r="O88" s="1460">
        <f t="shared" si="44"/>
        <v>0</v>
      </c>
    </row>
    <row r="89" spans="1:15" ht="13.5" customHeight="1" x14ac:dyDescent="0.2">
      <c r="A89" s="46" t="s">
        <v>35</v>
      </c>
      <c r="B89" s="667">
        <f>T_23!B20</f>
        <v>813</v>
      </c>
      <c r="C89" s="668">
        <f>T_23!C20</f>
        <v>118</v>
      </c>
      <c r="D89" s="179">
        <f>T_23!D20</f>
        <v>10</v>
      </c>
      <c r="E89" s="179">
        <f>T_23!E20</f>
        <v>0</v>
      </c>
      <c r="F89" s="180">
        <f>T_23!F20</f>
        <v>0</v>
      </c>
      <c r="G89" s="562">
        <f t="shared" si="39"/>
        <v>941</v>
      </c>
      <c r="H89" s="34"/>
      <c r="I89" s="34"/>
      <c r="J89" s="34"/>
      <c r="K89" s="1410">
        <f t="shared" si="40"/>
        <v>86.397449521785333</v>
      </c>
      <c r="L89" s="1411">
        <f t="shared" si="41"/>
        <v>12.539851222104145</v>
      </c>
      <c r="M89" s="1411">
        <f t="shared" si="42"/>
        <v>1.0626992561105209</v>
      </c>
      <c r="N89" s="1448">
        <f t="shared" si="43"/>
        <v>0</v>
      </c>
      <c r="O89" s="1449">
        <f t="shared" si="44"/>
        <v>0</v>
      </c>
    </row>
    <row r="90" spans="1:15" ht="13.5" customHeight="1" x14ac:dyDescent="0.2">
      <c r="A90" s="343" t="s">
        <v>36</v>
      </c>
      <c r="B90" s="748">
        <f>T_23!B21</f>
        <v>2009</v>
      </c>
      <c r="C90" s="749">
        <f>T_23!C21</f>
        <v>220</v>
      </c>
      <c r="D90" s="621">
        <f>T_23!D21</f>
        <v>120</v>
      </c>
      <c r="E90" s="621">
        <f>T_23!E21</f>
        <v>0</v>
      </c>
      <c r="F90" s="623">
        <f>T_23!F21</f>
        <v>0</v>
      </c>
      <c r="G90" s="616">
        <f t="shared" si="39"/>
        <v>2349</v>
      </c>
      <c r="H90" s="34"/>
      <c r="I90" s="34"/>
      <c r="J90" s="34"/>
      <c r="K90" s="1408">
        <f t="shared" si="40"/>
        <v>85.525755640698165</v>
      </c>
      <c r="L90" s="1409">
        <f t="shared" si="41"/>
        <v>9.3656875266070667</v>
      </c>
      <c r="M90" s="1409">
        <f t="shared" si="42"/>
        <v>5.1085568326947639</v>
      </c>
      <c r="N90" s="1468">
        <f t="shared" si="43"/>
        <v>0</v>
      </c>
      <c r="O90" s="1460">
        <f t="shared" si="44"/>
        <v>0</v>
      </c>
    </row>
    <row r="91" spans="1:15" ht="13.5" customHeight="1" x14ac:dyDescent="0.2">
      <c r="A91" s="375" t="s">
        <v>37</v>
      </c>
      <c r="B91" s="667">
        <f>T_23!B22</f>
        <v>369</v>
      </c>
      <c r="C91" s="668">
        <f>T_23!C22</f>
        <v>72</v>
      </c>
      <c r="D91" s="179">
        <f>T_23!D22</f>
        <v>27</v>
      </c>
      <c r="E91" s="179">
        <f>T_23!E22</f>
        <v>0</v>
      </c>
      <c r="F91" s="180">
        <f>T_23!F22</f>
        <v>0</v>
      </c>
      <c r="G91" s="562">
        <f t="shared" si="39"/>
        <v>468</v>
      </c>
      <c r="H91" s="34"/>
      <c r="I91" s="34"/>
      <c r="J91" s="34"/>
      <c r="K91" s="1410">
        <f t="shared" si="40"/>
        <v>78.84615384615384</v>
      </c>
      <c r="L91" s="1411">
        <f t="shared" si="41"/>
        <v>15.384615384615385</v>
      </c>
      <c r="M91" s="1411">
        <f t="shared" si="42"/>
        <v>5.7692307692307692</v>
      </c>
      <c r="N91" s="1448">
        <f t="shared" si="43"/>
        <v>0</v>
      </c>
      <c r="O91" s="1449">
        <f t="shared" si="44"/>
        <v>0</v>
      </c>
    </row>
    <row r="92" spans="1:15" ht="13.5" customHeight="1" x14ac:dyDescent="0.2">
      <c r="A92" s="343" t="s">
        <v>38</v>
      </c>
      <c r="B92" s="748">
        <f>T_23!B23</f>
        <v>306</v>
      </c>
      <c r="C92" s="749">
        <f>T_23!C23</f>
        <v>37</v>
      </c>
      <c r="D92" s="621">
        <f>T_23!D23</f>
        <v>5</v>
      </c>
      <c r="E92" s="621">
        <f>T_23!E23</f>
        <v>0</v>
      </c>
      <c r="F92" s="623">
        <f>T_23!F23</f>
        <v>0</v>
      </c>
      <c r="G92" s="616">
        <f t="shared" si="39"/>
        <v>348</v>
      </c>
      <c r="H92" s="34"/>
      <c r="I92" s="34"/>
      <c r="J92" s="34"/>
      <c r="K92" s="1408">
        <f t="shared" si="40"/>
        <v>87.931034482758619</v>
      </c>
      <c r="L92" s="1409">
        <f t="shared" si="41"/>
        <v>10.632183908045976</v>
      </c>
      <c r="M92" s="1409">
        <f t="shared" si="42"/>
        <v>1.4367816091954022</v>
      </c>
      <c r="N92" s="1468">
        <f t="shared" si="43"/>
        <v>0</v>
      </c>
      <c r="O92" s="1460">
        <f t="shared" si="44"/>
        <v>0</v>
      </c>
    </row>
    <row r="93" spans="1:15" ht="13.5" customHeight="1" x14ac:dyDescent="0.2">
      <c r="A93" s="46" t="s">
        <v>39</v>
      </c>
      <c r="B93" s="667">
        <f>T_23!B24</f>
        <v>367</v>
      </c>
      <c r="C93" s="668">
        <f>T_23!C24</f>
        <v>21</v>
      </c>
      <c r="D93" s="179">
        <f>T_23!D24</f>
        <v>1</v>
      </c>
      <c r="E93" s="179">
        <f>T_23!E24</f>
        <v>0</v>
      </c>
      <c r="F93" s="180">
        <f>T_23!F24</f>
        <v>0</v>
      </c>
      <c r="G93" s="562">
        <f t="shared" si="39"/>
        <v>389</v>
      </c>
      <c r="H93" s="34"/>
      <c r="I93" s="34"/>
      <c r="J93" s="34"/>
      <c r="K93" s="1410">
        <f t="shared" si="40"/>
        <v>94.344473007712082</v>
      </c>
      <c r="L93" s="1411">
        <f t="shared" si="41"/>
        <v>5.3984575835475574</v>
      </c>
      <c r="M93" s="1411">
        <f t="shared" si="42"/>
        <v>0.25706940874035988</v>
      </c>
      <c r="N93" s="1448">
        <f t="shared" si="43"/>
        <v>0</v>
      </c>
      <c r="O93" s="1449">
        <f t="shared" si="44"/>
        <v>0</v>
      </c>
    </row>
    <row r="94" spans="1:15" ht="13.5" customHeight="1" x14ac:dyDescent="0.2">
      <c r="A94" s="343" t="s">
        <v>40</v>
      </c>
      <c r="B94" s="748">
        <f>T_23!B25</f>
        <v>66</v>
      </c>
      <c r="C94" s="749">
        <f>T_23!C25</f>
        <v>12</v>
      </c>
      <c r="D94" s="621">
        <f>T_23!D25</f>
        <v>4</v>
      </c>
      <c r="E94" s="621">
        <f>T_23!E25</f>
        <v>0</v>
      </c>
      <c r="F94" s="623">
        <f>T_23!F25</f>
        <v>0</v>
      </c>
      <c r="G94" s="616">
        <f t="shared" si="39"/>
        <v>82</v>
      </c>
      <c r="H94" s="34"/>
      <c r="I94" s="34"/>
      <c r="J94" s="34"/>
      <c r="K94" s="1408">
        <f t="shared" si="40"/>
        <v>80.487804878048792</v>
      </c>
      <c r="L94" s="1409">
        <f t="shared" si="41"/>
        <v>14.634146341463413</v>
      </c>
      <c r="M94" s="1409">
        <f t="shared" si="42"/>
        <v>4.8780487804878048</v>
      </c>
      <c r="N94" s="1468">
        <f t="shared" si="43"/>
        <v>0</v>
      </c>
      <c r="O94" s="1460">
        <f t="shared" si="44"/>
        <v>0</v>
      </c>
    </row>
    <row r="95" spans="1:15" ht="13.5" customHeight="1" x14ac:dyDescent="0.2">
      <c r="A95" s="46" t="s">
        <v>393</v>
      </c>
      <c r="B95" s="667">
        <f>T_23!B26</f>
        <v>50</v>
      </c>
      <c r="C95" s="668">
        <f>T_23!C26</f>
        <v>11</v>
      </c>
      <c r="D95" s="179">
        <f>T_23!D26</f>
        <v>4</v>
      </c>
      <c r="E95" s="179">
        <f>T_23!E26</f>
        <v>0</v>
      </c>
      <c r="F95" s="180">
        <f>T_23!F26</f>
        <v>0</v>
      </c>
      <c r="G95" s="562">
        <f t="shared" si="39"/>
        <v>65</v>
      </c>
      <c r="H95" s="34"/>
      <c r="I95" s="34"/>
      <c r="J95" s="34"/>
      <c r="K95" s="1410">
        <f t="shared" si="40"/>
        <v>76.923076923076934</v>
      </c>
      <c r="L95" s="1411">
        <f t="shared" si="41"/>
        <v>16.923076923076923</v>
      </c>
      <c r="M95" s="1411">
        <f>D95/G95*100</f>
        <v>6.1538461538461542</v>
      </c>
      <c r="N95" s="1448">
        <f t="shared" si="43"/>
        <v>0</v>
      </c>
      <c r="O95" s="1449">
        <f t="shared" si="44"/>
        <v>0</v>
      </c>
    </row>
    <row r="96" spans="1:15" ht="13.5" customHeight="1" x14ac:dyDescent="0.2">
      <c r="A96" s="343" t="s">
        <v>41</v>
      </c>
      <c r="B96" s="748">
        <f>T_23!B27</f>
        <v>500</v>
      </c>
      <c r="C96" s="749">
        <f>T_23!C27</f>
        <v>56</v>
      </c>
      <c r="D96" s="621">
        <f>T_23!D27</f>
        <v>13</v>
      </c>
      <c r="E96" s="621">
        <f>T_23!E27</f>
        <v>0</v>
      </c>
      <c r="F96" s="623">
        <f>T_23!F27</f>
        <v>0</v>
      </c>
      <c r="G96" s="616">
        <f t="shared" si="39"/>
        <v>569</v>
      </c>
      <c r="H96" s="34"/>
      <c r="I96" s="34"/>
      <c r="J96" s="34"/>
      <c r="K96" s="1408">
        <f t="shared" si="40"/>
        <v>87.873462214411248</v>
      </c>
      <c r="L96" s="1409">
        <f t="shared" si="41"/>
        <v>9.8418277680140598</v>
      </c>
      <c r="M96" s="1409">
        <f t="shared" si="42"/>
        <v>2.2847100175746924</v>
      </c>
      <c r="N96" s="1468">
        <f t="shared" si="43"/>
        <v>0</v>
      </c>
      <c r="O96" s="1460">
        <f t="shared" si="44"/>
        <v>0</v>
      </c>
    </row>
    <row r="97" spans="1:17" ht="13.5" customHeight="1" x14ac:dyDescent="0.2">
      <c r="A97" s="46" t="s">
        <v>42</v>
      </c>
      <c r="B97" s="667">
        <f>T_23!B28</f>
        <v>1036</v>
      </c>
      <c r="C97" s="668">
        <f>T_23!C28</f>
        <v>145</v>
      </c>
      <c r="D97" s="179">
        <f>T_23!D28</f>
        <v>25</v>
      </c>
      <c r="E97" s="179">
        <f>T_23!E28</f>
        <v>0</v>
      </c>
      <c r="F97" s="180">
        <f>T_23!F28</f>
        <v>0</v>
      </c>
      <c r="G97" s="562">
        <f>SUM(B97:F97)</f>
        <v>1206</v>
      </c>
      <c r="H97" s="34"/>
      <c r="I97" s="34"/>
      <c r="J97" s="34"/>
      <c r="K97" s="1410">
        <f t="shared" si="40"/>
        <v>85.903814262023218</v>
      </c>
      <c r="L97" s="1411">
        <f t="shared" si="41"/>
        <v>12.023217247097843</v>
      </c>
      <c r="M97" s="1411">
        <f t="shared" si="42"/>
        <v>2.0729684908789388</v>
      </c>
      <c r="N97" s="1448">
        <f t="shared" si="43"/>
        <v>0</v>
      </c>
      <c r="O97" s="1449">
        <f t="shared" si="44"/>
        <v>0</v>
      </c>
    </row>
    <row r="98" spans="1:17" ht="13.5" customHeight="1" x14ac:dyDescent="0.2">
      <c r="A98" s="343" t="s">
        <v>43</v>
      </c>
      <c r="B98" s="748">
        <f>T_23!B29</f>
        <v>9</v>
      </c>
      <c r="C98" s="749">
        <f>T_23!C29</f>
        <v>0</v>
      </c>
      <c r="D98" s="621">
        <f>T_23!D29</f>
        <v>0</v>
      </c>
      <c r="E98" s="621">
        <f>T_23!E29</f>
        <v>0</v>
      </c>
      <c r="F98" s="623">
        <f>T_23!F29</f>
        <v>0</v>
      </c>
      <c r="G98" s="616">
        <f t="shared" si="39"/>
        <v>9</v>
      </c>
      <c r="H98" s="34"/>
      <c r="I98" s="34"/>
      <c r="J98" s="34"/>
      <c r="K98" s="1408">
        <f t="shared" si="40"/>
        <v>100</v>
      </c>
      <c r="L98" s="1409">
        <f t="shared" si="41"/>
        <v>0</v>
      </c>
      <c r="M98" s="1409">
        <f t="shared" si="42"/>
        <v>0</v>
      </c>
      <c r="N98" s="1468">
        <f t="shared" si="43"/>
        <v>0</v>
      </c>
      <c r="O98" s="1460">
        <f t="shared" si="44"/>
        <v>0</v>
      </c>
    </row>
    <row r="99" spans="1:17" ht="13.5" customHeight="1" x14ac:dyDescent="0.2">
      <c r="A99" s="46" t="s">
        <v>44</v>
      </c>
      <c r="B99" s="667">
        <f>T_23!B30</f>
        <v>163</v>
      </c>
      <c r="C99" s="668">
        <f>T_23!C30</f>
        <v>11</v>
      </c>
      <c r="D99" s="179">
        <f>T_23!D30</f>
        <v>3</v>
      </c>
      <c r="E99" s="179">
        <f>T_23!E30</f>
        <v>0</v>
      </c>
      <c r="F99" s="180">
        <f>T_23!F30</f>
        <v>0</v>
      </c>
      <c r="G99" s="562">
        <f t="shared" si="39"/>
        <v>177</v>
      </c>
      <c r="H99" s="34"/>
      <c r="I99" s="34"/>
      <c r="J99" s="34"/>
      <c r="K99" s="1410">
        <f t="shared" si="40"/>
        <v>92.090395480225979</v>
      </c>
      <c r="L99" s="1411">
        <f t="shared" si="41"/>
        <v>6.2146892655367232</v>
      </c>
      <c r="M99" s="1411">
        <f t="shared" si="42"/>
        <v>1.6949152542372881</v>
      </c>
      <c r="N99" s="1448">
        <f t="shared" si="43"/>
        <v>0</v>
      </c>
      <c r="O99" s="1449">
        <f t="shared" si="44"/>
        <v>0</v>
      </c>
    </row>
    <row r="100" spans="1:17" ht="13.5" customHeight="1" x14ac:dyDescent="0.2">
      <c r="A100" s="343" t="s">
        <v>45</v>
      </c>
      <c r="B100" s="748">
        <f>T_23!B31</f>
        <v>409</v>
      </c>
      <c r="C100" s="749">
        <f>T_23!C31</f>
        <v>73</v>
      </c>
      <c r="D100" s="621">
        <f>T_23!D31</f>
        <v>20</v>
      </c>
      <c r="E100" s="621">
        <f>T_23!E31</f>
        <v>0</v>
      </c>
      <c r="F100" s="623">
        <f>T_23!F31</f>
        <v>0</v>
      </c>
      <c r="G100" s="616">
        <f t="shared" si="39"/>
        <v>502</v>
      </c>
      <c r="H100" s="34"/>
      <c r="I100" s="34"/>
      <c r="J100" s="34"/>
      <c r="K100" s="1408">
        <f t="shared" si="40"/>
        <v>81.474103585657375</v>
      </c>
      <c r="L100" s="1409">
        <f t="shared" si="41"/>
        <v>14.54183266932271</v>
      </c>
      <c r="M100" s="1409">
        <f t="shared" si="42"/>
        <v>3.9840637450199203</v>
      </c>
      <c r="N100" s="1468">
        <f t="shared" si="43"/>
        <v>0</v>
      </c>
      <c r="O100" s="1460">
        <f t="shared" si="44"/>
        <v>0</v>
      </c>
    </row>
    <row r="101" spans="1:17" ht="13.5" customHeight="1" x14ac:dyDescent="0.2">
      <c r="A101" s="10" t="s">
        <v>46</v>
      </c>
      <c r="B101" s="667">
        <f>T_23!B32</f>
        <v>111</v>
      </c>
      <c r="C101" s="668">
        <f>T_23!C32</f>
        <v>17</v>
      </c>
      <c r="D101" s="179">
        <f>T_23!D32</f>
        <v>3</v>
      </c>
      <c r="E101" s="179">
        <f>T_23!E32</f>
        <v>0</v>
      </c>
      <c r="F101" s="180">
        <f>T_23!F32</f>
        <v>0</v>
      </c>
      <c r="G101" s="562">
        <f t="shared" si="39"/>
        <v>131</v>
      </c>
      <c r="H101" s="34"/>
      <c r="I101" s="34"/>
      <c r="J101" s="34"/>
      <c r="K101" s="1410">
        <f t="shared" si="40"/>
        <v>84.732824427480907</v>
      </c>
      <c r="L101" s="1411">
        <f t="shared" si="41"/>
        <v>12.977099236641221</v>
      </c>
      <c r="M101" s="1411">
        <f t="shared" si="42"/>
        <v>2.2900763358778624</v>
      </c>
      <c r="N101" s="1448">
        <f t="shared" si="43"/>
        <v>0</v>
      </c>
      <c r="O101" s="1449">
        <f t="shared" si="44"/>
        <v>0</v>
      </c>
    </row>
    <row r="102" spans="1:17" ht="13.5" customHeight="1" x14ac:dyDescent="0.2">
      <c r="A102" s="343" t="s">
        <v>47</v>
      </c>
      <c r="B102" s="748">
        <f>T_23!B33</f>
        <v>9</v>
      </c>
      <c r="C102" s="749">
        <f>T_23!C33</f>
        <v>2</v>
      </c>
      <c r="D102" s="621">
        <f>T_23!D33</f>
        <v>0</v>
      </c>
      <c r="E102" s="621">
        <f>T_23!E33</f>
        <v>0</v>
      </c>
      <c r="F102" s="623">
        <f>T_23!F33</f>
        <v>0</v>
      </c>
      <c r="G102" s="616">
        <f t="shared" si="39"/>
        <v>11</v>
      </c>
      <c r="H102" s="34"/>
      <c r="I102" s="34"/>
      <c r="J102" s="34"/>
      <c r="K102" s="1408">
        <f t="shared" si="40"/>
        <v>81.818181818181827</v>
      </c>
      <c r="L102" s="1409">
        <f t="shared" si="41"/>
        <v>18.181818181818183</v>
      </c>
      <c r="M102" s="1409">
        <f t="shared" si="42"/>
        <v>0</v>
      </c>
      <c r="N102" s="1468">
        <f t="shared" si="43"/>
        <v>0</v>
      </c>
      <c r="O102" s="1460">
        <f t="shared" si="44"/>
        <v>0</v>
      </c>
    </row>
    <row r="103" spans="1:17" ht="13.5" customHeight="1" x14ac:dyDescent="0.2">
      <c r="A103" s="46" t="s">
        <v>48</v>
      </c>
      <c r="B103" s="667">
        <f>T_23!B34</f>
        <v>229</v>
      </c>
      <c r="C103" s="668">
        <f>T_23!C34</f>
        <v>18</v>
      </c>
      <c r="D103" s="179">
        <f>T_23!D34</f>
        <v>2</v>
      </c>
      <c r="E103" s="179">
        <f>T_23!E34</f>
        <v>0</v>
      </c>
      <c r="F103" s="180">
        <f>T_23!F34</f>
        <v>0</v>
      </c>
      <c r="G103" s="562">
        <f t="shared" si="39"/>
        <v>249</v>
      </c>
      <c r="H103" s="34"/>
      <c r="I103" s="34"/>
      <c r="J103" s="34"/>
      <c r="K103" s="1410">
        <f t="shared" si="40"/>
        <v>91.967871485943775</v>
      </c>
      <c r="L103" s="1411">
        <f t="shared" si="41"/>
        <v>7.2289156626506017</v>
      </c>
      <c r="M103" s="1411">
        <f t="shared" si="42"/>
        <v>0.80321285140562237</v>
      </c>
      <c r="N103" s="1448">
        <f t="shared" si="43"/>
        <v>0</v>
      </c>
      <c r="O103" s="1449">
        <f t="shared" si="44"/>
        <v>0</v>
      </c>
    </row>
    <row r="104" spans="1:17" ht="13.5" customHeight="1" x14ac:dyDescent="0.2">
      <c r="A104" s="343" t="s">
        <v>49</v>
      </c>
      <c r="B104" s="748">
        <f>T_23!B35</f>
        <v>667</v>
      </c>
      <c r="C104" s="749">
        <f>T_23!C35</f>
        <v>115</v>
      </c>
      <c r="D104" s="621">
        <f>T_23!D35</f>
        <v>14</v>
      </c>
      <c r="E104" s="621">
        <f>T_23!E35</f>
        <v>0</v>
      </c>
      <c r="F104" s="623">
        <f>T_23!F35</f>
        <v>0</v>
      </c>
      <c r="G104" s="616">
        <f t="shared" si="39"/>
        <v>796</v>
      </c>
      <c r="H104" s="34"/>
      <c r="I104" s="34"/>
      <c r="J104" s="34"/>
      <c r="K104" s="1408">
        <f t="shared" si="40"/>
        <v>83.793969849246224</v>
      </c>
      <c r="L104" s="1409">
        <f t="shared" si="41"/>
        <v>14.447236180904522</v>
      </c>
      <c r="M104" s="1409">
        <f t="shared" si="42"/>
        <v>1.7587939698492463</v>
      </c>
      <c r="N104" s="1468">
        <f t="shared" si="43"/>
        <v>0</v>
      </c>
      <c r="O104" s="1460">
        <f t="shared" si="44"/>
        <v>0</v>
      </c>
    </row>
    <row r="105" spans="1:17" ht="13.5" customHeight="1" x14ac:dyDescent="0.2">
      <c r="A105" s="46" t="s">
        <v>50</v>
      </c>
      <c r="B105" s="667">
        <f>T_23!B36</f>
        <v>150</v>
      </c>
      <c r="C105" s="668">
        <f>T_23!C36</f>
        <v>11</v>
      </c>
      <c r="D105" s="179">
        <f>T_23!D36</f>
        <v>4</v>
      </c>
      <c r="E105" s="179">
        <f>T_23!E36</f>
        <v>0</v>
      </c>
      <c r="F105" s="180">
        <f>T_23!F36</f>
        <v>0</v>
      </c>
      <c r="G105" s="562">
        <f t="shared" si="39"/>
        <v>165</v>
      </c>
      <c r="H105" s="34"/>
      <c r="I105" s="34"/>
      <c r="J105" s="34"/>
      <c r="K105" s="1410">
        <f t="shared" si="40"/>
        <v>90.909090909090907</v>
      </c>
      <c r="L105" s="1411">
        <f t="shared" si="41"/>
        <v>6.666666666666667</v>
      </c>
      <c r="M105" s="1411">
        <f t="shared" si="42"/>
        <v>2.4242424242424243</v>
      </c>
      <c r="N105" s="1448">
        <f t="shared" si="43"/>
        <v>0</v>
      </c>
      <c r="O105" s="1449">
        <f>F105/G105*100</f>
        <v>0</v>
      </c>
    </row>
    <row r="106" spans="1:17" ht="13.5" customHeight="1" x14ac:dyDescent="0.2">
      <c r="A106" s="343" t="s">
        <v>51</v>
      </c>
      <c r="B106" s="748">
        <f>T_23!B37</f>
        <v>207</v>
      </c>
      <c r="C106" s="749">
        <f>T_23!C37</f>
        <v>31</v>
      </c>
      <c r="D106" s="621">
        <f>T_23!D37</f>
        <v>3</v>
      </c>
      <c r="E106" s="621">
        <f>T_23!E37</f>
        <v>0</v>
      </c>
      <c r="F106" s="623">
        <f>T_23!F37</f>
        <v>0</v>
      </c>
      <c r="G106" s="616">
        <f t="shared" si="39"/>
        <v>241</v>
      </c>
      <c r="H106" s="34"/>
      <c r="I106" s="34"/>
      <c r="J106" s="34"/>
      <c r="K106" s="1408">
        <f t="shared" si="40"/>
        <v>85.892116182572607</v>
      </c>
      <c r="L106" s="1409">
        <f t="shared" si="41"/>
        <v>12.863070539419086</v>
      </c>
      <c r="M106" s="1409">
        <f t="shared" si="42"/>
        <v>1.2448132780082988</v>
      </c>
      <c r="N106" s="1468">
        <f t="shared" si="43"/>
        <v>0</v>
      </c>
      <c r="O106" s="1460">
        <f t="shared" si="44"/>
        <v>0</v>
      </c>
    </row>
    <row r="107" spans="1:17" ht="13.5" customHeight="1" x14ac:dyDescent="0.2">
      <c r="A107" s="375" t="s">
        <v>52</v>
      </c>
      <c r="B107" s="667">
        <f>T_23!B38</f>
        <v>665</v>
      </c>
      <c r="C107" s="668">
        <f>T_23!C38</f>
        <v>45</v>
      </c>
      <c r="D107" s="179">
        <f>T_23!D38</f>
        <v>6</v>
      </c>
      <c r="E107" s="179">
        <f>T_23!E38</f>
        <v>0</v>
      </c>
      <c r="F107" s="180">
        <f>T_23!F38</f>
        <v>0</v>
      </c>
      <c r="G107" s="562">
        <f t="shared" si="39"/>
        <v>716</v>
      </c>
      <c r="H107" s="34"/>
      <c r="I107" s="34"/>
      <c r="J107" s="34"/>
      <c r="K107" s="1410">
        <f t="shared" si="40"/>
        <v>92.877094972067042</v>
      </c>
      <c r="L107" s="1411">
        <f t="shared" si="41"/>
        <v>6.2849162011173192</v>
      </c>
      <c r="M107" s="1411">
        <f t="shared" si="42"/>
        <v>0.83798882681564246</v>
      </c>
      <c r="N107" s="1448">
        <f t="shared" si="43"/>
        <v>0</v>
      </c>
      <c r="O107" s="1449">
        <f t="shared" si="44"/>
        <v>0</v>
      </c>
    </row>
    <row r="108" spans="1:17" ht="13.5" customHeight="1" x14ac:dyDescent="0.2">
      <c r="A108" s="343"/>
      <c r="B108" s="750"/>
      <c r="C108" s="751"/>
      <c r="D108" s="751"/>
      <c r="E108" s="751"/>
      <c r="F108" s="752"/>
      <c r="G108" s="752"/>
      <c r="H108" s="34"/>
      <c r="I108" s="34"/>
      <c r="J108" s="34"/>
      <c r="K108" s="1461"/>
      <c r="L108" s="1462"/>
      <c r="M108" s="1462"/>
      <c r="N108" s="1469"/>
      <c r="O108" s="1463"/>
    </row>
    <row r="109" spans="1:17" ht="30" customHeight="1" x14ac:dyDescent="0.2">
      <c r="A109" s="204" t="s">
        <v>159</v>
      </c>
      <c r="B109" s="510">
        <f>SUM(B76:B107)</f>
        <v>12904</v>
      </c>
      <c r="C109" s="511">
        <f t="shared" ref="C109:F109" si="45">SUM(C76:C107)</f>
        <v>1420</v>
      </c>
      <c r="D109" s="511">
        <f>SUM(D76:D107)</f>
        <v>338</v>
      </c>
      <c r="E109" s="511">
        <f t="shared" si="45"/>
        <v>0</v>
      </c>
      <c r="F109" s="214">
        <f t="shared" si="45"/>
        <v>0</v>
      </c>
      <c r="G109" s="513">
        <f>SUM(G76:G107)</f>
        <v>14662</v>
      </c>
      <c r="H109" s="113"/>
      <c r="I109" s="113"/>
      <c r="J109" s="113"/>
      <c r="K109" s="1470">
        <f t="shared" si="40"/>
        <v>88.009821306779429</v>
      </c>
      <c r="L109" s="1471">
        <f t="shared" si="41"/>
        <v>9.6848997408266264</v>
      </c>
      <c r="M109" s="1471">
        <f t="shared" si="42"/>
        <v>2.3052789523939432</v>
      </c>
      <c r="N109" s="1472">
        <f t="shared" si="43"/>
        <v>0</v>
      </c>
      <c r="O109" s="1473">
        <f t="shared" si="44"/>
        <v>0</v>
      </c>
      <c r="P109" s="637"/>
      <c r="Q109" s="1"/>
    </row>
    <row r="110" spans="1:17" x14ac:dyDescent="0.2">
      <c r="A110" s="1"/>
      <c r="B110" s="1"/>
      <c r="C110" s="1"/>
      <c r="D110" s="1"/>
      <c r="E110" s="1"/>
      <c r="F110" s="1"/>
      <c r="G110" s="1"/>
      <c r="H110" s="1"/>
      <c r="I110" s="1"/>
      <c r="J110" s="1"/>
      <c r="K110" s="1"/>
      <c r="L110" s="1"/>
      <c r="M110" s="1"/>
      <c r="N110" s="1"/>
      <c r="O110" s="1"/>
      <c r="P110" s="1"/>
    </row>
    <row r="111" spans="1:17" x14ac:dyDescent="0.2">
      <c r="A111" s="1542" t="s">
        <v>162</v>
      </c>
      <c r="B111" s="1"/>
      <c r="C111" s="1"/>
      <c r="D111" s="1"/>
      <c r="E111" s="1"/>
      <c r="F111" s="1"/>
      <c r="G111" s="1"/>
      <c r="H111" s="1"/>
      <c r="I111" s="1"/>
      <c r="J111" s="1"/>
      <c r="K111" s="1"/>
      <c r="L111" s="1"/>
      <c r="M111" s="1"/>
      <c r="N111" s="1"/>
      <c r="O111" s="1"/>
      <c r="P111" s="1"/>
    </row>
    <row r="112" spans="1:17" x14ac:dyDescent="0.2">
      <c r="A112" s="1649" t="s">
        <v>963</v>
      </c>
      <c r="B112" s="1649"/>
      <c r="C112" s="1649"/>
      <c r="D112" s="1649"/>
      <c r="E112" s="1649"/>
      <c r="F112" s="1649"/>
      <c r="G112" s="1649"/>
      <c r="H112" s="1649"/>
      <c r="I112" s="1649"/>
      <c r="J112" s="1649"/>
      <c r="K112" s="1649"/>
      <c r="L112" s="1"/>
      <c r="M112" s="1"/>
      <c r="N112" s="1"/>
      <c r="O112" s="1"/>
      <c r="P112" s="1"/>
    </row>
    <row r="113" spans="1:18" ht="25.5" customHeight="1" x14ac:dyDescent="0.2">
      <c r="A113" s="1697" t="s">
        <v>1052</v>
      </c>
      <c r="B113" s="1697"/>
      <c r="C113" s="1697"/>
      <c r="D113" s="1697"/>
      <c r="E113" s="1697"/>
      <c r="F113" s="1697"/>
      <c r="G113" s="1697"/>
      <c r="H113" s="1697"/>
      <c r="I113" s="1697"/>
      <c r="J113" s="1697"/>
      <c r="K113" s="1697"/>
      <c r="L113" s="1697"/>
      <c r="M113" s="1697"/>
      <c r="N113" s="1697"/>
      <c r="O113" s="1697"/>
      <c r="P113" s="1697"/>
      <c r="Q113" s="1697"/>
      <c r="R113" s="1697"/>
    </row>
    <row r="114" spans="1:18" x14ac:dyDescent="0.2">
      <c r="A114" s="1758" t="s">
        <v>1053</v>
      </c>
      <c r="B114" s="1758"/>
      <c r="C114" s="1758"/>
      <c r="D114" s="1758"/>
      <c r="E114" s="1758"/>
      <c r="F114" s="1758"/>
      <c r="G114" s="1758"/>
      <c r="H114" s="1758"/>
      <c r="I114" s="1758"/>
      <c r="J114" s="1758"/>
      <c r="K114" s="1758"/>
      <c r="L114" s="1758"/>
      <c r="M114" s="1758"/>
      <c r="N114" s="1758"/>
      <c r="O114" s="1758"/>
    </row>
    <row r="115" spans="1:18" x14ac:dyDescent="0.2">
      <c r="A115" s="1758" t="s">
        <v>1054</v>
      </c>
      <c r="B115" s="1758"/>
      <c r="C115" s="1758"/>
      <c r="D115" s="1758"/>
      <c r="E115" s="1758"/>
      <c r="F115" s="1758"/>
      <c r="G115" s="1758"/>
      <c r="H115" s="1758"/>
      <c r="I115" s="1758"/>
      <c r="J115" s="1758"/>
      <c r="K115" s="1758"/>
      <c r="L115" s="1758"/>
      <c r="M115" s="1758"/>
      <c r="N115" s="1758"/>
      <c r="O115" s="1758"/>
    </row>
    <row r="116" spans="1:18" x14ac:dyDescent="0.2">
      <c r="A116" s="1589"/>
      <c r="B116" s="1589"/>
      <c r="C116" s="1589"/>
      <c r="D116" s="1589"/>
      <c r="E116" s="1589"/>
      <c r="F116" s="1589"/>
      <c r="G116" s="1589"/>
      <c r="H116" s="1589"/>
      <c r="I116" s="1589"/>
      <c r="J116" s="1589"/>
      <c r="K116" s="1589"/>
      <c r="L116" s="1589"/>
      <c r="M116" s="1589"/>
      <c r="N116" s="1589"/>
      <c r="O116" s="1589"/>
    </row>
    <row r="117" spans="1:18" x14ac:dyDescent="0.2">
      <c r="A117" s="386" t="s">
        <v>169</v>
      </c>
    </row>
  </sheetData>
  <sheetProtection algorithmName="SHA-512" hashValue="DC14P4qPLV8vTEOk6e5ZpKOSaMS5D8wU0mvv1vtbyE6E0SdBNsYiFGkHjpgeQ+C6SR5yhsGTTj34y5+M+6YN3A==" saltValue="6+TXcx2Q3U0yYTF/f+L4WA==" spinCount="100000" sheet="1" objects="1" scenarios="1"/>
  <mergeCells count="17">
    <mergeCell ref="A1:M1"/>
    <mergeCell ref="K74:O74"/>
    <mergeCell ref="K36:Q36"/>
    <mergeCell ref="A31:O31"/>
    <mergeCell ref="A32:O32"/>
    <mergeCell ref="K3:Q3"/>
    <mergeCell ref="B16:I16"/>
    <mergeCell ref="B3:I3"/>
    <mergeCell ref="K16:Q16"/>
    <mergeCell ref="B36:I36"/>
    <mergeCell ref="B74:G74"/>
    <mergeCell ref="A34:K34"/>
    <mergeCell ref="A112:K112"/>
    <mergeCell ref="A30:R30"/>
    <mergeCell ref="A113:R113"/>
    <mergeCell ref="A114:O114"/>
    <mergeCell ref="A115:O115"/>
  </mergeCells>
  <hyperlinks>
    <hyperlink ref="A117" location="Contents!A1" display="Return to contents" xr:uid="{00000000-0004-0000-5E00-000000000000}"/>
  </hyperlinks>
  <pageMargins left="0.7" right="0.7" top="0.75" bottom="0.75" header="0.3" footer="0.3"/>
  <pageSetup paperSize="9" scale="62" fitToHeight="0" orientation="landscape" r:id="rId1"/>
  <rowBreaks count="2" manualBreakCount="2">
    <brk id="32" max="17" man="1"/>
    <brk id="72" max="16383" man="1"/>
  </rowBreaks>
  <drawing r:id="rId2"/>
  <extLst>
    <ext xmlns:x14="http://schemas.microsoft.com/office/spreadsheetml/2009/9/main" uri="{A8765BA9-456A-4dab-B4F3-ACF838C121DE}">
      <x14:slicerList>
        <x14:slicer r:id="rId3"/>
      </x14:slicerList>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1"/>
  <dimension ref="A2:V39"/>
  <sheetViews>
    <sheetView workbookViewId="0">
      <selection activeCell="D4" sqref="D4"/>
    </sheetView>
  </sheetViews>
  <sheetFormatPr defaultRowHeight="12.75" x14ac:dyDescent="0.2"/>
  <cols>
    <col min="1" max="1" width="20.28515625" bestFit="1" customWidth="1"/>
    <col min="2" max="2" width="17" bestFit="1" customWidth="1"/>
    <col min="3" max="3" width="10" bestFit="1" customWidth="1"/>
    <col min="4" max="6" width="12.5703125" bestFit="1" customWidth="1"/>
    <col min="7" max="7" width="11.140625" bestFit="1" customWidth="1"/>
    <col min="8" max="8" width="16.5703125" bestFit="1" customWidth="1"/>
    <col min="9" max="10" width="10" bestFit="1" customWidth="1"/>
    <col min="11" max="13" width="12.5703125" bestFit="1" customWidth="1"/>
    <col min="14" max="14" width="11.140625" bestFit="1" customWidth="1"/>
    <col min="15" max="15" width="16.5703125" bestFit="1" customWidth="1"/>
    <col min="16" max="17" width="15.28515625" bestFit="1" customWidth="1"/>
    <col min="18" max="20" width="18" bestFit="1" customWidth="1"/>
    <col min="21" max="21" width="16.42578125" bestFit="1" customWidth="1"/>
    <col min="22" max="22" width="22" bestFit="1" customWidth="1"/>
  </cols>
  <sheetData>
    <row r="2" spans="1:22" x14ac:dyDescent="0.2">
      <c r="A2" s="1300" t="s">
        <v>4</v>
      </c>
      <c r="B2" t="s">
        <v>603</v>
      </c>
    </row>
    <row r="4" spans="1:22" x14ac:dyDescent="0.2">
      <c r="B4" s="1300" t="s">
        <v>670</v>
      </c>
    </row>
    <row r="5" spans="1:22" x14ac:dyDescent="0.2">
      <c r="B5" t="s">
        <v>872</v>
      </c>
      <c r="I5" t="s">
        <v>873</v>
      </c>
      <c r="P5" t="s">
        <v>866</v>
      </c>
      <c r="Q5" t="s">
        <v>867</v>
      </c>
      <c r="R5" t="s">
        <v>868</v>
      </c>
      <c r="S5" t="s">
        <v>869</v>
      </c>
      <c r="T5" t="s">
        <v>870</v>
      </c>
      <c r="U5" t="s">
        <v>871</v>
      </c>
      <c r="V5" t="s">
        <v>825</v>
      </c>
    </row>
    <row r="6" spans="1:22" x14ac:dyDescent="0.2">
      <c r="A6" s="1300" t="s">
        <v>658</v>
      </c>
      <c r="B6" t="s">
        <v>860</v>
      </c>
      <c r="C6" t="s">
        <v>861</v>
      </c>
      <c r="D6" t="s">
        <v>862</v>
      </c>
      <c r="E6" t="s">
        <v>863</v>
      </c>
      <c r="F6" t="s">
        <v>864</v>
      </c>
      <c r="G6" t="s">
        <v>865</v>
      </c>
      <c r="H6" t="s">
        <v>826</v>
      </c>
      <c r="I6" t="s">
        <v>860</v>
      </c>
      <c r="J6" t="s">
        <v>861</v>
      </c>
      <c r="K6" t="s">
        <v>862</v>
      </c>
      <c r="L6" t="s">
        <v>863</v>
      </c>
      <c r="M6" t="s">
        <v>864</v>
      </c>
      <c r="N6" t="s">
        <v>865</v>
      </c>
      <c r="O6" t="s">
        <v>826</v>
      </c>
    </row>
    <row r="7" spans="1:22" x14ac:dyDescent="0.2">
      <c r="A7" s="1301" t="s">
        <v>23</v>
      </c>
      <c r="B7">
        <v>316</v>
      </c>
      <c r="C7">
        <v>18</v>
      </c>
      <c r="D7">
        <v>6</v>
      </c>
      <c r="I7">
        <v>99</v>
      </c>
      <c r="J7">
        <v>243</v>
      </c>
      <c r="K7">
        <v>103</v>
      </c>
      <c r="L7">
        <v>5</v>
      </c>
      <c r="M7">
        <v>1</v>
      </c>
      <c r="P7">
        <v>415</v>
      </c>
      <c r="Q7">
        <v>261</v>
      </c>
      <c r="R7">
        <v>109</v>
      </c>
      <c r="S7">
        <v>5</v>
      </c>
      <c r="T7">
        <v>1</v>
      </c>
    </row>
    <row r="8" spans="1:22" x14ac:dyDescent="0.2">
      <c r="A8" s="1301" t="s">
        <v>24</v>
      </c>
      <c r="B8">
        <v>183</v>
      </c>
      <c r="C8">
        <v>26</v>
      </c>
      <c r="D8">
        <v>5</v>
      </c>
      <c r="I8">
        <v>114</v>
      </c>
      <c r="J8">
        <v>220</v>
      </c>
      <c r="K8">
        <v>45</v>
      </c>
      <c r="L8">
        <v>11</v>
      </c>
      <c r="P8">
        <v>297</v>
      </c>
      <c r="Q8">
        <v>246</v>
      </c>
      <c r="R8">
        <v>50</v>
      </c>
      <c r="S8">
        <v>11</v>
      </c>
    </row>
    <row r="9" spans="1:22" x14ac:dyDescent="0.2">
      <c r="A9" s="1301" t="s">
        <v>25</v>
      </c>
      <c r="B9">
        <v>161</v>
      </c>
      <c r="C9">
        <v>11</v>
      </c>
      <c r="D9">
        <v>7</v>
      </c>
      <c r="I9">
        <v>50</v>
      </c>
      <c r="J9">
        <v>89</v>
      </c>
      <c r="K9">
        <v>20</v>
      </c>
      <c r="L9">
        <v>1</v>
      </c>
      <c r="M9">
        <v>1</v>
      </c>
      <c r="P9">
        <v>211</v>
      </c>
      <c r="Q9">
        <v>100</v>
      </c>
      <c r="R9">
        <v>27</v>
      </c>
      <c r="S9">
        <v>1</v>
      </c>
      <c r="T9">
        <v>1</v>
      </c>
    </row>
    <row r="10" spans="1:22" x14ac:dyDescent="0.2">
      <c r="A10" s="1301" t="s">
        <v>26</v>
      </c>
      <c r="B10">
        <v>57</v>
      </c>
      <c r="C10">
        <v>22</v>
      </c>
      <c r="D10">
        <v>2</v>
      </c>
      <c r="I10">
        <v>66</v>
      </c>
      <c r="J10">
        <v>98</v>
      </c>
      <c r="K10">
        <v>17</v>
      </c>
      <c r="L10">
        <v>2</v>
      </c>
      <c r="P10">
        <v>123</v>
      </c>
      <c r="Q10">
        <v>120</v>
      </c>
      <c r="R10">
        <v>19</v>
      </c>
      <c r="S10">
        <v>2</v>
      </c>
    </row>
    <row r="11" spans="1:22" x14ac:dyDescent="0.2">
      <c r="A11" s="1301" t="s">
        <v>27</v>
      </c>
      <c r="B11">
        <v>94</v>
      </c>
      <c r="C11">
        <v>13</v>
      </c>
      <c r="D11">
        <v>1</v>
      </c>
      <c r="I11">
        <v>34</v>
      </c>
      <c r="J11">
        <v>36</v>
      </c>
      <c r="K11">
        <v>21</v>
      </c>
      <c r="L11">
        <v>2</v>
      </c>
      <c r="P11">
        <v>128</v>
      </c>
      <c r="Q11">
        <v>49</v>
      </c>
      <c r="R11">
        <v>22</v>
      </c>
      <c r="S11">
        <v>2</v>
      </c>
    </row>
    <row r="12" spans="1:22" x14ac:dyDescent="0.2">
      <c r="A12" s="1301" t="s">
        <v>28</v>
      </c>
      <c r="B12">
        <v>140</v>
      </c>
      <c r="C12">
        <v>29</v>
      </c>
      <c r="D12">
        <v>3</v>
      </c>
      <c r="H12">
        <v>5</v>
      </c>
      <c r="I12">
        <v>73</v>
      </c>
      <c r="J12">
        <v>118</v>
      </c>
      <c r="K12">
        <v>28</v>
      </c>
      <c r="L12">
        <v>4</v>
      </c>
      <c r="O12">
        <v>1</v>
      </c>
      <c r="P12">
        <v>213</v>
      </c>
      <c r="Q12">
        <v>147</v>
      </c>
      <c r="R12">
        <v>31</v>
      </c>
      <c r="S12">
        <v>4</v>
      </c>
      <c r="V12">
        <v>6</v>
      </c>
    </row>
    <row r="13" spans="1:22" x14ac:dyDescent="0.2">
      <c r="A13" s="1301" t="s">
        <v>29</v>
      </c>
      <c r="B13">
        <v>742</v>
      </c>
      <c r="C13">
        <v>24</v>
      </c>
      <c r="D13">
        <v>5</v>
      </c>
      <c r="H13">
        <v>1</v>
      </c>
      <c r="I13">
        <v>75</v>
      </c>
      <c r="J13">
        <v>203</v>
      </c>
      <c r="K13">
        <v>58</v>
      </c>
      <c r="L13">
        <v>1</v>
      </c>
      <c r="N13">
        <v>1</v>
      </c>
      <c r="P13">
        <v>817</v>
      </c>
      <c r="Q13">
        <v>227</v>
      </c>
      <c r="R13">
        <v>63</v>
      </c>
      <c r="S13">
        <v>1</v>
      </c>
      <c r="U13">
        <v>1</v>
      </c>
      <c r="V13">
        <v>1</v>
      </c>
    </row>
    <row r="14" spans="1:22" x14ac:dyDescent="0.2">
      <c r="A14" s="1301" t="s">
        <v>30</v>
      </c>
      <c r="B14">
        <v>512</v>
      </c>
      <c r="C14">
        <v>76</v>
      </c>
      <c r="D14">
        <v>3</v>
      </c>
      <c r="I14">
        <v>79</v>
      </c>
      <c r="J14">
        <v>82</v>
      </c>
      <c r="K14">
        <v>14</v>
      </c>
      <c r="L14">
        <v>4</v>
      </c>
      <c r="M14">
        <v>1</v>
      </c>
      <c r="P14">
        <v>591</v>
      </c>
      <c r="Q14">
        <v>158</v>
      </c>
      <c r="R14">
        <v>17</v>
      </c>
      <c r="S14">
        <v>4</v>
      </c>
      <c r="T14">
        <v>1</v>
      </c>
    </row>
    <row r="15" spans="1:22" x14ac:dyDescent="0.2">
      <c r="A15" s="1301" t="s">
        <v>31</v>
      </c>
      <c r="B15">
        <v>157</v>
      </c>
      <c r="C15">
        <v>17</v>
      </c>
      <c r="D15">
        <v>1</v>
      </c>
      <c r="I15">
        <v>75</v>
      </c>
      <c r="J15">
        <v>63</v>
      </c>
      <c r="K15">
        <v>17</v>
      </c>
      <c r="L15">
        <v>3</v>
      </c>
      <c r="P15">
        <v>232</v>
      </c>
      <c r="Q15">
        <v>80</v>
      </c>
      <c r="R15">
        <v>18</v>
      </c>
      <c r="S15">
        <v>3</v>
      </c>
    </row>
    <row r="16" spans="1:22" x14ac:dyDescent="0.2">
      <c r="A16" s="1301" t="s">
        <v>32</v>
      </c>
      <c r="B16">
        <v>224</v>
      </c>
      <c r="C16">
        <v>19</v>
      </c>
      <c r="I16">
        <v>77</v>
      </c>
      <c r="J16">
        <v>87</v>
      </c>
      <c r="K16">
        <v>22</v>
      </c>
      <c r="L16">
        <v>2</v>
      </c>
      <c r="P16">
        <v>301</v>
      </c>
      <c r="Q16">
        <v>106</v>
      </c>
      <c r="R16">
        <v>22</v>
      </c>
      <c r="S16">
        <v>2</v>
      </c>
    </row>
    <row r="17" spans="1:22" x14ac:dyDescent="0.2">
      <c r="A17" s="1301" t="s">
        <v>33</v>
      </c>
      <c r="B17">
        <v>129</v>
      </c>
      <c r="C17">
        <v>28</v>
      </c>
      <c r="D17">
        <v>8</v>
      </c>
      <c r="I17">
        <v>62</v>
      </c>
      <c r="J17">
        <v>54</v>
      </c>
      <c r="K17">
        <v>10</v>
      </c>
      <c r="L17">
        <v>2</v>
      </c>
      <c r="M17">
        <v>1</v>
      </c>
      <c r="N17">
        <v>1</v>
      </c>
      <c r="P17">
        <v>191</v>
      </c>
      <c r="Q17">
        <v>82</v>
      </c>
      <c r="R17">
        <v>18</v>
      </c>
      <c r="S17">
        <v>2</v>
      </c>
      <c r="T17">
        <v>1</v>
      </c>
      <c r="U17">
        <v>1</v>
      </c>
    </row>
    <row r="18" spans="1:22" x14ac:dyDescent="0.2">
      <c r="A18" s="1301" t="s">
        <v>665</v>
      </c>
      <c r="B18">
        <v>1670</v>
      </c>
      <c r="C18">
        <v>85</v>
      </c>
      <c r="D18">
        <v>28</v>
      </c>
      <c r="H18">
        <v>1</v>
      </c>
      <c r="I18">
        <v>294</v>
      </c>
      <c r="J18">
        <v>340</v>
      </c>
      <c r="K18">
        <v>383</v>
      </c>
      <c r="L18">
        <v>7</v>
      </c>
      <c r="M18">
        <v>3</v>
      </c>
      <c r="N18">
        <v>1</v>
      </c>
      <c r="P18">
        <v>1964</v>
      </c>
      <c r="Q18">
        <v>425</v>
      </c>
      <c r="R18">
        <v>411</v>
      </c>
      <c r="S18">
        <v>7</v>
      </c>
      <c r="T18">
        <v>3</v>
      </c>
      <c r="U18">
        <v>1</v>
      </c>
      <c r="V18">
        <v>1</v>
      </c>
    </row>
    <row r="19" spans="1:22" x14ac:dyDescent="0.2">
      <c r="A19" s="1301" t="s">
        <v>34</v>
      </c>
      <c r="B19">
        <v>384</v>
      </c>
      <c r="C19">
        <v>37</v>
      </c>
      <c r="D19">
        <v>5</v>
      </c>
      <c r="H19">
        <v>1</v>
      </c>
      <c r="I19">
        <v>127</v>
      </c>
      <c r="J19">
        <v>147</v>
      </c>
      <c r="K19">
        <v>59</v>
      </c>
      <c r="L19">
        <v>3</v>
      </c>
      <c r="M19">
        <v>1</v>
      </c>
      <c r="N19">
        <v>2</v>
      </c>
      <c r="P19">
        <v>511</v>
      </c>
      <c r="Q19">
        <v>184</v>
      </c>
      <c r="R19">
        <v>64</v>
      </c>
      <c r="S19">
        <v>3</v>
      </c>
      <c r="T19">
        <v>1</v>
      </c>
      <c r="U19">
        <v>2</v>
      </c>
      <c r="V19">
        <v>1</v>
      </c>
    </row>
    <row r="20" spans="1:22" x14ac:dyDescent="0.2">
      <c r="A20" s="1301" t="s">
        <v>35</v>
      </c>
      <c r="B20">
        <v>813</v>
      </c>
      <c r="C20">
        <v>118</v>
      </c>
      <c r="D20">
        <v>10</v>
      </c>
      <c r="H20">
        <v>1</v>
      </c>
      <c r="I20">
        <v>205</v>
      </c>
      <c r="J20">
        <v>344</v>
      </c>
      <c r="K20">
        <v>84</v>
      </c>
      <c r="L20">
        <v>9</v>
      </c>
      <c r="M20">
        <v>1</v>
      </c>
      <c r="N20">
        <v>1</v>
      </c>
      <c r="P20">
        <v>1018</v>
      </c>
      <c r="Q20">
        <v>462</v>
      </c>
      <c r="R20">
        <v>94</v>
      </c>
      <c r="S20">
        <v>9</v>
      </c>
      <c r="T20">
        <v>1</v>
      </c>
      <c r="U20">
        <v>1</v>
      </c>
      <c r="V20">
        <v>1</v>
      </c>
    </row>
    <row r="21" spans="1:22" x14ac:dyDescent="0.2">
      <c r="A21" s="1301" t="s">
        <v>36</v>
      </c>
      <c r="B21">
        <v>2009</v>
      </c>
      <c r="C21">
        <v>220</v>
      </c>
      <c r="D21">
        <v>120</v>
      </c>
      <c r="H21">
        <v>1</v>
      </c>
      <c r="I21">
        <v>438</v>
      </c>
      <c r="J21">
        <v>562</v>
      </c>
      <c r="K21">
        <v>685</v>
      </c>
      <c r="L21">
        <v>18</v>
      </c>
      <c r="M21">
        <v>2</v>
      </c>
      <c r="N21">
        <v>3</v>
      </c>
      <c r="P21">
        <v>2447</v>
      </c>
      <c r="Q21">
        <v>782</v>
      </c>
      <c r="R21">
        <v>805</v>
      </c>
      <c r="S21">
        <v>18</v>
      </c>
      <c r="T21">
        <v>2</v>
      </c>
      <c r="U21">
        <v>3</v>
      </c>
      <c r="V21">
        <v>1</v>
      </c>
    </row>
    <row r="22" spans="1:22" x14ac:dyDescent="0.2">
      <c r="A22" s="1301" t="s">
        <v>37</v>
      </c>
      <c r="B22">
        <v>369</v>
      </c>
      <c r="C22">
        <v>72</v>
      </c>
      <c r="D22">
        <v>27</v>
      </c>
      <c r="I22">
        <v>121</v>
      </c>
      <c r="J22">
        <v>167</v>
      </c>
      <c r="K22">
        <v>54</v>
      </c>
      <c r="L22">
        <v>6</v>
      </c>
      <c r="M22">
        <v>5</v>
      </c>
      <c r="N22">
        <v>2</v>
      </c>
      <c r="P22">
        <v>490</v>
      </c>
      <c r="Q22">
        <v>239</v>
      </c>
      <c r="R22">
        <v>81</v>
      </c>
      <c r="S22">
        <v>6</v>
      </c>
      <c r="T22">
        <v>5</v>
      </c>
      <c r="U22">
        <v>2</v>
      </c>
    </row>
    <row r="23" spans="1:22" x14ac:dyDescent="0.2">
      <c r="A23" s="1301" t="s">
        <v>38</v>
      </c>
      <c r="B23">
        <v>306</v>
      </c>
      <c r="C23">
        <v>37</v>
      </c>
      <c r="D23">
        <v>5</v>
      </c>
      <c r="I23">
        <v>68</v>
      </c>
      <c r="J23">
        <v>68</v>
      </c>
      <c r="K23">
        <v>50</v>
      </c>
      <c r="L23">
        <v>2</v>
      </c>
      <c r="M23">
        <v>1</v>
      </c>
      <c r="P23">
        <v>374</v>
      </c>
      <c r="Q23">
        <v>105</v>
      </c>
      <c r="R23">
        <v>55</v>
      </c>
      <c r="S23">
        <v>2</v>
      </c>
      <c r="T23">
        <v>1</v>
      </c>
    </row>
    <row r="24" spans="1:22" x14ac:dyDescent="0.2">
      <c r="A24" s="1301" t="s">
        <v>39</v>
      </c>
      <c r="B24">
        <v>367</v>
      </c>
      <c r="C24">
        <v>21</v>
      </c>
      <c r="D24">
        <v>1</v>
      </c>
      <c r="I24">
        <v>141</v>
      </c>
      <c r="J24">
        <v>52</v>
      </c>
      <c r="K24">
        <v>13</v>
      </c>
      <c r="L24">
        <v>3</v>
      </c>
      <c r="P24">
        <v>508</v>
      </c>
      <c r="Q24">
        <v>73</v>
      </c>
      <c r="R24">
        <v>14</v>
      </c>
      <c r="S24">
        <v>3</v>
      </c>
    </row>
    <row r="25" spans="1:22" x14ac:dyDescent="0.2">
      <c r="A25" s="1301" t="s">
        <v>40</v>
      </c>
      <c r="B25">
        <v>66</v>
      </c>
      <c r="C25">
        <v>12</v>
      </c>
      <c r="D25">
        <v>4</v>
      </c>
      <c r="I25">
        <v>40</v>
      </c>
      <c r="J25">
        <v>53</v>
      </c>
      <c r="K25">
        <v>15</v>
      </c>
      <c r="L25">
        <v>3</v>
      </c>
      <c r="P25">
        <v>106</v>
      </c>
      <c r="Q25">
        <v>65</v>
      </c>
      <c r="R25">
        <v>19</v>
      </c>
      <c r="S25">
        <v>3</v>
      </c>
    </row>
    <row r="26" spans="1:22" x14ac:dyDescent="0.2">
      <c r="A26" s="1301" t="s">
        <v>393</v>
      </c>
      <c r="B26">
        <v>50</v>
      </c>
      <c r="C26">
        <v>11</v>
      </c>
      <c r="D26">
        <v>4</v>
      </c>
      <c r="I26">
        <v>13</v>
      </c>
      <c r="J26">
        <v>21</v>
      </c>
      <c r="K26">
        <v>3</v>
      </c>
      <c r="L26">
        <v>1</v>
      </c>
      <c r="N26">
        <v>1</v>
      </c>
      <c r="P26">
        <v>63</v>
      </c>
      <c r="Q26">
        <v>32</v>
      </c>
      <c r="R26">
        <v>7</v>
      </c>
      <c r="S26">
        <v>1</v>
      </c>
      <c r="U26">
        <v>1</v>
      </c>
    </row>
    <row r="27" spans="1:22" x14ac:dyDescent="0.2">
      <c r="A27" s="1301" t="s">
        <v>41</v>
      </c>
      <c r="B27">
        <v>500</v>
      </c>
      <c r="C27">
        <v>56</v>
      </c>
      <c r="D27">
        <v>13</v>
      </c>
      <c r="I27">
        <v>107</v>
      </c>
      <c r="J27">
        <v>125</v>
      </c>
      <c r="K27">
        <v>35</v>
      </c>
      <c r="L27">
        <v>3</v>
      </c>
      <c r="P27">
        <v>607</v>
      </c>
      <c r="Q27">
        <v>181</v>
      </c>
      <c r="R27">
        <v>48</v>
      </c>
      <c r="S27">
        <v>3</v>
      </c>
    </row>
    <row r="28" spans="1:22" x14ac:dyDescent="0.2">
      <c r="A28" s="1301" t="s">
        <v>42</v>
      </c>
      <c r="B28">
        <v>1036</v>
      </c>
      <c r="C28">
        <v>145</v>
      </c>
      <c r="D28">
        <v>25</v>
      </c>
      <c r="I28">
        <v>244</v>
      </c>
      <c r="J28">
        <v>314</v>
      </c>
      <c r="K28">
        <v>90</v>
      </c>
      <c r="L28">
        <v>4</v>
      </c>
      <c r="M28">
        <v>2</v>
      </c>
      <c r="P28">
        <v>1280</v>
      </c>
      <c r="Q28">
        <v>459</v>
      </c>
      <c r="R28">
        <v>115</v>
      </c>
      <c r="S28">
        <v>4</v>
      </c>
      <c r="T28">
        <v>2</v>
      </c>
    </row>
    <row r="29" spans="1:22" x14ac:dyDescent="0.2">
      <c r="A29" s="1301" t="s">
        <v>43</v>
      </c>
      <c r="B29">
        <v>9</v>
      </c>
      <c r="I29">
        <v>8</v>
      </c>
      <c r="J29">
        <v>6</v>
      </c>
      <c r="K29">
        <v>1</v>
      </c>
      <c r="P29">
        <v>17</v>
      </c>
      <c r="Q29">
        <v>6</v>
      </c>
      <c r="R29">
        <v>1</v>
      </c>
    </row>
    <row r="30" spans="1:22" x14ac:dyDescent="0.2">
      <c r="A30" s="1301" t="s">
        <v>44</v>
      </c>
      <c r="B30">
        <v>163</v>
      </c>
      <c r="C30">
        <v>11</v>
      </c>
      <c r="D30">
        <v>3</v>
      </c>
      <c r="I30">
        <v>66</v>
      </c>
      <c r="J30">
        <v>123</v>
      </c>
      <c r="K30">
        <v>36</v>
      </c>
      <c r="M30">
        <v>4</v>
      </c>
      <c r="N30">
        <v>1</v>
      </c>
      <c r="P30">
        <v>229</v>
      </c>
      <c r="Q30">
        <v>134</v>
      </c>
      <c r="R30">
        <v>39</v>
      </c>
      <c r="T30">
        <v>4</v>
      </c>
      <c r="U30">
        <v>1</v>
      </c>
    </row>
    <row r="31" spans="1:22" x14ac:dyDescent="0.2">
      <c r="A31" s="1301" t="s">
        <v>45</v>
      </c>
      <c r="B31">
        <v>409</v>
      </c>
      <c r="C31">
        <v>73</v>
      </c>
      <c r="D31">
        <v>20</v>
      </c>
      <c r="I31">
        <v>138</v>
      </c>
      <c r="J31">
        <v>158</v>
      </c>
      <c r="K31">
        <v>91</v>
      </c>
      <c r="L31">
        <v>5</v>
      </c>
      <c r="N31">
        <v>1</v>
      </c>
      <c r="P31">
        <v>547</v>
      </c>
      <c r="Q31">
        <v>231</v>
      </c>
      <c r="R31">
        <v>111</v>
      </c>
      <c r="S31">
        <v>5</v>
      </c>
      <c r="U31">
        <v>1</v>
      </c>
    </row>
    <row r="32" spans="1:22" x14ac:dyDescent="0.2">
      <c r="A32" s="1301" t="s">
        <v>46</v>
      </c>
      <c r="B32">
        <v>111</v>
      </c>
      <c r="C32">
        <v>17</v>
      </c>
      <c r="D32">
        <v>3</v>
      </c>
      <c r="I32">
        <v>107</v>
      </c>
      <c r="J32">
        <v>77</v>
      </c>
      <c r="K32">
        <v>14</v>
      </c>
      <c r="L32">
        <v>4</v>
      </c>
      <c r="N32">
        <v>1</v>
      </c>
      <c r="P32">
        <v>218</v>
      </c>
      <c r="Q32">
        <v>94</v>
      </c>
      <c r="R32">
        <v>17</v>
      </c>
      <c r="S32">
        <v>4</v>
      </c>
      <c r="U32">
        <v>1</v>
      </c>
    </row>
    <row r="33" spans="1:22" x14ac:dyDescent="0.2">
      <c r="A33" s="1301" t="s">
        <v>47</v>
      </c>
      <c r="B33">
        <v>9</v>
      </c>
      <c r="C33">
        <v>2</v>
      </c>
      <c r="I33">
        <v>12</v>
      </c>
      <c r="J33">
        <v>14</v>
      </c>
      <c r="K33">
        <v>5</v>
      </c>
      <c r="L33">
        <v>1</v>
      </c>
      <c r="P33">
        <v>21</v>
      </c>
      <c r="Q33">
        <v>16</v>
      </c>
      <c r="R33">
        <v>5</v>
      </c>
      <c r="S33">
        <v>1</v>
      </c>
    </row>
    <row r="34" spans="1:22" x14ac:dyDescent="0.2">
      <c r="A34" s="1301" t="s">
        <v>48</v>
      </c>
      <c r="B34">
        <v>229</v>
      </c>
      <c r="C34">
        <v>18</v>
      </c>
      <c r="D34">
        <v>2</v>
      </c>
      <c r="H34">
        <v>1</v>
      </c>
      <c r="I34">
        <v>66</v>
      </c>
      <c r="J34">
        <v>103</v>
      </c>
      <c r="K34">
        <v>31</v>
      </c>
      <c r="L34">
        <v>2</v>
      </c>
      <c r="M34">
        <v>1</v>
      </c>
      <c r="N34">
        <v>1</v>
      </c>
      <c r="P34">
        <v>295</v>
      </c>
      <c r="Q34">
        <v>121</v>
      </c>
      <c r="R34">
        <v>33</v>
      </c>
      <c r="S34">
        <v>2</v>
      </c>
      <c r="T34">
        <v>1</v>
      </c>
      <c r="U34">
        <v>1</v>
      </c>
      <c r="V34">
        <v>1</v>
      </c>
    </row>
    <row r="35" spans="1:22" x14ac:dyDescent="0.2">
      <c r="A35" s="1301" t="s">
        <v>49</v>
      </c>
      <c r="B35">
        <v>667</v>
      </c>
      <c r="C35">
        <v>115</v>
      </c>
      <c r="D35">
        <v>14</v>
      </c>
      <c r="I35">
        <v>216</v>
      </c>
      <c r="J35">
        <v>266</v>
      </c>
      <c r="K35">
        <v>91</v>
      </c>
      <c r="L35">
        <v>9</v>
      </c>
      <c r="M35">
        <v>1</v>
      </c>
      <c r="P35">
        <v>883</v>
      </c>
      <c r="Q35">
        <v>381</v>
      </c>
      <c r="R35">
        <v>105</v>
      </c>
      <c r="S35">
        <v>9</v>
      </c>
      <c r="T35">
        <v>1</v>
      </c>
    </row>
    <row r="36" spans="1:22" x14ac:dyDescent="0.2">
      <c r="A36" s="1301" t="s">
        <v>50</v>
      </c>
      <c r="B36">
        <v>150</v>
      </c>
      <c r="C36">
        <v>11</v>
      </c>
      <c r="D36">
        <v>4</v>
      </c>
      <c r="I36">
        <v>58</v>
      </c>
      <c r="J36">
        <v>76</v>
      </c>
      <c r="K36">
        <v>36</v>
      </c>
      <c r="L36">
        <v>2</v>
      </c>
      <c r="M36">
        <v>1</v>
      </c>
      <c r="P36">
        <v>208</v>
      </c>
      <c r="Q36">
        <v>87</v>
      </c>
      <c r="R36">
        <v>40</v>
      </c>
      <c r="S36">
        <v>2</v>
      </c>
      <c r="T36">
        <v>1</v>
      </c>
    </row>
    <row r="37" spans="1:22" x14ac:dyDescent="0.2">
      <c r="A37" s="1301" t="s">
        <v>51</v>
      </c>
      <c r="B37">
        <v>207</v>
      </c>
      <c r="C37">
        <v>31</v>
      </c>
      <c r="D37">
        <v>3</v>
      </c>
      <c r="I37">
        <v>102</v>
      </c>
      <c r="J37">
        <v>125</v>
      </c>
      <c r="K37">
        <v>37</v>
      </c>
      <c r="L37">
        <v>2</v>
      </c>
      <c r="M37">
        <v>1</v>
      </c>
      <c r="N37">
        <v>2</v>
      </c>
      <c r="P37">
        <v>309</v>
      </c>
      <c r="Q37">
        <v>156</v>
      </c>
      <c r="R37">
        <v>40</v>
      </c>
      <c r="S37">
        <v>2</v>
      </c>
      <c r="T37">
        <v>1</v>
      </c>
      <c r="U37">
        <v>2</v>
      </c>
    </row>
    <row r="38" spans="1:22" x14ac:dyDescent="0.2">
      <c r="A38" s="1301" t="s">
        <v>52</v>
      </c>
      <c r="B38">
        <v>665</v>
      </c>
      <c r="C38">
        <v>45</v>
      </c>
      <c r="D38">
        <v>6</v>
      </c>
      <c r="I38">
        <v>197</v>
      </c>
      <c r="J38">
        <v>173</v>
      </c>
      <c r="K38">
        <v>45</v>
      </c>
      <c r="L38">
        <v>3</v>
      </c>
      <c r="N38">
        <v>1</v>
      </c>
      <c r="P38">
        <v>862</v>
      </c>
      <c r="Q38">
        <v>218</v>
      </c>
      <c r="R38">
        <v>51</v>
      </c>
      <c r="S38">
        <v>3</v>
      </c>
      <c r="U38">
        <v>1</v>
      </c>
    </row>
    <row r="39" spans="1:22" x14ac:dyDescent="0.2">
      <c r="A39" s="1301" t="s">
        <v>666</v>
      </c>
      <c r="B39">
        <v>12904</v>
      </c>
      <c r="C39">
        <v>1420</v>
      </c>
      <c r="D39">
        <v>338</v>
      </c>
      <c r="H39">
        <v>11</v>
      </c>
      <c r="I39">
        <v>3572</v>
      </c>
      <c r="J39">
        <v>4607</v>
      </c>
      <c r="K39">
        <v>2213</v>
      </c>
      <c r="L39">
        <v>124</v>
      </c>
      <c r="M39">
        <v>27</v>
      </c>
      <c r="N39">
        <v>19</v>
      </c>
      <c r="O39">
        <v>1</v>
      </c>
      <c r="P39">
        <v>16476</v>
      </c>
      <c r="Q39">
        <v>6027</v>
      </c>
      <c r="R39">
        <v>2551</v>
      </c>
      <c r="S39">
        <v>124</v>
      </c>
      <c r="T39">
        <v>27</v>
      </c>
      <c r="U39">
        <v>19</v>
      </c>
      <c r="V39">
        <v>12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46">
    <tabColor theme="4"/>
    <pageSetUpPr fitToPage="1"/>
  </sheetPr>
  <dimension ref="A1:AC93"/>
  <sheetViews>
    <sheetView showGridLines="0" zoomScaleNormal="100" workbookViewId="0">
      <selection sqref="A1:J1"/>
    </sheetView>
  </sheetViews>
  <sheetFormatPr defaultRowHeight="12.75" x14ac:dyDescent="0.2"/>
  <cols>
    <col min="1" max="1" width="13.5703125" customWidth="1"/>
    <col min="26" max="26" width="12.28515625" customWidth="1"/>
    <col min="27" max="27" width="12.140625" customWidth="1"/>
  </cols>
  <sheetData>
    <row r="1" spans="1:28" ht="37.5" customHeight="1" x14ac:dyDescent="0.2">
      <c r="A1" s="1655" t="s">
        <v>648</v>
      </c>
      <c r="B1" s="1655"/>
      <c r="C1" s="1655"/>
      <c r="D1" s="1655"/>
      <c r="E1" s="1655"/>
      <c r="F1" s="1655"/>
      <c r="G1" s="1655"/>
      <c r="H1" s="1655"/>
      <c r="I1" s="1655"/>
      <c r="J1" s="1655"/>
      <c r="K1" s="1"/>
      <c r="L1" s="1"/>
      <c r="M1" s="1"/>
      <c r="N1" s="1"/>
      <c r="O1" s="1"/>
      <c r="P1" s="1"/>
      <c r="Q1" s="1"/>
      <c r="R1" s="1"/>
      <c r="S1" s="1"/>
      <c r="T1" s="1"/>
      <c r="U1" s="1"/>
      <c r="V1" s="1"/>
      <c r="W1" s="1"/>
      <c r="X1" s="1"/>
      <c r="Y1" s="1"/>
      <c r="Z1" s="1"/>
      <c r="AA1" s="1"/>
      <c r="AB1" s="1"/>
    </row>
    <row r="2" spans="1:28" x14ac:dyDescent="0.2">
      <c r="A2" s="1"/>
      <c r="B2" s="1"/>
      <c r="C2" s="1"/>
      <c r="D2" s="1"/>
      <c r="E2" s="1"/>
      <c r="F2" s="1"/>
      <c r="G2" s="1"/>
      <c r="H2" s="1"/>
      <c r="I2" s="1"/>
      <c r="J2" s="1"/>
      <c r="K2" s="1"/>
      <c r="L2" s="1"/>
      <c r="M2" s="1"/>
      <c r="N2" s="1"/>
      <c r="O2" s="1"/>
      <c r="P2" s="1"/>
      <c r="Q2" s="1"/>
      <c r="R2" s="1"/>
      <c r="S2" s="1"/>
      <c r="T2" s="1"/>
      <c r="U2" s="1"/>
      <c r="V2" s="1"/>
      <c r="W2" s="1"/>
      <c r="X2" s="1"/>
      <c r="Y2" s="1"/>
      <c r="Z2" s="1"/>
      <c r="AA2" s="1"/>
      <c r="AB2" s="1"/>
    </row>
    <row r="3" spans="1:28" ht="18.75" customHeight="1" x14ac:dyDescent="0.2">
      <c r="A3" s="1761" t="s">
        <v>4</v>
      </c>
      <c r="B3" s="1661" t="s">
        <v>302</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62"/>
      <c r="AA3" s="1682" t="s">
        <v>357</v>
      </c>
      <c r="AB3" s="1"/>
    </row>
    <row r="4" spans="1:28" ht="18.75" customHeight="1" x14ac:dyDescent="0.2">
      <c r="A4" s="1763"/>
      <c r="B4" s="1202" t="s">
        <v>331</v>
      </c>
      <c r="C4" s="1203" t="s">
        <v>303</v>
      </c>
      <c r="D4" s="1203" t="s">
        <v>304</v>
      </c>
      <c r="E4" s="1203" t="s">
        <v>305</v>
      </c>
      <c r="F4" s="1203" t="s">
        <v>306</v>
      </c>
      <c r="G4" s="1203" t="s">
        <v>307</v>
      </c>
      <c r="H4" s="1203" t="s">
        <v>308</v>
      </c>
      <c r="I4" s="1203" t="s">
        <v>309</v>
      </c>
      <c r="J4" s="1203" t="s">
        <v>310</v>
      </c>
      <c r="K4" s="1203" t="s">
        <v>311</v>
      </c>
      <c r="L4" s="1203" t="s">
        <v>312</v>
      </c>
      <c r="M4" s="1203" t="s">
        <v>313</v>
      </c>
      <c r="N4" s="1203" t="s">
        <v>344</v>
      </c>
      <c r="O4" s="1203" t="s">
        <v>314</v>
      </c>
      <c r="P4" s="1203" t="s">
        <v>315</v>
      </c>
      <c r="Q4" s="1203" t="s">
        <v>316</v>
      </c>
      <c r="R4" s="1203" t="s">
        <v>317</v>
      </c>
      <c r="S4" s="1203" t="s">
        <v>318</v>
      </c>
      <c r="T4" s="1203" t="s">
        <v>319</v>
      </c>
      <c r="U4" s="1203" t="s">
        <v>320</v>
      </c>
      <c r="V4" s="1203" t="s">
        <v>321</v>
      </c>
      <c r="W4" s="1203" t="s">
        <v>322</v>
      </c>
      <c r="X4" s="1203" t="s">
        <v>323</v>
      </c>
      <c r="Y4" s="1203" t="s">
        <v>324</v>
      </c>
      <c r="Z4" s="1204" t="s">
        <v>228</v>
      </c>
      <c r="AA4" s="1683"/>
      <c r="AB4" s="1"/>
    </row>
    <row r="5" spans="1:28" ht="18.75" customHeight="1" x14ac:dyDescent="0.2">
      <c r="A5" s="40" t="s">
        <v>16</v>
      </c>
      <c r="B5" s="380">
        <v>598.29999999999995</v>
      </c>
      <c r="C5" s="661">
        <v>532</v>
      </c>
      <c r="D5" s="661">
        <v>511</v>
      </c>
      <c r="E5" s="661">
        <v>422</v>
      </c>
      <c r="F5" s="661">
        <v>381</v>
      </c>
      <c r="G5" s="661">
        <v>290</v>
      </c>
      <c r="H5" s="661">
        <v>231</v>
      </c>
      <c r="I5" s="661">
        <v>301</v>
      </c>
      <c r="J5" s="661">
        <v>278</v>
      </c>
      <c r="K5" s="661">
        <v>406</v>
      </c>
      <c r="L5" s="661">
        <v>411</v>
      </c>
      <c r="M5" s="661">
        <v>461</v>
      </c>
      <c r="N5" s="661">
        <v>565</v>
      </c>
      <c r="O5" s="661">
        <v>510</v>
      </c>
      <c r="P5" s="661">
        <v>597</v>
      </c>
      <c r="Q5" s="661">
        <v>599</v>
      </c>
      <c r="R5" s="661">
        <v>827</v>
      </c>
      <c r="S5" s="661">
        <v>846</v>
      </c>
      <c r="T5" s="661">
        <v>842</v>
      </c>
      <c r="U5" s="661">
        <v>825</v>
      </c>
      <c r="V5" s="661">
        <v>899</v>
      </c>
      <c r="W5" s="661">
        <v>840</v>
      </c>
      <c r="X5" s="661">
        <v>716</v>
      </c>
      <c r="Y5" s="661">
        <v>728</v>
      </c>
      <c r="Z5" s="1010"/>
      <c r="AA5" s="662">
        <f>SUM(B5:Z5)</f>
        <v>13616.3</v>
      </c>
      <c r="AB5" s="59"/>
    </row>
    <row r="6" spans="1:28" ht="13.5" customHeight="1" x14ac:dyDescent="0.2">
      <c r="A6" s="9" t="s">
        <v>18</v>
      </c>
      <c r="B6" s="7">
        <v>604.29999999999995</v>
      </c>
      <c r="C6" s="638">
        <v>564</v>
      </c>
      <c r="D6" s="638">
        <v>522</v>
      </c>
      <c r="E6" s="638">
        <v>393</v>
      </c>
      <c r="F6" s="638">
        <v>397</v>
      </c>
      <c r="G6" s="638">
        <v>254</v>
      </c>
      <c r="H6" s="638">
        <v>264</v>
      </c>
      <c r="I6" s="638">
        <v>296</v>
      </c>
      <c r="J6" s="638">
        <v>268</v>
      </c>
      <c r="K6" s="638">
        <v>330</v>
      </c>
      <c r="L6" s="638">
        <v>401</v>
      </c>
      <c r="M6" s="638">
        <v>505</v>
      </c>
      <c r="N6" s="638">
        <v>505</v>
      </c>
      <c r="O6" s="638">
        <v>535</v>
      </c>
      <c r="P6" s="638">
        <v>538</v>
      </c>
      <c r="Q6" s="638">
        <v>666</v>
      </c>
      <c r="R6" s="638">
        <v>655</v>
      </c>
      <c r="S6" s="638">
        <v>837</v>
      </c>
      <c r="T6" s="638">
        <v>864</v>
      </c>
      <c r="U6" s="638">
        <v>885</v>
      </c>
      <c r="V6" s="638">
        <v>787</v>
      </c>
      <c r="W6" s="638">
        <v>781</v>
      </c>
      <c r="X6" s="638">
        <v>686</v>
      </c>
      <c r="Y6" s="638">
        <v>635</v>
      </c>
      <c r="Z6" s="1011">
        <v>1</v>
      </c>
      <c r="AA6" s="639">
        <f t="shared" ref="AA6:AA15" si="0">SUM(B6:Z6)</f>
        <v>13173.3</v>
      </c>
      <c r="AB6" s="59"/>
    </row>
    <row r="7" spans="1:28" ht="13.5" customHeight="1" x14ac:dyDescent="0.2">
      <c r="A7" s="5" t="s">
        <v>19</v>
      </c>
      <c r="B7" s="7">
        <v>606</v>
      </c>
      <c r="C7" s="638">
        <v>536</v>
      </c>
      <c r="D7" s="638">
        <v>522</v>
      </c>
      <c r="E7" s="638">
        <v>426</v>
      </c>
      <c r="F7" s="638">
        <v>364</v>
      </c>
      <c r="G7" s="638">
        <v>244</v>
      </c>
      <c r="H7" s="638">
        <v>210</v>
      </c>
      <c r="I7" s="638">
        <v>277</v>
      </c>
      <c r="J7" s="638">
        <v>293</v>
      </c>
      <c r="K7" s="638">
        <v>348</v>
      </c>
      <c r="L7" s="638">
        <v>392</v>
      </c>
      <c r="M7" s="638">
        <v>499</v>
      </c>
      <c r="N7" s="638">
        <v>579</v>
      </c>
      <c r="O7" s="638">
        <v>651</v>
      </c>
      <c r="P7" s="638">
        <v>645</v>
      </c>
      <c r="Q7" s="638">
        <v>670</v>
      </c>
      <c r="R7" s="638">
        <v>744</v>
      </c>
      <c r="S7" s="638">
        <v>851</v>
      </c>
      <c r="T7" s="638">
        <v>943</v>
      </c>
      <c r="U7" s="638">
        <v>941</v>
      </c>
      <c r="V7" s="638">
        <v>908</v>
      </c>
      <c r="W7" s="638">
        <v>896</v>
      </c>
      <c r="X7" s="638">
        <v>789</v>
      </c>
      <c r="Y7" s="638">
        <v>684</v>
      </c>
      <c r="Z7" s="1011"/>
      <c r="AA7" s="639">
        <f t="shared" si="0"/>
        <v>14018</v>
      </c>
      <c r="AB7" s="59"/>
    </row>
    <row r="8" spans="1:28" ht="13.5" customHeight="1" x14ac:dyDescent="0.2">
      <c r="A8" s="30" t="s">
        <v>20</v>
      </c>
      <c r="B8" s="7">
        <v>578</v>
      </c>
      <c r="C8" s="638">
        <v>538</v>
      </c>
      <c r="D8" s="638">
        <v>457</v>
      </c>
      <c r="E8" s="638">
        <v>391</v>
      </c>
      <c r="F8" s="638">
        <v>311</v>
      </c>
      <c r="G8" s="638">
        <v>282</v>
      </c>
      <c r="H8" s="638">
        <v>200</v>
      </c>
      <c r="I8" s="638">
        <v>248</v>
      </c>
      <c r="J8" s="638">
        <v>287</v>
      </c>
      <c r="K8" s="638">
        <v>370</v>
      </c>
      <c r="L8" s="638">
        <v>422</v>
      </c>
      <c r="M8" s="638">
        <v>506</v>
      </c>
      <c r="N8" s="638">
        <v>552</v>
      </c>
      <c r="O8" s="638">
        <v>554</v>
      </c>
      <c r="P8" s="638">
        <v>618</v>
      </c>
      <c r="Q8" s="638">
        <v>585</v>
      </c>
      <c r="R8" s="638">
        <v>745</v>
      </c>
      <c r="S8" s="638">
        <v>890</v>
      </c>
      <c r="T8" s="638">
        <v>859</v>
      </c>
      <c r="U8" s="638">
        <v>835</v>
      </c>
      <c r="V8" s="638">
        <v>875</v>
      </c>
      <c r="W8" s="638">
        <v>782</v>
      </c>
      <c r="X8" s="638">
        <v>685</v>
      </c>
      <c r="Y8" s="638">
        <v>628</v>
      </c>
      <c r="Z8" s="1011"/>
      <c r="AA8" s="639">
        <f t="shared" si="0"/>
        <v>13198</v>
      </c>
      <c r="AB8" s="7"/>
    </row>
    <row r="9" spans="1:28" ht="13.5" customHeight="1" x14ac:dyDescent="0.2">
      <c r="A9" s="30" t="s">
        <v>13</v>
      </c>
      <c r="B9" s="638">
        <v>552</v>
      </c>
      <c r="C9" s="638">
        <v>489</v>
      </c>
      <c r="D9" s="638">
        <v>416</v>
      </c>
      <c r="E9" s="638">
        <v>378</v>
      </c>
      <c r="F9" s="638">
        <v>298</v>
      </c>
      <c r="G9" s="638">
        <v>225</v>
      </c>
      <c r="H9" s="638">
        <v>220</v>
      </c>
      <c r="I9" s="638">
        <v>236</v>
      </c>
      <c r="J9" s="638">
        <v>306</v>
      </c>
      <c r="K9" s="638">
        <v>331</v>
      </c>
      <c r="L9" s="638">
        <v>389</v>
      </c>
      <c r="M9" s="638">
        <v>456</v>
      </c>
      <c r="N9" s="638">
        <v>506</v>
      </c>
      <c r="O9" s="638">
        <v>568</v>
      </c>
      <c r="P9" s="638">
        <v>545</v>
      </c>
      <c r="Q9" s="638">
        <v>604</v>
      </c>
      <c r="R9" s="638">
        <v>719</v>
      </c>
      <c r="S9" s="638">
        <v>820</v>
      </c>
      <c r="T9" s="638">
        <v>803</v>
      </c>
      <c r="U9" s="638">
        <v>841</v>
      </c>
      <c r="V9" s="638">
        <v>774</v>
      </c>
      <c r="W9" s="638">
        <v>736</v>
      </c>
      <c r="X9" s="638">
        <v>610</v>
      </c>
      <c r="Y9" s="638">
        <v>592</v>
      </c>
      <c r="Z9" s="1011"/>
      <c r="AA9" s="639">
        <f t="shared" si="0"/>
        <v>12414</v>
      </c>
      <c r="AB9" s="7"/>
    </row>
    <row r="10" spans="1:28" ht="13.5" customHeight="1" x14ac:dyDescent="0.2">
      <c r="A10" s="30" t="s">
        <v>15</v>
      </c>
      <c r="B10" s="638">
        <v>442</v>
      </c>
      <c r="C10" s="638">
        <v>393</v>
      </c>
      <c r="D10" s="638">
        <v>336</v>
      </c>
      <c r="E10" s="638">
        <v>283</v>
      </c>
      <c r="F10" s="638">
        <v>237</v>
      </c>
      <c r="G10" s="638">
        <v>213</v>
      </c>
      <c r="H10" s="638">
        <v>185</v>
      </c>
      <c r="I10" s="638">
        <v>224</v>
      </c>
      <c r="J10" s="638">
        <v>310</v>
      </c>
      <c r="K10" s="638">
        <v>338</v>
      </c>
      <c r="L10" s="638">
        <v>352</v>
      </c>
      <c r="M10" s="638">
        <v>399</v>
      </c>
      <c r="N10" s="638">
        <v>465</v>
      </c>
      <c r="O10" s="638">
        <v>530</v>
      </c>
      <c r="P10" s="638">
        <v>533</v>
      </c>
      <c r="Q10" s="638">
        <v>604</v>
      </c>
      <c r="R10" s="638">
        <v>665</v>
      </c>
      <c r="S10" s="638">
        <v>743</v>
      </c>
      <c r="T10" s="638">
        <v>734</v>
      </c>
      <c r="U10" s="638">
        <v>727</v>
      </c>
      <c r="V10" s="638">
        <v>700</v>
      </c>
      <c r="W10" s="638">
        <v>598</v>
      </c>
      <c r="X10" s="638">
        <v>550</v>
      </c>
      <c r="Y10" s="638">
        <v>507</v>
      </c>
      <c r="Z10" s="1011"/>
      <c r="AA10" s="639">
        <f t="shared" si="0"/>
        <v>11068</v>
      </c>
      <c r="AB10" s="7"/>
    </row>
    <row r="11" spans="1:28" ht="13.5" customHeight="1" x14ac:dyDescent="0.2">
      <c r="A11" s="30" t="s">
        <v>17</v>
      </c>
      <c r="B11" s="638">
        <v>374</v>
      </c>
      <c r="C11" s="638">
        <v>347</v>
      </c>
      <c r="D11" s="638">
        <v>309</v>
      </c>
      <c r="E11" s="638">
        <v>264</v>
      </c>
      <c r="F11" s="638">
        <v>211</v>
      </c>
      <c r="G11" s="638">
        <v>183</v>
      </c>
      <c r="H11" s="638">
        <v>181</v>
      </c>
      <c r="I11" s="638">
        <v>226</v>
      </c>
      <c r="J11" s="638">
        <v>274</v>
      </c>
      <c r="K11" s="638">
        <v>334</v>
      </c>
      <c r="L11" s="638">
        <v>370</v>
      </c>
      <c r="M11" s="638">
        <v>394</v>
      </c>
      <c r="N11" s="638">
        <v>491</v>
      </c>
      <c r="O11" s="638">
        <v>512</v>
      </c>
      <c r="P11" s="638">
        <v>509</v>
      </c>
      <c r="Q11" s="638">
        <v>582</v>
      </c>
      <c r="R11" s="638">
        <v>618</v>
      </c>
      <c r="S11" s="638">
        <v>776</v>
      </c>
      <c r="T11" s="638">
        <v>709</v>
      </c>
      <c r="U11" s="638">
        <v>680</v>
      </c>
      <c r="V11" s="638">
        <v>700</v>
      </c>
      <c r="W11" s="638">
        <v>563</v>
      </c>
      <c r="X11" s="638">
        <v>517</v>
      </c>
      <c r="Y11" s="638">
        <v>415</v>
      </c>
      <c r="Z11" s="1011"/>
      <c r="AA11" s="639">
        <f t="shared" si="0"/>
        <v>10539</v>
      </c>
      <c r="AB11" s="7"/>
    </row>
    <row r="12" spans="1:28" ht="13.5" customHeight="1" x14ac:dyDescent="0.2">
      <c r="A12" s="30" t="s">
        <v>147</v>
      </c>
      <c r="B12" s="638">
        <v>444</v>
      </c>
      <c r="C12" s="638">
        <v>382</v>
      </c>
      <c r="D12" s="638">
        <v>324</v>
      </c>
      <c r="E12" s="638">
        <v>271</v>
      </c>
      <c r="F12" s="638">
        <v>240</v>
      </c>
      <c r="G12" s="638">
        <v>175</v>
      </c>
      <c r="H12" s="638">
        <v>189</v>
      </c>
      <c r="I12" s="638">
        <v>214</v>
      </c>
      <c r="J12" s="638">
        <v>283</v>
      </c>
      <c r="K12" s="638">
        <v>323</v>
      </c>
      <c r="L12" s="638">
        <v>396</v>
      </c>
      <c r="M12" s="638">
        <v>440</v>
      </c>
      <c r="N12" s="638">
        <v>482</v>
      </c>
      <c r="O12" s="638">
        <v>530</v>
      </c>
      <c r="P12" s="638">
        <v>517</v>
      </c>
      <c r="Q12" s="638">
        <v>585</v>
      </c>
      <c r="R12" s="638">
        <v>601</v>
      </c>
      <c r="S12" s="638">
        <v>717</v>
      </c>
      <c r="T12" s="638">
        <v>725</v>
      </c>
      <c r="U12" s="638">
        <v>693</v>
      </c>
      <c r="V12" s="638">
        <v>615</v>
      </c>
      <c r="W12" s="638">
        <v>598</v>
      </c>
      <c r="X12" s="638">
        <v>458</v>
      </c>
      <c r="Y12" s="638">
        <v>441</v>
      </c>
      <c r="Z12" s="1011"/>
      <c r="AA12" s="639">
        <f t="shared" si="0"/>
        <v>10643</v>
      </c>
      <c r="AB12" s="7"/>
    </row>
    <row r="13" spans="1:28" ht="13.5" customHeight="1" x14ac:dyDescent="0.2">
      <c r="A13" s="30" t="s">
        <v>160</v>
      </c>
      <c r="B13">
        <f>B28+B43+B58</f>
        <v>396</v>
      </c>
      <c r="C13">
        <f t="shared" ref="C13:Y13" si="1">C28+C43+C58</f>
        <v>373</v>
      </c>
      <c r="D13">
        <f t="shared" si="1"/>
        <v>306</v>
      </c>
      <c r="E13">
        <f t="shared" si="1"/>
        <v>232</v>
      </c>
      <c r="F13">
        <f t="shared" si="1"/>
        <v>212</v>
      </c>
      <c r="G13">
        <f t="shared" si="1"/>
        <v>188</v>
      </c>
      <c r="H13">
        <f t="shared" si="1"/>
        <v>174</v>
      </c>
      <c r="I13">
        <f t="shared" si="1"/>
        <v>215</v>
      </c>
      <c r="J13">
        <f t="shared" si="1"/>
        <v>297</v>
      </c>
      <c r="K13">
        <f t="shared" si="1"/>
        <v>348</v>
      </c>
      <c r="L13">
        <f t="shared" si="1"/>
        <v>387</v>
      </c>
      <c r="M13">
        <f t="shared" si="1"/>
        <v>464</v>
      </c>
      <c r="N13">
        <f t="shared" si="1"/>
        <v>484</v>
      </c>
      <c r="O13">
        <f t="shared" si="1"/>
        <v>577</v>
      </c>
      <c r="P13">
        <f t="shared" si="1"/>
        <v>558</v>
      </c>
      <c r="Q13">
        <f t="shared" si="1"/>
        <v>613</v>
      </c>
      <c r="R13">
        <f t="shared" si="1"/>
        <v>703</v>
      </c>
      <c r="S13">
        <f t="shared" si="1"/>
        <v>786</v>
      </c>
      <c r="T13">
        <f t="shared" si="1"/>
        <v>715</v>
      </c>
      <c r="U13">
        <f t="shared" si="1"/>
        <v>694</v>
      </c>
      <c r="V13">
        <f t="shared" si="1"/>
        <v>637</v>
      </c>
      <c r="W13">
        <f t="shared" si="1"/>
        <v>650</v>
      </c>
      <c r="X13">
        <f t="shared" si="1"/>
        <v>543</v>
      </c>
      <c r="Y13">
        <f t="shared" si="1"/>
        <v>461</v>
      </c>
      <c r="Z13" s="612"/>
      <c r="AA13" s="639">
        <f t="shared" si="0"/>
        <v>11013</v>
      </c>
      <c r="AB13" s="1"/>
    </row>
    <row r="14" spans="1:28" ht="13.5" customHeight="1" x14ac:dyDescent="0.2">
      <c r="A14" s="30" t="s">
        <v>379</v>
      </c>
      <c r="B14">
        <f t="shared" ref="B14:Y14" si="2">B29+B44+B59</f>
        <v>400</v>
      </c>
      <c r="C14">
        <f t="shared" si="2"/>
        <v>354</v>
      </c>
      <c r="D14">
        <f t="shared" si="2"/>
        <v>314</v>
      </c>
      <c r="E14">
        <f t="shared" si="2"/>
        <v>256</v>
      </c>
      <c r="F14">
        <f t="shared" si="2"/>
        <v>214</v>
      </c>
      <c r="G14">
        <f t="shared" si="2"/>
        <v>191</v>
      </c>
      <c r="H14">
        <f t="shared" si="2"/>
        <v>171</v>
      </c>
      <c r="I14">
        <f t="shared" si="2"/>
        <v>236</v>
      </c>
      <c r="J14">
        <f t="shared" si="2"/>
        <v>316</v>
      </c>
      <c r="K14">
        <f t="shared" si="2"/>
        <v>308</v>
      </c>
      <c r="L14">
        <f t="shared" si="2"/>
        <v>398</v>
      </c>
      <c r="M14">
        <f t="shared" si="2"/>
        <v>464</v>
      </c>
      <c r="N14">
        <f t="shared" si="2"/>
        <v>480</v>
      </c>
      <c r="O14">
        <f t="shared" si="2"/>
        <v>495</v>
      </c>
      <c r="P14">
        <f t="shared" si="2"/>
        <v>548</v>
      </c>
      <c r="Q14">
        <f t="shared" si="2"/>
        <v>531</v>
      </c>
      <c r="R14">
        <f t="shared" si="2"/>
        <v>690</v>
      </c>
      <c r="S14">
        <f t="shared" si="2"/>
        <v>745</v>
      </c>
      <c r="T14">
        <f t="shared" si="2"/>
        <v>789</v>
      </c>
      <c r="U14">
        <f t="shared" si="2"/>
        <v>731</v>
      </c>
      <c r="V14">
        <f t="shared" si="2"/>
        <v>678</v>
      </c>
      <c r="W14">
        <f t="shared" si="2"/>
        <v>574</v>
      </c>
      <c r="X14">
        <f t="shared" si="2"/>
        <v>510</v>
      </c>
      <c r="Y14">
        <f t="shared" si="2"/>
        <v>511</v>
      </c>
      <c r="Z14" s="612"/>
      <c r="AA14" s="639">
        <f t="shared" si="0"/>
        <v>10904</v>
      </c>
      <c r="AB14" s="1" t="s">
        <v>145</v>
      </c>
    </row>
    <row r="15" spans="1:28" ht="13.5" customHeight="1" x14ac:dyDescent="0.2">
      <c r="A15" s="1261" t="s">
        <v>603</v>
      </c>
      <c r="B15" s="797">
        <f t="shared" ref="B15:X15" si="3">B30+B45+B60</f>
        <v>396</v>
      </c>
      <c r="C15" s="797">
        <f t="shared" si="3"/>
        <v>374</v>
      </c>
      <c r="D15" s="797">
        <f t="shared" si="3"/>
        <v>300</v>
      </c>
      <c r="E15" s="797">
        <f t="shared" si="3"/>
        <v>242</v>
      </c>
      <c r="F15" s="797">
        <f t="shared" si="3"/>
        <v>201</v>
      </c>
      <c r="G15" s="797">
        <f t="shared" si="3"/>
        <v>179</v>
      </c>
      <c r="H15" s="797">
        <f t="shared" si="3"/>
        <v>164</v>
      </c>
      <c r="I15" s="797">
        <f t="shared" si="3"/>
        <v>234</v>
      </c>
      <c r="J15" s="797">
        <f t="shared" si="3"/>
        <v>290</v>
      </c>
      <c r="K15" s="797">
        <f t="shared" si="3"/>
        <v>344</v>
      </c>
      <c r="L15" s="797">
        <f t="shared" si="3"/>
        <v>355</v>
      </c>
      <c r="M15" s="797">
        <f t="shared" si="3"/>
        <v>433</v>
      </c>
      <c r="N15" s="797">
        <f t="shared" si="3"/>
        <v>457</v>
      </c>
      <c r="O15" s="797">
        <f t="shared" si="3"/>
        <v>487</v>
      </c>
      <c r="P15" s="797">
        <f t="shared" si="3"/>
        <v>556</v>
      </c>
      <c r="Q15" s="797">
        <f t="shared" si="3"/>
        <v>568</v>
      </c>
      <c r="R15" s="797">
        <f t="shared" si="3"/>
        <v>618</v>
      </c>
      <c r="S15" s="797">
        <f t="shared" si="3"/>
        <v>761</v>
      </c>
      <c r="T15" s="797">
        <f t="shared" si="3"/>
        <v>731</v>
      </c>
      <c r="U15" s="797">
        <f t="shared" si="3"/>
        <v>707</v>
      </c>
      <c r="V15" s="797">
        <f t="shared" si="3"/>
        <v>687</v>
      </c>
      <c r="W15" s="797">
        <f t="shared" si="3"/>
        <v>596</v>
      </c>
      <c r="X15" s="797">
        <f t="shared" si="3"/>
        <v>517</v>
      </c>
      <c r="Y15" s="797">
        <f>Y30+Y45+Y60</f>
        <v>457</v>
      </c>
      <c r="Z15" s="1012"/>
      <c r="AA15" s="640">
        <f t="shared" si="0"/>
        <v>10654</v>
      </c>
      <c r="AB15" s="1" t="s">
        <v>143</v>
      </c>
    </row>
    <row r="16" spans="1:28"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9"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9" ht="18.75" customHeight="1" x14ac:dyDescent="0.2">
      <c r="A18" s="1761" t="s">
        <v>4</v>
      </c>
      <c r="B18" s="1661" t="s">
        <v>326</v>
      </c>
      <c r="C18" s="1677"/>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62"/>
      <c r="AA18" s="1682" t="s">
        <v>358</v>
      </c>
      <c r="AB18" s="1"/>
    </row>
    <row r="19" spans="1:29" ht="18.75" customHeight="1" x14ac:dyDescent="0.2">
      <c r="A19" s="1762"/>
      <c r="B19" s="1202" t="s">
        <v>331</v>
      </c>
      <c r="C19" s="1203" t="s">
        <v>303</v>
      </c>
      <c r="D19" s="1203" t="s">
        <v>304</v>
      </c>
      <c r="E19" s="1203" t="s">
        <v>305</v>
      </c>
      <c r="F19" s="1203" t="s">
        <v>306</v>
      </c>
      <c r="G19" s="1203" t="s">
        <v>307</v>
      </c>
      <c r="H19" s="1203" t="s">
        <v>308</v>
      </c>
      <c r="I19" s="1203" t="s">
        <v>309</v>
      </c>
      <c r="J19" s="1203" t="s">
        <v>310</v>
      </c>
      <c r="K19" s="1203" t="s">
        <v>311</v>
      </c>
      <c r="L19" s="1203" t="s">
        <v>312</v>
      </c>
      <c r="M19" s="1203" t="s">
        <v>313</v>
      </c>
      <c r="N19" s="1203" t="s">
        <v>344</v>
      </c>
      <c r="O19" s="1203" t="s">
        <v>314</v>
      </c>
      <c r="P19" s="1203" t="s">
        <v>315</v>
      </c>
      <c r="Q19" s="1203" t="s">
        <v>316</v>
      </c>
      <c r="R19" s="1203" t="s">
        <v>317</v>
      </c>
      <c r="S19" s="1203" t="s">
        <v>318</v>
      </c>
      <c r="T19" s="1203" t="s">
        <v>319</v>
      </c>
      <c r="U19" s="1203" t="s">
        <v>320</v>
      </c>
      <c r="V19" s="1203" t="s">
        <v>321</v>
      </c>
      <c r="W19" s="1203" t="s">
        <v>322</v>
      </c>
      <c r="X19" s="1203" t="s">
        <v>323</v>
      </c>
      <c r="Y19" s="1203" t="s">
        <v>324</v>
      </c>
      <c r="Z19" s="1204" t="s">
        <v>228</v>
      </c>
      <c r="AA19" s="1683"/>
      <c r="AB19" s="1"/>
    </row>
    <row r="20" spans="1:29" ht="18.75" customHeight="1" x14ac:dyDescent="0.2">
      <c r="A20" s="40" t="s">
        <v>16</v>
      </c>
      <c r="B20" s="93">
        <v>261</v>
      </c>
      <c r="C20" s="661">
        <v>201</v>
      </c>
      <c r="D20" s="661">
        <v>181</v>
      </c>
      <c r="E20" s="661">
        <v>145</v>
      </c>
      <c r="F20" s="661">
        <v>144</v>
      </c>
      <c r="G20" s="661">
        <v>112</v>
      </c>
      <c r="H20" s="661">
        <v>111</v>
      </c>
      <c r="I20" s="661">
        <v>114</v>
      </c>
      <c r="J20" s="661">
        <v>130</v>
      </c>
      <c r="K20" s="661">
        <v>193</v>
      </c>
      <c r="L20" s="661">
        <v>212</v>
      </c>
      <c r="M20" s="661">
        <v>236</v>
      </c>
      <c r="N20" s="661">
        <v>299</v>
      </c>
      <c r="O20" s="661">
        <v>276</v>
      </c>
      <c r="P20" s="661">
        <v>299</v>
      </c>
      <c r="Q20" s="661">
        <v>320</v>
      </c>
      <c r="R20" s="661">
        <v>489</v>
      </c>
      <c r="S20" s="661">
        <v>550</v>
      </c>
      <c r="T20" s="661">
        <v>508</v>
      </c>
      <c r="U20" s="661">
        <v>487</v>
      </c>
      <c r="V20" s="661">
        <v>405</v>
      </c>
      <c r="W20" s="661">
        <v>405</v>
      </c>
      <c r="X20" s="661">
        <v>312</v>
      </c>
      <c r="Y20" s="661">
        <v>277</v>
      </c>
      <c r="Z20" s="1013"/>
      <c r="AA20" s="662">
        <f>SUM(B20:Z20)</f>
        <v>6667</v>
      </c>
      <c r="AB20" s="59"/>
    </row>
    <row r="21" spans="1:29" ht="13.5" customHeight="1" x14ac:dyDescent="0.2">
      <c r="A21" s="9" t="s">
        <v>18</v>
      </c>
      <c r="B21" s="6">
        <v>260</v>
      </c>
      <c r="C21" s="638">
        <v>263</v>
      </c>
      <c r="D21" s="638">
        <v>210</v>
      </c>
      <c r="E21" s="638">
        <v>129</v>
      </c>
      <c r="F21" s="638">
        <v>125</v>
      </c>
      <c r="G21" s="638">
        <v>91</v>
      </c>
      <c r="H21" s="638">
        <v>119</v>
      </c>
      <c r="I21" s="638">
        <v>110</v>
      </c>
      <c r="J21" s="638">
        <v>145</v>
      </c>
      <c r="K21" s="638">
        <v>198</v>
      </c>
      <c r="L21" s="638">
        <v>200</v>
      </c>
      <c r="M21" s="638">
        <v>271</v>
      </c>
      <c r="N21" s="638">
        <v>296</v>
      </c>
      <c r="O21" s="638">
        <v>301</v>
      </c>
      <c r="P21" s="638">
        <v>298</v>
      </c>
      <c r="Q21" s="638">
        <v>367</v>
      </c>
      <c r="R21" s="638">
        <v>386</v>
      </c>
      <c r="S21" s="638">
        <v>531</v>
      </c>
      <c r="T21" s="638">
        <v>513</v>
      </c>
      <c r="U21" s="638">
        <v>522</v>
      </c>
      <c r="V21" s="638">
        <v>399</v>
      </c>
      <c r="W21" s="638">
        <v>340</v>
      </c>
      <c r="X21" s="638">
        <v>348</v>
      </c>
      <c r="Y21" s="638">
        <v>280</v>
      </c>
      <c r="Z21" s="641">
        <v>1</v>
      </c>
      <c r="AA21" s="639">
        <f t="shared" ref="AA21:AA30" si="4">SUM(B21:Z21)</f>
        <v>6703</v>
      </c>
      <c r="AB21" s="59"/>
    </row>
    <row r="22" spans="1:29" ht="13.5" customHeight="1" x14ac:dyDescent="0.25">
      <c r="A22" s="9" t="s">
        <v>19</v>
      </c>
      <c r="B22" s="6">
        <v>243</v>
      </c>
      <c r="C22" s="638">
        <v>212</v>
      </c>
      <c r="D22" s="638">
        <v>203</v>
      </c>
      <c r="E22" s="638">
        <v>174</v>
      </c>
      <c r="F22" s="638">
        <v>134</v>
      </c>
      <c r="G22" s="638">
        <v>91</v>
      </c>
      <c r="H22" s="638">
        <v>84</v>
      </c>
      <c r="I22" s="638">
        <v>105</v>
      </c>
      <c r="J22" s="638">
        <v>108</v>
      </c>
      <c r="K22" s="638">
        <v>150</v>
      </c>
      <c r="L22" s="638">
        <v>171</v>
      </c>
      <c r="M22" s="638">
        <v>252</v>
      </c>
      <c r="N22" s="638">
        <v>299</v>
      </c>
      <c r="O22" s="638">
        <v>321</v>
      </c>
      <c r="P22" s="638">
        <v>313</v>
      </c>
      <c r="Q22" s="638">
        <v>328</v>
      </c>
      <c r="R22" s="638">
        <v>419</v>
      </c>
      <c r="S22" s="638">
        <v>496</v>
      </c>
      <c r="T22" s="638">
        <v>530</v>
      </c>
      <c r="U22" s="638">
        <v>472</v>
      </c>
      <c r="V22" s="638">
        <v>419</v>
      </c>
      <c r="W22" s="638">
        <v>390</v>
      </c>
      <c r="X22" s="638">
        <v>369</v>
      </c>
      <c r="Y22" s="638">
        <v>290</v>
      </c>
      <c r="Z22" s="641"/>
      <c r="AA22" s="639">
        <f t="shared" si="4"/>
        <v>6573</v>
      </c>
      <c r="AB22" s="59"/>
      <c r="AC22" s="671"/>
    </row>
    <row r="23" spans="1:29" ht="13.5" customHeight="1" x14ac:dyDescent="0.25">
      <c r="A23" s="5" t="s">
        <v>20</v>
      </c>
      <c r="B23" s="6">
        <v>230</v>
      </c>
      <c r="C23" s="638">
        <v>252</v>
      </c>
      <c r="D23" s="638">
        <v>181</v>
      </c>
      <c r="E23" s="638">
        <v>159</v>
      </c>
      <c r="F23" s="638">
        <v>116</v>
      </c>
      <c r="G23" s="638">
        <v>126</v>
      </c>
      <c r="H23" s="638">
        <v>81</v>
      </c>
      <c r="I23" s="638">
        <v>101</v>
      </c>
      <c r="J23" s="638">
        <v>108</v>
      </c>
      <c r="K23" s="638">
        <v>154</v>
      </c>
      <c r="L23" s="638">
        <v>185</v>
      </c>
      <c r="M23" s="638">
        <v>228</v>
      </c>
      <c r="N23" s="638">
        <v>291</v>
      </c>
      <c r="O23" s="638">
        <v>284</v>
      </c>
      <c r="P23" s="638">
        <v>322</v>
      </c>
      <c r="Q23" s="638">
        <v>309</v>
      </c>
      <c r="R23" s="638">
        <v>427</v>
      </c>
      <c r="S23" s="638">
        <v>488</v>
      </c>
      <c r="T23" s="638">
        <v>473</v>
      </c>
      <c r="U23" s="638">
        <v>448</v>
      </c>
      <c r="V23" s="638">
        <v>390</v>
      </c>
      <c r="W23" s="638">
        <v>350</v>
      </c>
      <c r="X23" s="638">
        <v>319</v>
      </c>
      <c r="Y23" s="638">
        <v>278</v>
      </c>
      <c r="Z23" s="641"/>
      <c r="AA23" s="639">
        <f t="shared" si="4"/>
        <v>6300</v>
      </c>
      <c r="AB23" s="7"/>
      <c r="AC23" s="671"/>
    </row>
    <row r="24" spans="1:29" ht="13.5" customHeight="1" x14ac:dyDescent="0.25">
      <c r="A24" s="30" t="s">
        <v>13</v>
      </c>
      <c r="B24" s="6">
        <v>246</v>
      </c>
      <c r="C24" s="638">
        <v>204</v>
      </c>
      <c r="D24" s="638">
        <v>178</v>
      </c>
      <c r="E24" s="638">
        <v>154</v>
      </c>
      <c r="F24" s="638">
        <v>137</v>
      </c>
      <c r="G24" s="638">
        <v>101</v>
      </c>
      <c r="H24" s="638">
        <v>86</v>
      </c>
      <c r="I24" s="638">
        <v>93</v>
      </c>
      <c r="J24" s="638">
        <v>127</v>
      </c>
      <c r="K24" s="638">
        <v>151</v>
      </c>
      <c r="L24" s="638">
        <v>199</v>
      </c>
      <c r="M24" s="638">
        <v>237</v>
      </c>
      <c r="N24" s="638">
        <v>253</v>
      </c>
      <c r="O24" s="638">
        <v>292</v>
      </c>
      <c r="P24" s="638">
        <v>269</v>
      </c>
      <c r="Q24" s="638">
        <v>329</v>
      </c>
      <c r="R24" s="638">
        <v>419</v>
      </c>
      <c r="S24" s="638">
        <v>479</v>
      </c>
      <c r="T24" s="638">
        <v>448</v>
      </c>
      <c r="U24" s="638">
        <v>453</v>
      </c>
      <c r="V24" s="638">
        <v>424</v>
      </c>
      <c r="W24" s="638">
        <v>342</v>
      </c>
      <c r="X24" s="638">
        <v>281</v>
      </c>
      <c r="Y24" s="638">
        <v>258</v>
      </c>
      <c r="Z24" s="641"/>
      <c r="AA24" s="639">
        <f t="shared" si="4"/>
        <v>6160</v>
      </c>
      <c r="AB24" s="7"/>
      <c r="AC24" s="671"/>
    </row>
    <row r="25" spans="1:29" ht="13.5" customHeight="1" x14ac:dyDescent="0.25">
      <c r="A25" s="30" t="s">
        <v>15</v>
      </c>
      <c r="B25" s="6">
        <v>218</v>
      </c>
      <c r="C25" s="638">
        <v>183</v>
      </c>
      <c r="D25" s="638">
        <v>161</v>
      </c>
      <c r="E25" s="638">
        <v>124</v>
      </c>
      <c r="F25" s="638">
        <v>97</v>
      </c>
      <c r="G25" s="638">
        <v>104</v>
      </c>
      <c r="H25" s="638">
        <v>77</v>
      </c>
      <c r="I25" s="638">
        <v>103</v>
      </c>
      <c r="J25" s="638">
        <v>125</v>
      </c>
      <c r="K25" s="638">
        <v>165</v>
      </c>
      <c r="L25" s="638">
        <v>182</v>
      </c>
      <c r="M25" s="638">
        <v>204</v>
      </c>
      <c r="N25" s="638">
        <v>223</v>
      </c>
      <c r="O25" s="638">
        <v>266</v>
      </c>
      <c r="P25" s="638">
        <v>280</v>
      </c>
      <c r="Q25" s="638">
        <v>326</v>
      </c>
      <c r="R25" s="638">
        <v>383</v>
      </c>
      <c r="S25" s="638">
        <v>487</v>
      </c>
      <c r="T25" s="638">
        <v>473</v>
      </c>
      <c r="U25" s="638">
        <v>412</v>
      </c>
      <c r="V25" s="638">
        <v>391</v>
      </c>
      <c r="W25" s="638">
        <v>310</v>
      </c>
      <c r="X25" s="638">
        <v>290</v>
      </c>
      <c r="Y25" s="638">
        <v>250</v>
      </c>
      <c r="Z25" s="641"/>
      <c r="AA25" s="639">
        <f t="shared" si="4"/>
        <v>5834</v>
      </c>
      <c r="AB25" s="7"/>
      <c r="AC25" s="671"/>
    </row>
    <row r="26" spans="1:29" ht="13.5" customHeight="1" x14ac:dyDescent="0.25">
      <c r="A26" s="10" t="s">
        <v>17</v>
      </c>
      <c r="B26" s="6">
        <v>164</v>
      </c>
      <c r="C26" s="638">
        <v>149</v>
      </c>
      <c r="D26" s="638">
        <v>135</v>
      </c>
      <c r="E26" s="638">
        <v>117</v>
      </c>
      <c r="F26" s="638">
        <v>107</v>
      </c>
      <c r="G26" s="638">
        <v>79</v>
      </c>
      <c r="H26" s="638">
        <v>82</v>
      </c>
      <c r="I26" s="638">
        <v>105</v>
      </c>
      <c r="J26" s="638">
        <v>102</v>
      </c>
      <c r="K26" s="638">
        <v>140</v>
      </c>
      <c r="L26" s="638">
        <v>172</v>
      </c>
      <c r="M26" s="638">
        <v>200</v>
      </c>
      <c r="N26" s="638">
        <v>252</v>
      </c>
      <c r="O26" s="638">
        <v>267</v>
      </c>
      <c r="P26" s="638">
        <v>263</v>
      </c>
      <c r="Q26" s="638">
        <v>298</v>
      </c>
      <c r="R26" s="638">
        <v>340</v>
      </c>
      <c r="S26" s="638">
        <v>454</v>
      </c>
      <c r="T26" s="638">
        <v>424</v>
      </c>
      <c r="U26" s="638">
        <v>365</v>
      </c>
      <c r="V26" s="638">
        <v>355</v>
      </c>
      <c r="W26" s="638">
        <v>288</v>
      </c>
      <c r="X26" s="638">
        <v>273</v>
      </c>
      <c r="Y26" s="638">
        <v>203</v>
      </c>
      <c r="Z26" s="641"/>
      <c r="AA26" s="639">
        <f t="shared" si="4"/>
        <v>5334</v>
      </c>
      <c r="AB26" s="7"/>
      <c r="AC26" s="671"/>
    </row>
    <row r="27" spans="1:29" ht="13.5" customHeight="1" x14ac:dyDescent="0.25">
      <c r="A27" s="10" t="s">
        <v>147</v>
      </c>
      <c r="B27" s="759">
        <v>200</v>
      </c>
      <c r="C27" s="760">
        <v>159</v>
      </c>
      <c r="D27" s="760">
        <v>122</v>
      </c>
      <c r="E27" s="760">
        <v>112</v>
      </c>
      <c r="F27" s="760">
        <v>113</v>
      </c>
      <c r="G27" s="760">
        <v>86</v>
      </c>
      <c r="H27" s="760">
        <v>87</v>
      </c>
      <c r="I27" s="760">
        <v>93</v>
      </c>
      <c r="J27" s="760">
        <v>124</v>
      </c>
      <c r="K27" s="760">
        <v>153</v>
      </c>
      <c r="L27" s="760">
        <v>205</v>
      </c>
      <c r="M27" s="760">
        <v>221</v>
      </c>
      <c r="N27" s="760">
        <v>277</v>
      </c>
      <c r="O27" s="760">
        <v>306</v>
      </c>
      <c r="P27" s="760">
        <v>296</v>
      </c>
      <c r="Q27" s="760">
        <v>320</v>
      </c>
      <c r="R27" s="760">
        <v>357</v>
      </c>
      <c r="S27" s="760">
        <v>434</v>
      </c>
      <c r="T27" s="760">
        <v>429</v>
      </c>
      <c r="U27" s="760">
        <v>415</v>
      </c>
      <c r="V27" s="760">
        <v>326</v>
      </c>
      <c r="W27" s="760">
        <v>295</v>
      </c>
      <c r="X27" s="760">
        <v>238</v>
      </c>
      <c r="Y27" s="760">
        <v>214</v>
      </c>
      <c r="Z27" s="818"/>
      <c r="AA27" s="639">
        <f t="shared" si="4"/>
        <v>5582</v>
      </c>
      <c r="AB27" s="7"/>
      <c r="AC27" s="671"/>
    </row>
    <row r="28" spans="1:29" ht="13.5" customHeight="1" x14ac:dyDescent="0.25">
      <c r="A28" s="10" t="s">
        <v>160</v>
      </c>
      <c r="B28" s="759">
        <f>'T24'!D5</f>
        <v>170</v>
      </c>
      <c r="C28" s="760">
        <f>'T24'!E5</f>
        <v>175</v>
      </c>
      <c r="D28" s="760">
        <f>'T24'!F5</f>
        <v>127</v>
      </c>
      <c r="E28" s="760">
        <f>'T24'!G5</f>
        <v>110</v>
      </c>
      <c r="F28" s="760">
        <f>'T24'!H5</f>
        <v>94</v>
      </c>
      <c r="G28" s="760">
        <f>'T24'!I5</f>
        <v>78</v>
      </c>
      <c r="H28" s="760">
        <f>'T24'!J5</f>
        <v>77</v>
      </c>
      <c r="I28" s="760">
        <f>'T24'!K5</f>
        <v>91</v>
      </c>
      <c r="J28" s="760">
        <f>'T24'!L5</f>
        <v>124</v>
      </c>
      <c r="K28" s="760">
        <f>'T24'!M5</f>
        <v>154</v>
      </c>
      <c r="L28" s="760">
        <f>'T24'!N5</f>
        <v>194</v>
      </c>
      <c r="M28" s="760">
        <f>'T24'!O5</f>
        <v>244</v>
      </c>
      <c r="N28" s="760">
        <f>'T24'!P5</f>
        <v>232</v>
      </c>
      <c r="O28" s="760">
        <f>'T24'!Q5</f>
        <v>321</v>
      </c>
      <c r="P28" s="760">
        <f>'T24'!R5</f>
        <v>315</v>
      </c>
      <c r="Q28" s="760">
        <f>'T24'!S5</f>
        <v>322</v>
      </c>
      <c r="R28" s="760">
        <f>'T24'!T5</f>
        <v>401</v>
      </c>
      <c r="S28" s="760">
        <f>'T24'!U5</f>
        <v>488</v>
      </c>
      <c r="T28" s="760">
        <f>'T24'!V5</f>
        <v>429</v>
      </c>
      <c r="U28" s="760">
        <f>'T24'!W5</f>
        <v>373</v>
      </c>
      <c r="V28" s="760">
        <f>'T24'!X5</f>
        <v>329</v>
      </c>
      <c r="W28" s="760">
        <f>'T24'!Y5</f>
        <v>332</v>
      </c>
      <c r="X28" s="760">
        <f>'T24'!Z5</f>
        <v>262</v>
      </c>
      <c r="Y28" s="760">
        <f>'T24'!AA5</f>
        <v>235</v>
      </c>
      <c r="Z28" s="1014"/>
      <c r="AA28" s="639">
        <f t="shared" si="4"/>
        <v>5677</v>
      </c>
      <c r="AB28" s="7"/>
      <c r="AC28" s="671"/>
    </row>
    <row r="29" spans="1:29" ht="13.5" customHeight="1" x14ac:dyDescent="0.25">
      <c r="A29" s="10" t="s">
        <v>379</v>
      </c>
      <c r="B29" s="759">
        <f>'T24'!D6</f>
        <v>201</v>
      </c>
      <c r="C29" s="760">
        <f>'T24'!E6</f>
        <v>168</v>
      </c>
      <c r="D29" s="760">
        <f>'T24'!F6</f>
        <v>133</v>
      </c>
      <c r="E29" s="760">
        <f>'T24'!G6</f>
        <v>104</v>
      </c>
      <c r="F29" s="760">
        <f>'T24'!H6</f>
        <v>79</v>
      </c>
      <c r="G29" s="760">
        <f>'T24'!I6</f>
        <v>77</v>
      </c>
      <c r="H29" s="760">
        <f>'T24'!J6</f>
        <v>82</v>
      </c>
      <c r="I29" s="760">
        <f>'T24'!K6</f>
        <v>109</v>
      </c>
      <c r="J29" s="760">
        <f>'T24'!L6</f>
        <v>135</v>
      </c>
      <c r="K29" s="760">
        <f>'T24'!M6</f>
        <v>157</v>
      </c>
      <c r="L29" s="760">
        <f>'T24'!N6</f>
        <v>194</v>
      </c>
      <c r="M29" s="760">
        <f>'T24'!O6</f>
        <v>241</v>
      </c>
      <c r="N29" s="760">
        <f>'T24'!P6</f>
        <v>243</v>
      </c>
      <c r="O29" s="760">
        <f>'T24'!Q6</f>
        <v>257</v>
      </c>
      <c r="P29" s="760">
        <f>'T24'!R6</f>
        <v>286</v>
      </c>
      <c r="Q29" s="760">
        <f>'T24'!S6</f>
        <v>254</v>
      </c>
      <c r="R29" s="760">
        <f>'T24'!T6</f>
        <v>380</v>
      </c>
      <c r="S29" s="760">
        <f>'T24'!U6</f>
        <v>471</v>
      </c>
      <c r="T29" s="760">
        <f>'T24'!V6</f>
        <v>433</v>
      </c>
      <c r="U29" s="760">
        <f>'T24'!W6</f>
        <v>408</v>
      </c>
      <c r="V29" s="760">
        <f>'T24'!X6</f>
        <v>333</v>
      </c>
      <c r="W29" s="760">
        <f>'T24'!Y6</f>
        <v>304</v>
      </c>
      <c r="X29" s="760">
        <f>'T24'!Z6</f>
        <v>265</v>
      </c>
      <c r="Y29" s="760">
        <f>'T24'!AA6</f>
        <v>234</v>
      </c>
      <c r="Z29" s="1014"/>
      <c r="AA29" s="639">
        <f t="shared" si="4"/>
        <v>5548</v>
      </c>
      <c r="AB29" s="7" t="s">
        <v>145</v>
      </c>
      <c r="AC29" s="671"/>
    </row>
    <row r="30" spans="1:29" ht="13.5" customHeight="1" x14ac:dyDescent="0.25">
      <c r="A30" s="1261" t="s">
        <v>603</v>
      </c>
      <c r="B30" s="761">
        <f>'T24'!D7</f>
        <v>188</v>
      </c>
      <c r="C30" s="762">
        <f>'T24'!E7</f>
        <v>145</v>
      </c>
      <c r="D30" s="762">
        <f>'T24'!F7</f>
        <v>132</v>
      </c>
      <c r="E30" s="762">
        <f>'T24'!G7</f>
        <v>99</v>
      </c>
      <c r="F30" s="762">
        <f>'T24'!H7</f>
        <v>99</v>
      </c>
      <c r="G30" s="762">
        <f>'T24'!I7</f>
        <v>69</v>
      </c>
      <c r="H30" s="762">
        <f>'T24'!J7</f>
        <v>64</v>
      </c>
      <c r="I30" s="762">
        <f>'T24'!K7</f>
        <v>98</v>
      </c>
      <c r="J30" s="762">
        <f>'T24'!L7</f>
        <v>135</v>
      </c>
      <c r="K30" s="762">
        <f>'T24'!M7</f>
        <v>144</v>
      </c>
      <c r="L30" s="762">
        <f>'T24'!N7</f>
        <v>175</v>
      </c>
      <c r="M30" s="762">
        <f>'T24'!O7</f>
        <v>209</v>
      </c>
      <c r="N30" s="762">
        <f>'T24'!P7</f>
        <v>239</v>
      </c>
      <c r="O30" s="762">
        <f>'T24'!Q7</f>
        <v>258</v>
      </c>
      <c r="P30" s="762">
        <f>'T24'!R7</f>
        <v>282</v>
      </c>
      <c r="Q30" s="762">
        <f>'T24'!S7</f>
        <v>304</v>
      </c>
      <c r="R30" s="762">
        <f>'T24'!T7</f>
        <v>347</v>
      </c>
      <c r="S30" s="762">
        <f>'T24'!U7</f>
        <v>460</v>
      </c>
      <c r="T30" s="762">
        <f>'T24'!V7</f>
        <v>402</v>
      </c>
      <c r="U30" s="762">
        <f>'T24'!W7</f>
        <v>349</v>
      </c>
      <c r="V30" s="762">
        <f>'T24'!X7</f>
        <v>352</v>
      </c>
      <c r="W30" s="762">
        <f>'T24'!Y7</f>
        <v>308</v>
      </c>
      <c r="X30" s="762">
        <f>'T24'!Z7</f>
        <v>248</v>
      </c>
      <c r="Y30" s="762">
        <f>'T24'!AA7</f>
        <v>204</v>
      </c>
      <c r="Z30" s="1015"/>
      <c r="AA30" s="640">
        <f t="shared" si="4"/>
        <v>5310</v>
      </c>
      <c r="AB30" s="7" t="s">
        <v>143</v>
      </c>
      <c r="AC30" s="671"/>
    </row>
    <row r="31" spans="1:29"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9"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8.75" customHeight="1" x14ac:dyDescent="0.2">
      <c r="A33" s="1761" t="s">
        <v>4</v>
      </c>
      <c r="B33" s="1661" t="s">
        <v>327</v>
      </c>
      <c r="C33" s="1677"/>
      <c r="D33" s="1677"/>
      <c r="E33" s="1677"/>
      <c r="F33" s="1677"/>
      <c r="G33" s="1677"/>
      <c r="H33" s="1677"/>
      <c r="I33" s="1677"/>
      <c r="J33" s="1677"/>
      <c r="K33" s="1677"/>
      <c r="L33" s="1677"/>
      <c r="M33" s="1677"/>
      <c r="N33" s="1677"/>
      <c r="O33" s="1677"/>
      <c r="P33" s="1677"/>
      <c r="Q33" s="1677"/>
      <c r="R33" s="1677"/>
      <c r="S33" s="1677"/>
      <c r="T33" s="1677"/>
      <c r="U33" s="1677"/>
      <c r="V33" s="1677"/>
      <c r="W33" s="1677"/>
      <c r="X33" s="1677"/>
      <c r="Y33" s="1677"/>
      <c r="Z33" s="1662"/>
      <c r="AA33" s="1759" t="s">
        <v>359</v>
      </c>
      <c r="AB33" s="1"/>
    </row>
    <row r="34" spans="1:28" ht="18.75" customHeight="1" x14ac:dyDescent="0.2">
      <c r="A34" s="1762"/>
      <c r="B34" s="1202" t="s">
        <v>331</v>
      </c>
      <c r="C34" s="1203" t="s">
        <v>303</v>
      </c>
      <c r="D34" s="1203" t="s">
        <v>304</v>
      </c>
      <c r="E34" s="1203" t="s">
        <v>305</v>
      </c>
      <c r="F34" s="1203" t="s">
        <v>306</v>
      </c>
      <c r="G34" s="1203" t="s">
        <v>307</v>
      </c>
      <c r="H34" s="1203" t="s">
        <v>308</v>
      </c>
      <c r="I34" s="1203" t="s">
        <v>309</v>
      </c>
      <c r="J34" s="1203" t="s">
        <v>310</v>
      </c>
      <c r="K34" s="1203" t="s">
        <v>311</v>
      </c>
      <c r="L34" s="1203" t="s">
        <v>312</v>
      </c>
      <c r="M34" s="1203" t="s">
        <v>313</v>
      </c>
      <c r="N34" s="1203" t="s">
        <v>344</v>
      </c>
      <c r="O34" s="1203" t="s">
        <v>314</v>
      </c>
      <c r="P34" s="1203" t="s">
        <v>315</v>
      </c>
      <c r="Q34" s="1203" t="s">
        <v>316</v>
      </c>
      <c r="R34" s="1203" t="s">
        <v>317</v>
      </c>
      <c r="S34" s="1203" t="s">
        <v>318</v>
      </c>
      <c r="T34" s="1203" t="s">
        <v>319</v>
      </c>
      <c r="U34" s="1203" t="s">
        <v>320</v>
      </c>
      <c r="V34" s="1203" t="s">
        <v>321</v>
      </c>
      <c r="W34" s="1203" t="s">
        <v>322</v>
      </c>
      <c r="X34" s="1203" t="s">
        <v>323</v>
      </c>
      <c r="Y34" s="1203" t="s">
        <v>324</v>
      </c>
      <c r="Z34" s="1204" t="s">
        <v>325</v>
      </c>
      <c r="AA34" s="1760"/>
      <c r="AB34" s="1"/>
    </row>
    <row r="35" spans="1:28" ht="18.75" customHeight="1" x14ac:dyDescent="0.2">
      <c r="A35" s="763" t="s">
        <v>16</v>
      </c>
      <c r="B35" s="93">
        <v>110</v>
      </c>
      <c r="C35" s="661">
        <v>99</v>
      </c>
      <c r="D35" s="661">
        <v>131</v>
      </c>
      <c r="E35" s="661">
        <v>88</v>
      </c>
      <c r="F35" s="661">
        <v>62</v>
      </c>
      <c r="G35" s="661">
        <v>59</v>
      </c>
      <c r="H35" s="661">
        <v>56</v>
      </c>
      <c r="I35" s="661">
        <v>86</v>
      </c>
      <c r="J35" s="661">
        <v>101</v>
      </c>
      <c r="K35" s="661">
        <v>106</v>
      </c>
      <c r="L35" s="661">
        <v>133</v>
      </c>
      <c r="M35" s="661">
        <v>127</v>
      </c>
      <c r="N35" s="661">
        <v>130</v>
      </c>
      <c r="O35" s="661">
        <v>118</v>
      </c>
      <c r="P35" s="661">
        <v>156</v>
      </c>
      <c r="Q35" s="661">
        <v>126</v>
      </c>
      <c r="R35" s="661">
        <v>158</v>
      </c>
      <c r="S35" s="661">
        <v>164</v>
      </c>
      <c r="T35" s="661">
        <v>156</v>
      </c>
      <c r="U35" s="661">
        <v>148</v>
      </c>
      <c r="V35" s="661">
        <v>191</v>
      </c>
      <c r="W35" s="661">
        <v>160</v>
      </c>
      <c r="X35" s="661">
        <v>136</v>
      </c>
      <c r="Y35" s="661">
        <v>122</v>
      </c>
      <c r="Z35" s="1013"/>
      <c r="AA35" s="662">
        <f>SUM(B35:Z35)</f>
        <v>2923</v>
      </c>
      <c r="AB35" s="776"/>
    </row>
    <row r="36" spans="1:28" ht="13.5" customHeight="1" x14ac:dyDescent="0.2">
      <c r="A36" s="764" t="s">
        <v>18</v>
      </c>
      <c r="B36" s="6">
        <v>88</v>
      </c>
      <c r="C36" s="638">
        <v>80</v>
      </c>
      <c r="D36" s="638">
        <v>76</v>
      </c>
      <c r="E36" s="638">
        <v>56</v>
      </c>
      <c r="F36" s="638">
        <v>90</v>
      </c>
      <c r="G36" s="638">
        <v>63</v>
      </c>
      <c r="H36" s="638">
        <v>59</v>
      </c>
      <c r="I36" s="638">
        <v>100</v>
      </c>
      <c r="J36" s="638">
        <v>84</v>
      </c>
      <c r="K36" s="638">
        <v>83</v>
      </c>
      <c r="L36" s="638">
        <v>115</v>
      </c>
      <c r="M36" s="638">
        <v>131</v>
      </c>
      <c r="N36" s="638">
        <v>97</v>
      </c>
      <c r="O36" s="638">
        <v>125</v>
      </c>
      <c r="P36" s="638">
        <v>90</v>
      </c>
      <c r="Q36" s="638">
        <v>162</v>
      </c>
      <c r="R36" s="638">
        <v>150</v>
      </c>
      <c r="S36" s="638">
        <v>167</v>
      </c>
      <c r="T36" s="638">
        <v>136</v>
      </c>
      <c r="U36" s="638">
        <v>169</v>
      </c>
      <c r="V36" s="638">
        <v>183</v>
      </c>
      <c r="W36" s="638">
        <v>147</v>
      </c>
      <c r="X36" s="638">
        <v>98</v>
      </c>
      <c r="Y36" s="638">
        <v>81</v>
      </c>
      <c r="Z36" s="641"/>
      <c r="AA36" s="639">
        <f t="shared" ref="AA36:AA45" si="5">SUM(B36:Z36)</f>
        <v>2630</v>
      </c>
      <c r="AB36" s="776"/>
    </row>
    <row r="37" spans="1:28" ht="13.5" customHeight="1" x14ac:dyDescent="0.2">
      <c r="A37" s="764" t="s">
        <v>19</v>
      </c>
      <c r="B37" s="6">
        <v>92</v>
      </c>
      <c r="C37" s="638">
        <v>104</v>
      </c>
      <c r="D37" s="638">
        <v>83</v>
      </c>
      <c r="E37" s="638">
        <v>81</v>
      </c>
      <c r="F37" s="638">
        <v>62</v>
      </c>
      <c r="G37" s="638">
        <v>56</v>
      </c>
      <c r="H37" s="638">
        <v>53</v>
      </c>
      <c r="I37" s="638">
        <v>86</v>
      </c>
      <c r="J37" s="638">
        <v>105</v>
      </c>
      <c r="K37" s="638">
        <v>110</v>
      </c>
      <c r="L37" s="638">
        <v>126</v>
      </c>
      <c r="M37" s="638">
        <v>132</v>
      </c>
      <c r="N37" s="638">
        <v>149</v>
      </c>
      <c r="O37" s="638">
        <v>165</v>
      </c>
      <c r="P37" s="638">
        <v>152</v>
      </c>
      <c r="Q37" s="638">
        <v>156</v>
      </c>
      <c r="R37" s="638">
        <v>153</v>
      </c>
      <c r="S37" s="638">
        <v>168</v>
      </c>
      <c r="T37" s="638">
        <v>184</v>
      </c>
      <c r="U37" s="638">
        <v>181</v>
      </c>
      <c r="V37" s="638">
        <v>190</v>
      </c>
      <c r="W37" s="638">
        <v>181</v>
      </c>
      <c r="X37" s="638">
        <v>125</v>
      </c>
      <c r="Y37" s="638">
        <v>114</v>
      </c>
      <c r="Z37" s="641"/>
      <c r="AA37" s="639">
        <f t="shared" si="5"/>
        <v>3008</v>
      </c>
      <c r="AB37" s="768"/>
    </row>
    <row r="38" spans="1:28" ht="13.5" customHeight="1" x14ac:dyDescent="0.2">
      <c r="A38" s="46" t="s">
        <v>20</v>
      </c>
      <c r="B38" s="6">
        <v>98</v>
      </c>
      <c r="C38" s="638">
        <v>88</v>
      </c>
      <c r="D38" s="638">
        <v>80</v>
      </c>
      <c r="E38" s="638">
        <v>55</v>
      </c>
      <c r="F38" s="638">
        <v>71</v>
      </c>
      <c r="G38" s="638">
        <v>49</v>
      </c>
      <c r="H38" s="638">
        <v>52</v>
      </c>
      <c r="I38" s="638">
        <v>59</v>
      </c>
      <c r="J38" s="638">
        <v>96</v>
      </c>
      <c r="K38" s="638">
        <v>122</v>
      </c>
      <c r="L38" s="638">
        <v>144</v>
      </c>
      <c r="M38" s="638">
        <v>161</v>
      </c>
      <c r="N38" s="638">
        <v>141</v>
      </c>
      <c r="O38" s="638">
        <v>139</v>
      </c>
      <c r="P38" s="638">
        <v>142</v>
      </c>
      <c r="Q38" s="638">
        <v>128</v>
      </c>
      <c r="R38" s="638">
        <v>132</v>
      </c>
      <c r="S38" s="638">
        <v>174</v>
      </c>
      <c r="T38" s="638">
        <v>172</v>
      </c>
      <c r="U38" s="638">
        <v>167</v>
      </c>
      <c r="V38" s="638">
        <v>196</v>
      </c>
      <c r="W38" s="638">
        <v>146</v>
      </c>
      <c r="X38" s="638">
        <v>111</v>
      </c>
      <c r="Y38" s="638">
        <v>115</v>
      </c>
      <c r="Z38" s="641"/>
      <c r="AA38" s="639">
        <f t="shared" si="5"/>
        <v>2838</v>
      </c>
      <c r="AB38" s="768"/>
    </row>
    <row r="39" spans="1:28" ht="13.5" customHeight="1" x14ac:dyDescent="0.2">
      <c r="A39" s="10" t="s">
        <v>13</v>
      </c>
      <c r="B39" s="6">
        <v>100</v>
      </c>
      <c r="C39" s="638">
        <v>73</v>
      </c>
      <c r="D39" s="638">
        <v>66</v>
      </c>
      <c r="E39" s="638">
        <v>81</v>
      </c>
      <c r="F39" s="638">
        <v>60</v>
      </c>
      <c r="G39" s="638">
        <v>46</v>
      </c>
      <c r="H39" s="638">
        <v>48</v>
      </c>
      <c r="I39" s="638">
        <v>68</v>
      </c>
      <c r="J39" s="638">
        <v>94</v>
      </c>
      <c r="K39" s="638">
        <v>117</v>
      </c>
      <c r="L39" s="638">
        <v>117</v>
      </c>
      <c r="M39" s="638">
        <v>119</v>
      </c>
      <c r="N39" s="638">
        <v>132</v>
      </c>
      <c r="O39" s="638">
        <v>143</v>
      </c>
      <c r="P39" s="638">
        <v>149</v>
      </c>
      <c r="Q39" s="638">
        <v>125</v>
      </c>
      <c r="R39" s="638">
        <v>154</v>
      </c>
      <c r="S39" s="638">
        <v>161</v>
      </c>
      <c r="T39" s="638">
        <v>163</v>
      </c>
      <c r="U39" s="638">
        <v>183</v>
      </c>
      <c r="V39" s="638">
        <v>130</v>
      </c>
      <c r="W39" s="638">
        <v>149</v>
      </c>
      <c r="X39" s="638">
        <v>121</v>
      </c>
      <c r="Y39" s="638">
        <v>118</v>
      </c>
      <c r="Z39" s="641"/>
      <c r="AA39" s="639">
        <f t="shared" si="5"/>
        <v>2717</v>
      </c>
      <c r="AB39" s="768"/>
    </row>
    <row r="40" spans="1:28" ht="13.5" customHeight="1" x14ac:dyDescent="0.2">
      <c r="A40" s="10" t="s">
        <v>15</v>
      </c>
      <c r="B40" s="6">
        <v>72</v>
      </c>
      <c r="C40" s="638">
        <v>63</v>
      </c>
      <c r="D40" s="638">
        <v>71</v>
      </c>
      <c r="E40" s="638">
        <v>66</v>
      </c>
      <c r="F40" s="638">
        <v>56</v>
      </c>
      <c r="G40" s="638">
        <v>42</v>
      </c>
      <c r="H40" s="638">
        <v>48</v>
      </c>
      <c r="I40" s="638">
        <v>51</v>
      </c>
      <c r="J40" s="638">
        <v>101</v>
      </c>
      <c r="K40" s="638">
        <v>89</v>
      </c>
      <c r="L40" s="638">
        <v>93</v>
      </c>
      <c r="M40" s="638">
        <v>110</v>
      </c>
      <c r="N40" s="638">
        <v>136</v>
      </c>
      <c r="O40" s="638">
        <v>139</v>
      </c>
      <c r="P40" s="638">
        <v>131</v>
      </c>
      <c r="Q40" s="638">
        <v>133</v>
      </c>
      <c r="R40" s="638">
        <v>139</v>
      </c>
      <c r="S40" s="638">
        <v>123</v>
      </c>
      <c r="T40" s="638">
        <v>120</v>
      </c>
      <c r="U40" s="638">
        <v>146</v>
      </c>
      <c r="V40" s="638">
        <v>141</v>
      </c>
      <c r="W40" s="638">
        <v>124</v>
      </c>
      <c r="X40" s="638">
        <v>97</v>
      </c>
      <c r="Y40" s="638">
        <v>95</v>
      </c>
      <c r="Z40" s="641"/>
      <c r="AA40" s="639">
        <f t="shared" si="5"/>
        <v>2386</v>
      </c>
      <c r="AB40" s="768"/>
    </row>
    <row r="41" spans="1:28" ht="13.5" customHeight="1" x14ac:dyDescent="0.2">
      <c r="A41" s="10" t="s">
        <v>17</v>
      </c>
      <c r="B41" s="6">
        <v>78</v>
      </c>
      <c r="C41" s="638">
        <v>72</v>
      </c>
      <c r="D41" s="638">
        <v>60</v>
      </c>
      <c r="E41" s="638">
        <v>57</v>
      </c>
      <c r="F41" s="638">
        <v>44</v>
      </c>
      <c r="G41" s="638">
        <v>39</v>
      </c>
      <c r="H41" s="638">
        <v>43</v>
      </c>
      <c r="I41" s="638">
        <v>54</v>
      </c>
      <c r="J41" s="638">
        <v>91</v>
      </c>
      <c r="K41" s="638">
        <v>113</v>
      </c>
      <c r="L41" s="638">
        <v>115</v>
      </c>
      <c r="M41" s="638">
        <v>112</v>
      </c>
      <c r="N41" s="638">
        <v>133</v>
      </c>
      <c r="O41" s="638">
        <v>137</v>
      </c>
      <c r="P41" s="638">
        <v>116</v>
      </c>
      <c r="Q41" s="638">
        <v>129</v>
      </c>
      <c r="R41" s="638">
        <v>117</v>
      </c>
      <c r="S41" s="638">
        <v>121</v>
      </c>
      <c r="T41" s="638">
        <v>131</v>
      </c>
      <c r="U41" s="638">
        <v>138</v>
      </c>
      <c r="V41" s="638">
        <v>156</v>
      </c>
      <c r="W41" s="638">
        <v>115</v>
      </c>
      <c r="X41" s="638">
        <v>104</v>
      </c>
      <c r="Y41" s="638">
        <v>78</v>
      </c>
      <c r="Z41" s="818"/>
      <c r="AA41" s="639">
        <f t="shared" si="5"/>
        <v>2353</v>
      </c>
      <c r="AB41" s="768"/>
    </row>
    <row r="42" spans="1:28" ht="13.5" customHeight="1" x14ac:dyDescent="0.2">
      <c r="A42" s="10" t="s">
        <v>147</v>
      </c>
      <c r="B42" s="759">
        <v>102</v>
      </c>
      <c r="C42" s="760">
        <v>72</v>
      </c>
      <c r="D42" s="760">
        <v>85</v>
      </c>
      <c r="E42" s="760">
        <v>67</v>
      </c>
      <c r="F42" s="760">
        <v>48</v>
      </c>
      <c r="G42" s="760">
        <v>43</v>
      </c>
      <c r="H42" s="760">
        <v>47</v>
      </c>
      <c r="I42" s="760">
        <v>58</v>
      </c>
      <c r="J42" s="760">
        <v>77</v>
      </c>
      <c r="K42" s="760">
        <v>118</v>
      </c>
      <c r="L42" s="760">
        <v>112</v>
      </c>
      <c r="M42" s="760">
        <v>116</v>
      </c>
      <c r="N42" s="760">
        <v>114</v>
      </c>
      <c r="O42" s="760">
        <v>113</v>
      </c>
      <c r="P42" s="760">
        <v>111</v>
      </c>
      <c r="Q42" s="760">
        <v>118</v>
      </c>
      <c r="R42" s="760">
        <v>117</v>
      </c>
      <c r="S42" s="760">
        <v>127</v>
      </c>
      <c r="T42" s="760">
        <v>125</v>
      </c>
      <c r="U42" s="760">
        <v>110</v>
      </c>
      <c r="V42" s="760">
        <v>148</v>
      </c>
      <c r="W42" s="760">
        <v>135</v>
      </c>
      <c r="X42" s="760">
        <v>88</v>
      </c>
      <c r="Y42" s="760">
        <v>75</v>
      </c>
      <c r="Z42" s="1014"/>
      <c r="AA42" s="639">
        <f t="shared" si="5"/>
        <v>2326</v>
      </c>
      <c r="AB42" s="768"/>
    </row>
    <row r="43" spans="1:28" ht="13.5" customHeight="1" x14ac:dyDescent="0.2">
      <c r="A43" s="244" t="s">
        <v>160</v>
      </c>
      <c r="B43" s="759">
        <f>'T24'!D8</f>
        <v>85</v>
      </c>
      <c r="C43" s="760">
        <f>'T24'!E8</f>
        <v>79</v>
      </c>
      <c r="D43" s="760">
        <f>'T24'!F8</f>
        <v>62</v>
      </c>
      <c r="E43" s="760">
        <f>'T24'!G8</f>
        <v>53</v>
      </c>
      <c r="F43" s="760">
        <f>'T24'!H8</f>
        <v>41</v>
      </c>
      <c r="G43" s="760">
        <f>'T24'!I8</f>
        <v>43</v>
      </c>
      <c r="H43" s="760">
        <f>'T24'!J8</f>
        <v>51</v>
      </c>
      <c r="I43" s="760">
        <f>'T24'!K8</f>
        <v>70</v>
      </c>
      <c r="J43" s="760">
        <f>'T24'!L8</f>
        <v>106</v>
      </c>
      <c r="K43" s="760">
        <f>'T24'!M8</f>
        <v>118</v>
      </c>
      <c r="L43" s="760">
        <f>'T24'!N8</f>
        <v>116</v>
      </c>
      <c r="M43" s="760">
        <f>'T24'!O8</f>
        <v>138</v>
      </c>
      <c r="N43" s="760">
        <f>'T24'!P8</f>
        <v>144</v>
      </c>
      <c r="O43" s="760">
        <f>'T24'!Q8</f>
        <v>132</v>
      </c>
      <c r="P43" s="760">
        <f>'T24'!R8</f>
        <v>123</v>
      </c>
      <c r="Q43" s="760">
        <f>'T24'!S8</f>
        <v>146</v>
      </c>
      <c r="R43" s="760">
        <f>'T24'!T8</f>
        <v>150</v>
      </c>
      <c r="S43" s="760">
        <f>'T24'!U8</f>
        <v>142</v>
      </c>
      <c r="T43" s="760">
        <f>'T24'!V8</f>
        <v>114</v>
      </c>
      <c r="U43" s="760">
        <f>'T24'!W8</f>
        <v>134</v>
      </c>
      <c r="V43" s="760">
        <f>'T24'!X8</f>
        <v>127</v>
      </c>
      <c r="W43" s="760">
        <f>'T24'!Y8</f>
        <v>134</v>
      </c>
      <c r="X43" s="760">
        <f>'T24'!Z8</f>
        <v>104</v>
      </c>
      <c r="Y43" s="760">
        <f>'T24'!AA8</f>
        <v>85</v>
      </c>
      <c r="Z43" s="1014"/>
      <c r="AA43" s="639">
        <f t="shared" si="5"/>
        <v>2497</v>
      </c>
      <c r="AB43" s="768"/>
    </row>
    <row r="44" spans="1:28" ht="13.5" customHeight="1" x14ac:dyDescent="0.2">
      <c r="A44" s="244" t="s">
        <v>379</v>
      </c>
      <c r="B44" s="759">
        <f>'T24'!D9</f>
        <v>64</v>
      </c>
      <c r="C44" s="760">
        <f>'T24'!E9</f>
        <v>56</v>
      </c>
      <c r="D44" s="760">
        <f>'T24'!F9</f>
        <v>60</v>
      </c>
      <c r="E44" s="760">
        <f>'T24'!G9</f>
        <v>39</v>
      </c>
      <c r="F44" s="760">
        <f>'T24'!H9</f>
        <v>45</v>
      </c>
      <c r="G44" s="760">
        <f>'T24'!I9</f>
        <v>51</v>
      </c>
      <c r="H44" s="760">
        <f>'T24'!J9</f>
        <v>31</v>
      </c>
      <c r="I44" s="760">
        <f>'T24'!K9</f>
        <v>64</v>
      </c>
      <c r="J44" s="760">
        <f>'T24'!L9</f>
        <v>94</v>
      </c>
      <c r="K44" s="760">
        <f>'T24'!M9</f>
        <v>95</v>
      </c>
      <c r="L44" s="760">
        <f>'T24'!N9</f>
        <v>113</v>
      </c>
      <c r="M44" s="760">
        <f>'T24'!O9</f>
        <v>114</v>
      </c>
      <c r="N44" s="760">
        <f>'T24'!P9</f>
        <v>128</v>
      </c>
      <c r="O44" s="760">
        <f>'T24'!Q9</f>
        <v>129</v>
      </c>
      <c r="P44" s="760">
        <f>'T24'!R9</f>
        <v>126</v>
      </c>
      <c r="Q44" s="760">
        <f>'T24'!S9</f>
        <v>128</v>
      </c>
      <c r="R44" s="760">
        <f>'T24'!T9</f>
        <v>144</v>
      </c>
      <c r="S44" s="760">
        <f>'T24'!U9</f>
        <v>118</v>
      </c>
      <c r="T44" s="760">
        <f>'T24'!V9</f>
        <v>148</v>
      </c>
      <c r="U44" s="760">
        <f>'T24'!W9</f>
        <v>131</v>
      </c>
      <c r="V44" s="760">
        <f>'T24'!X9</f>
        <v>138</v>
      </c>
      <c r="W44" s="760">
        <f>'T24'!Y9</f>
        <v>86</v>
      </c>
      <c r="X44" s="760">
        <f>'T24'!Z9</f>
        <v>79</v>
      </c>
      <c r="Y44" s="760">
        <f>'T24'!AA9</f>
        <v>98</v>
      </c>
      <c r="Z44" s="1014"/>
      <c r="AA44" s="639">
        <f t="shared" si="5"/>
        <v>2279</v>
      </c>
      <c r="AB44" s="768" t="s">
        <v>145</v>
      </c>
    </row>
    <row r="45" spans="1:28" ht="13.5" customHeight="1" x14ac:dyDescent="0.2">
      <c r="A45" s="470" t="s">
        <v>603</v>
      </c>
      <c r="B45" s="761">
        <f>'T24'!D10</f>
        <v>65</v>
      </c>
      <c r="C45" s="762">
        <f>'T24'!E10</f>
        <v>70</v>
      </c>
      <c r="D45" s="762">
        <f>'T24'!F10</f>
        <v>52</v>
      </c>
      <c r="E45" s="762">
        <f>'T24'!G10</f>
        <v>63</v>
      </c>
      <c r="F45" s="762">
        <f>'T24'!H10</f>
        <v>32</v>
      </c>
      <c r="G45" s="762">
        <f>'T24'!I10</f>
        <v>44</v>
      </c>
      <c r="H45" s="762">
        <f>'T24'!J10</f>
        <v>45</v>
      </c>
      <c r="I45" s="762">
        <f>'T24'!K10</f>
        <v>67</v>
      </c>
      <c r="J45" s="762">
        <f>'T24'!L10</f>
        <v>78</v>
      </c>
      <c r="K45" s="762">
        <f>'T24'!M10</f>
        <v>127</v>
      </c>
      <c r="L45" s="762">
        <f>'T24'!N10</f>
        <v>98</v>
      </c>
      <c r="M45" s="762">
        <f>'T24'!O10</f>
        <v>113</v>
      </c>
      <c r="N45" s="762">
        <f>'T24'!P10</f>
        <v>120</v>
      </c>
      <c r="O45" s="762">
        <f>'T24'!Q10</f>
        <v>123</v>
      </c>
      <c r="P45" s="762">
        <f>'T24'!R10</f>
        <v>122</v>
      </c>
      <c r="Q45" s="762">
        <f>'T24'!S10</f>
        <v>136</v>
      </c>
      <c r="R45" s="762">
        <f>'T24'!T10</f>
        <v>113</v>
      </c>
      <c r="S45" s="762">
        <f>'T24'!U10</f>
        <v>126</v>
      </c>
      <c r="T45" s="762">
        <f>'T24'!V10</f>
        <v>135</v>
      </c>
      <c r="U45" s="762">
        <f>'T24'!W10</f>
        <v>136</v>
      </c>
      <c r="V45" s="762">
        <f>'T24'!X10</f>
        <v>126</v>
      </c>
      <c r="W45" s="762">
        <f>'T24'!Y10</f>
        <v>113</v>
      </c>
      <c r="X45" s="762">
        <f>'T24'!Z10</f>
        <v>96</v>
      </c>
      <c r="Y45" s="762">
        <f>'T24'!AA10</f>
        <v>81</v>
      </c>
      <c r="Z45" s="1015"/>
      <c r="AA45" s="640">
        <f t="shared" si="5"/>
        <v>2281</v>
      </c>
      <c r="AB45" s="768" t="s">
        <v>143</v>
      </c>
    </row>
    <row r="46" spans="1:28"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75" customHeight="1" x14ac:dyDescent="0.2">
      <c r="A48" s="1761" t="s">
        <v>4</v>
      </c>
      <c r="B48" s="1661" t="s">
        <v>328</v>
      </c>
      <c r="C48" s="1677"/>
      <c r="D48" s="1677"/>
      <c r="E48" s="1677"/>
      <c r="F48" s="1677"/>
      <c r="G48" s="1677"/>
      <c r="H48" s="1677"/>
      <c r="I48" s="1677"/>
      <c r="J48" s="1677"/>
      <c r="K48" s="1677"/>
      <c r="L48" s="1677"/>
      <c r="M48" s="1677"/>
      <c r="N48" s="1677"/>
      <c r="O48" s="1677"/>
      <c r="P48" s="1677"/>
      <c r="Q48" s="1677"/>
      <c r="R48" s="1677"/>
      <c r="S48" s="1677"/>
      <c r="T48" s="1677"/>
      <c r="U48" s="1677"/>
      <c r="V48" s="1677"/>
      <c r="W48" s="1677"/>
      <c r="X48" s="1677"/>
      <c r="Y48" s="1677"/>
      <c r="Z48" s="1662"/>
      <c r="AA48" s="1682" t="s">
        <v>360</v>
      </c>
      <c r="AB48" s="1"/>
    </row>
    <row r="49" spans="1:28" ht="18.75" customHeight="1" x14ac:dyDescent="0.2">
      <c r="A49" s="1762"/>
      <c r="B49" s="1202" t="s">
        <v>331</v>
      </c>
      <c r="C49" s="1203" t="s">
        <v>303</v>
      </c>
      <c r="D49" s="1203" t="s">
        <v>304</v>
      </c>
      <c r="E49" s="1203" t="s">
        <v>305</v>
      </c>
      <c r="F49" s="1203" t="s">
        <v>306</v>
      </c>
      <c r="G49" s="1203" t="s">
        <v>307</v>
      </c>
      <c r="H49" s="1203" t="s">
        <v>308</v>
      </c>
      <c r="I49" s="1203" t="s">
        <v>309</v>
      </c>
      <c r="J49" s="1203" t="s">
        <v>310</v>
      </c>
      <c r="K49" s="1203" t="s">
        <v>311</v>
      </c>
      <c r="L49" s="1203" t="s">
        <v>312</v>
      </c>
      <c r="M49" s="1203" t="s">
        <v>313</v>
      </c>
      <c r="N49" s="1203" t="s">
        <v>344</v>
      </c>
      <c r="O49" s="1203" t="s">
        <v>314</v>
      </c>
      <c r="P49" s="1203" t="s">
        <v>315</v>
      </c>
      <c r="Q49" s="1203" t="s">
        <v>316</v>
      </c>
      <c r="R49" s="1203" t="s">
        <v>317</v>
      </c>
      <c r="S49" s="1203" t="s">
        <v>318</v>
      </c>
      <c r="T49" s="1203" t="s">
        <v>319</v>
      </c>
      <c r="U49" s="1203" t="s">
        <v>320</v>
      </c>
      <c r="V49" s="1203" t="s">
        <v>321</v>
      </c>
      <c r="W49" s="1203" t="s">
        <v>322</v>
      </c>
      <c r="X49" s="1203" t="s">
        <v>323</v>
      </c>
      <c r="Y49" s="1203" t="s">
        <v>324</v>
      </c>
      <c r="Z49" s="1204" t="s">
        <v>325</v>
      </c>
      <c r="AA49" s="1683"/>
      <c r="AB49" s="1"/>
    </row>
    <row r="50" spans="1:28" ht="18.75" customHeight="1" x14ac:dyDescent="0.2">
      <c r="A50" s="763" t="s">
        <v>16</v>
      </c>
      <c r="B50" s="93">
        <v>228</v>
      </c>
      <c r="C50" s="661">
        <v>233</v>
      </c>
      <c r="D50" s="661">
        <v>199</v>
      </c>
      <c r="E50" s="661">
        <v>189</v>
      </c>
      <c r="F50" s="661">
        <v>175</v>
      </c>
      <c r="G50" s="661">
        <v>119</v>
      </c>
      <c r="H50" s="661">
        <v>64</v>
      </c>
      <c r="I50" s="661">
        <v>101</v>
      </c>
      <c r="J50" s="661">
        <v>47</v>
      </c>
      <c r="K50" s="661">
        <v>107</v>
      </c>
      <c r="L50" s="661">
        <v>65</v>
      </c>
      <c r="M50" s="661">
        <v>98</v>
      </c>
      <c r="N50" s="661">
        <v>136</v>
      </c>
      <c r="O50" s="661">
        <v>116</v>
      </c>
      <c r="P50" s="661">
        <v>141</v>
      </c>
      <c r="Q50" s="661">
        <v>153</v>
      </c>
      <c r="R50" s="661">
        <v>180</v>
      </c>
      <c r="S50" s="661">
        <v>132</v>
      </c>
      <c r="T50" s="661">
        <v>178</v>
      </c>
      <c r="U50" s="661">
        <v>190</v>
      </c>
      <c r="V50" s="661">
        <v>303</v>
      </c>
      <c r="W50" s="661">
        <v>274</v>
      </c>
      <c r="X50" s="661">
        <v>269</v>
      </c>
      <c r="Y50" s="661">
        <v>329</v>
      </c>
      <c r="Z50" s="1013"/>
      <c r="AA50" s="662">
        <f>SUM(B50:Z50)</f>
        <v>4026</v>
      </c>
      <c r="AB50" s="59"/>
    </row>
    <row r="51" spans="1:28" ht="13.5" customHeight="1" x14ac:dyDescent="0.2">
      <c r="A51" s="764" t="s">
        <v>18</v>
      </c>
      <c r="B51" s="6">
        <v>256</v>
      </c>
      <c r="C51" s="638">
        <v>221</v>
      </c>
      <c r="D51" s="638">
        <v>236</v>
      </c>
      <c r="E51" s="638">
        <v>207</v>
      </c>
      <c r="F51" s="638">
        <v>183</v>
      </c>
      <c r="G51" s="638">
        <v>100</v>
      </c>
      <c r="H51" s="638">
        <v>87</v>
      </c>
      <c r="I51" s="638">
        <v>87</v>
      </c>
      <c r="J51" s="638">
        <v>39</v>
      </c>
      <c r="K51" s="638">
        <v>48</v>
      </c>
      <c r="L51" s="638">
        <v>87</v>
      </c>
      <c r="M51" s="638">
        <v>103</v>
      </c>
      <c r="N51" s="638">
        <v>112</v>
      </c>
      <c r="O51" s="638">
        <v>109</v>
      </c>
      <c r="P51" s="638">
        <v>149</v>
      </c>
      <c r="Q51" s="638">
        <v>137</v>
      </c>
      <c r="R51" s="638">
        <v>119</v>
      </c>
      <c r="S51" s="638">
        <v>139</v>
      </c>
      <c r="T51" s="638">
        <v>215</v>
      </c>
      <c r="U51" s="638">
        <v>194</v>
      </c>
      <c r="V51" s="638">
        <v>205</v>
      </c>
      <c r="W51" s="638">
        <v>294</v>
      </c>
      <c r="X51" s="638">
        <v>240</v>
      </c>
      <c r="Y51" s="638">
        <v>274</v>
      </c>
      <c r="Z51" s="641"/>
      <c r="AA51" s="639">
        <f t="shared" ref="AA51:AA60" si="6">SUM(B51:Z51)</f>
        <v>3841</v>
      </c>
      <c r="AB51" s="59"/>
    </row>
    <row r="52" spans="1:28" ht="13.5" customHeight="1" x14ac:dyDescent="0.2">
      <c r="A52" s="764" t="s">
        <v>19</v>
      </c>
      <c r="B52" s="6">
        <v>271</v>
      </c>
      <c r="C52" s="638">
        <v>220</v>
      </c>
      <c r="D52" s="638">
        <v>236</v>
      </c>
      <c r="E52" s="638" t="s">
        <v>56</v>
      </c>
      <c r="F52" s="638">
        <v>168</v>
      </c>
      <c r="G52" s="638">
        <v>97</v>
      </c>
      <c r="H52" s="638">
        <v>73</v>
      </c>
      <c r="I52" s="638">
        <v>86</v>
      </c>
      <c r="J52" s="638">
        <v>80</v>
      </c>
      <c r="K52" s="638">
        <v>88</v>
      </c>
      <c r="L52" s="638">
        <v>95</v>
      </c>
      <c r="M52" s="638">
        <v>115</v>
      </c>
      <c r="N52" s="638">
        <v>131</v>
      </c>
      <c r="O52" s="638">
        <v>165</v>
      </c>
      <c r="P52" s="638">
        <v>180</v>
      </c>
      <c r="Q52" s="638">
        <v>186</v>
      </c>
      <c r="R52" s="638">
        <v>172</v>
      </c>
      <c r="S52" s="638">
        <v>187</v>
      </c>
      <c r="T52" s="638">
        <v>229</v>
      </c>
      <c r="U52" s="638">
        <v>288</v>
      </c>
      <c r="V52" s="638">
        <v>299</v>
      </c>
      <c r="W52" s="638">
        <v>325</v>
      </c>
      <c r="X52" s="638">
        <v>295</v>
      </c>
      <c r="Y52" s="638">
        <v>280</v>
      </c>
      <c r="Z52" s="641"/>
      <c r="AA52" s="639">
        <f t="shared" si="6"/>
        <v>4266</v>
      </c>
      <c r="AB52" s="59"/>
    </row>
    <row r="53" spans="1:28" ht="13.5" customHeight="1" x14ac:dyDescent="0.2">
      <c r="A53" s="46" t="s">
        <v>20</v>
      </c>
      <c r="B53" s="6">
        <v>250</v>
      </c>
      <c r="C53" s="638">
        <v>198</v>
      </c>
      <c r="D53" s="638">
        <v>196</v>
      </c>
      <c r="E53" s="642">
        <v>177</v>
      </c>
      <c r="F53" s="638">
        <v>124</v>
      </c>
      <c r="G53" s="638">
        <v>107</v>
      </c>
      <c r="H53" s="638">
        <v>67</v>
      </c>
      <c r="I53" s="638">
        <v>88</v>
      </c>
      <c r="J53" s="638">
        <v>83</v>
      </c>
      <c r="K53" s="638">
        <v>94</v>
      </c>
      <c r="L53" s="638">
        <v>93</v>
      </c>
      <c r="M53" s="638">
        <v>117</v>
      </c>
      <c r="N53" s="638">
        <v>120</v>
      </c>
      <c r="O53" s="638">
        <v>131</v>
      </c>
      <c r="P53" s="638">
        <v>154</v>
      </c>
      <c r="Q53" s="638">
        <v>148</v>
      </c>
      <c r="R53" s="638">
        <v>186</v>
      </c>
      <c r="S53" s="638">
        <v>228</v>
      </c>
      <c r="T53" s="638">
        <v>214</v>
      </c>
      <c r="U53" s="638">
        <v>220</v>
      </c>
      <c r="V53" s="638">
        <v>289</v>
      </c>
      <c r="W53" s="638">
        <v>286</v>
      </c>
      <c r="X53" s="638">
        <v>255</v>
      </c>
      <c r="Y53" s="638">
        <v>235</v>
      </c>
      <c r="Z53" s="641"/>
      <c r="AA53" s="639">
        <f t="shared" si="6"/>
        <v>4060</v>
      </c>
      <c r="AB53" s="59"/>
    </row>
    <row r="54" spans="1:28" ht="13.5" customHeight="1" x14ac:dyDescent="0.2">
      <c r="A54" s="10" t="s">
        <v>13</v>
      </c>
      <c r="B54" s="6">
        <v>206</v>
      </c>
      <c r="C54" s="638">
        <v>212</v>
      </c>
      <c r="D54" s="638">
        <v>172</v>
      </c>
      <c r="E54" s="638">
        <v>143</v>
      </c>
      <c r="F54" s="638">
        <v>101</v>
      </c>
      <c r="G54" s="638">
        <v>78</v>
      </c>
      <c r="H54" s="638">
        <v>86</v>
      </c>
      <c r="I54" s="638">
        <v>75</v>
      </c>
      <c r="J54" s="638">
        <v>85</v>
      </c>
      <c r="K54" s="638">
        <v>63</v>
      </c>
      <c r="L54" s="638">
        <v>73</v>
      </c>
      <c r="M54" s="638">
        <v>100</v>
      </c>
      <c r="N54" s="638">
        <v>121</v>
      </c>
      <c r="O54" s="638">
        <v>133</v>
      </c>
      <c r="P54" s="638">
        <v>127</v>
      </c>
      <c r="Q54" s="638">
        <v>150</v>
      </c>
      <c r="R54" s="638">
        <v>146</v>
      </c>
      <c r="S54" s="638">
        <v>180</v>
      </c>
      <c r="T54" s="638">
        <v>192</v>
      </c>
      <c r="U54" s="638">
        <v>205</v>
      </c>
      <c r="V54" s="638">
        <v>220</v>
      </c>
      <c r="W54" s="638">
        <v>245</v>
      </c>
      <c r="X54" s="638">
        <v>208</v>
      </c>
      <c r="Y54" s="638">
        <v>216</v>
      </c>
      <c r="Z54" s="641"/>
      <c r="AA54" s="639">
        <f t="shared" si="6"/>
        <v>3537</v>
      </c>
      <c r="AB54" s="7"/>
    </row>
    <row r="55" spans="1:28" ht="13.5" customHeight="1" x14ac:dyDescent="0.2">
      <c r="A55" s="10" t="s">
        <v>15</v>
      </c>
      <c r="B55" s="6">
        <v>152</v>
      </c>
      <c r="C55" s="638">
        <v>147</v>
      </c>
      <c r="D55" s="638">
        <v>104</v>
      </c>
      <c r="E55" s="638">
        <v>93</v>
      </c>
      <c r="F55" s="638">
        <v>84</v>
      </c>
      <c r="G55" s="638">
        <v>67</v>
      </c>
      <c r="H55" s="638">
        <v>60</v>
      </c>
      <c r="I55" s="638">
        <v>70</v>
      </c>
      <c r="J55" s="638">
        <v>84</v>
      </c>
      <c r="K55" s="638">
        <v>84</v>
      </c>
      <c r="L55" s="638">
        <v>77</v>
      </c>
      <c r="M55" s="638">
        <v>85</v>
      </c>
      <c r="N55" s="638">
        <v>106</v>
      </c>
      <c r="O55" s="638">
        <v>125</v>
      </c>
      <c r="P55" s="638">
        <v>122</v>
      </c>
      <c r="Q55" s="638">
        <v>145</v>
      </c>
      <c r="R55" s="638">
        <v>143</v>
      </c>
      <c r="S55" s="638">
        <v>133</v>
      </c>
      <c r="T55" s="638">
        <v>141</v>
      </c>
      <c r="U55" s="638">
        <v>169</v>
      </c>
      <c r="V55" s="638">
        <v>168</v>
      </c>
      <c r="W55" s="638">
        <v>164</v>
      </c>
      <c r="X55" s="638">
        <v>163</v>
      </c>
      <c r="Y55" s="638">
        <v>162</v>
      </c>
      <c r="Z55" s="641"/>
      <c r="AA55" s="639">
        <f t="shared" si="6"/>
        <v>2848</v>
      </c>
      <c r="AB55" s="7"/>
    </row>
    <row r="56" spans="1:28" ht="13.5" customHeight="1" x14ac:dyDescent="0.2">
      <c r="A56" s="10" t="s">
        <v>17</v>
      </c>
      <c r="B56" s="6">
        <v>132</v>
      </c>
      <c r="C56" s="638">
        <v>126</v>
      </c>
      <c r="D56" s="638">
        <v>114</v>
      </c>
      <c r="E56" s="638">
        <v>90</v>
      </c>
      <c r="F56" s="638">
        <v>60</v>
      </c>
      <c r="G56" s="638">
        <v>65</v>
      </c>
      <c r="H56" s="638">
        <v>56</v>
      </c>
      <c r="I56" s="638">
        <v>67</v>
      </c>
      <c r="J56" s="638">
        <v>81</v>
      </c>
      <c r="K56" s="638">
        <v>81</v>
      </c>
      <c r="L56" s="638">
        <v>83</v>
      </c>
      <c r="M56" s="638">
        <v>82</v>
      </c>
      <c r="N56" s="638">
        <v>106</v>
      </c>
      <c r="O56" s="638">
        <v>108</v>
      </c>
      <c r="P56" s="638">
        <v>130</v>
      </c>
      <c r="Q56" s="638">
        <v>155</v>
      </c>
      <c r="R56" s="638">
        <v>161</v>
      </c>
      <c r="S56" s="638">
        <v>201</v>
      </c>
      <c r="T56" s="638">
        <v>154</v>
      </c>
      <c r="U56" s="638">
        <v>177</v>
      </c>
      <c r="V56" s="638">
        <v>189</v>
      </c>
      <c r="W56" s="638">
        <v>160</v>
      </c>
      <c r="X56" s="638">
        <v>140</v>
      </c>
      <c r="Y56" s="638">
        <v>134</v>
      </c>
      <c r="Z56" s="641"/>
      <c r="AA56" s="639">
        <f t="shared" si="6"/>
        <v>2852</v>
      </c>
      <c r="AB56" s="7"/>
    </row>
    <row r="57" spans="1:28" ht="13.5" customHeight="1" x14ac:dyDescent="0.2">
      <c r="A57" s="10" t="s">
        <v>147</v>
      </c>
      <c r="B57" s="400">
        <v>142</v>
      </c>
      <c r="C57">
        <v>151</v>
      </c>
      <c r="D57">
        <v>117</v>
      </c>
      <c r="E57">
        <v>92</v>
      </c>
      <c r="F57">
        <v>79</v>
      </c>
      <c r="G57">
        <v>46</v>
      </c>
      <c r="H57">
        <v>55</v>
      </c>
      <c r="I57">
        <v>63</v>
      </c>
      <c r="J57">
        <v>82</v>
      </c>
      <c r="K57">
        <v>52</v>
      </c>
      <c r="L57">
        <v>79</v>
      </c>
      <c r="M57">
        <v>103</v>
      </c>
      <c r="N57">
        <v>91</v>
      </c>
      <c r="O57">
        <v>111</v>
      </c>
      <c r="P57">
        <v>110</v>
      </c>
      <c r="Q57">
        <v>147</v>
      </c>
      <c r="R57">
        <v>127</v>
      </c>
      <c r="S57">
        <v>156</v>
      </c>
      <c r="T57">
        <v>171</v>
      </c>
      <c r="U57">
        <v>168</v>
      </c>
      <c r="V57">
        <v>141</v>
      </c>
      <c r="W57">
        <v>168</v>
      </c>
      <c r="X57">
        <v>132</v>
      </c>
      <c r="Y57">
        <v>152</v>
      </c>
      <c r="Z57" s="641"/>
      <c r="AA57" s="639">
        <f t="shared" si="6"/>
        <v>2735</v>
      </c>
      <c r="AB57" s="7"/>
    </row>
    <row r="58" spans="1:28" ht="13.5" customHeight="1" x14ac:dyDescent="0.2">
      <c r="A58" s="244" t="s">
        <v>160</v>
      </c>
      <c r="B58" s="793">
        <f>'T24'!D11</f>
        <v>141</v>
      </c>
      <c r="C58" s="794">
        <f>'T24'!E11</f>
        <v>119</v>
      </c>
      <c r="D58" s="794">
        <f>'T24'!F11</f>
        <v>117</v>
      </c>
      <c r="E58" s="794">
        <f>'T24'!G11</f>
        <v>69</v>
      </c>
      <c r="F58" s="794">
        <f>'T24'!H11</f>
        <v>77</v>
      </c>
      <c r="G58" s="794">
        <f>'T24'!I11</f>
        <v>67</v>
      </c>
      <c r="H58" s="794">
        <f>'T24'!J11</f>
        <v>46</v>
      </c>
      <c r="I58" s="794">
        <f>'T24'!K11</f>
        <v>54</v>
      </c>
      <c r="J58" s="794">
        <f>'T24'!L11</f>
        <v>67</v>
      </c>
      <c r="K58" s="794">
        <f>'T24'!M11</f>
        <v>76</v>
      </c>
      <c r="L58" s="794">
        <f>'T24'!N11</f>
        <v>77</v>
      </c>
      <c r="M58" s="794">
        <f>'T24'!O11</f>
        <v>82</v>
      </c>
      <c r="N58" s="794">
        <f>'T24'!P11</f>
        <v>108</v>
      </c>
      <c r="O58" s="794">
        <f>'T24'!Q11</f>
        <v>124</v>
      </c>
      <c r="P58" s="794">
        <f>'T24'!R11</f>
        <v>120</v>
      </c>
      <c r="Q58" s="794">
        <f>'T24'!S11</f>
        <v>145</v>
      </c>
      <c r="R58" s="794">
        <f>'T24'!T11</f>
        <v>152</v>
      </c>
      <c r="S58" s="794">
        <f>'T24'!U11</f>
        <v>156</v>
      </c>
      <c r="T58" s="794">
        <f>'T24'!V11</f>
        <v>172</v>
      </c>
      <c r="U58" s="794">
        <f>'T24'!W11</f>
        <v>187</v>
      </c>
      <c r="V58" s="794">
        <f>'T24'!X11</f>
        <v>181</v>
      </c>
      <c r="W58" s="794">
        <f>'T24'!Y11</f>
        <v>184</v>
      </c>
      <c r="X58" s="794">
        <f>'T24'!Z11</f>
        <v>177</v>
      </c>
      <c r="Y58" s="794">
        <f>'T24'!AA11</f>
        <v>141</v>
      </c>
      <c r="Z58" s="818"/>
      <c r="AA58" s="639">
        <f t="shared" si="6"/>
        <v>2839</v>
      </c>
      <c r="AB58" s="7"/>
    </row>
    <row r="59" spans="1:28" ht="13.5" customHeight="1" x14ac:dyDescent="0.2">
      <c r="A59" s="244" t="s">
        <v>379</v>
      </c>
      <c r="B59" s="793">
        <f>'T24'!D12</f>
        <v>135</v>
      </c>
      <c r="C59" s="794">
        <f>'T24'!E12</f>
        <v>130</v>
      </c>
      <c r="D59" s="794">
        <f>'T24'!F12</f>
        <v>121</v>
      </c>
      <c r="E59" s="794">
        <f>'T24'!G12</f>
        <v>113</v>
      </c>
      <c r="F59" s="794">
        <f>'T24'!H12</f>
        <v>90</v>
      </c>
      <c r="G59" s="794">
        <f>'T24'!I12</f>
        <v>63</v>
      </c>
      <c r="H59" s="794">
        <f>'T24'!J12</f>
        <v>58</v>
      </c>
      <c r="I59" s="794">
        <f>'T24'!K12</f>
        <v>63</v>
      </c>
      <c r="J59" s="794">
        <f>'T24'!L12</f>
        <v>87</v>
      </c>
      <c r="K59" s="794">
        <f>'T24'!M12</f>
        <v>56</v>
      </c>
      <c r="L59" s="794">
        <f>'T24'!N12</f>
        <v>91</v>
      </c>
      <c r="M59" s="794">
        <f>'T24'!O12</f>
        <v>109</v>
      </c>
      <c r="N59" s="794">
        <f>'T24'!P12</f>
        <v>109</v>
      </c>
      <c r="O59" s="794">
        <f>'T24'!Q12</f>
        <v>109</v>
      </c>
      <c r="P59" s="794">
        <f>'T24'!R12</f>
        <v>136</v>
      </c>
      <c r="Q59" s="794">
        <f>'T24'!S12</f>
        <v>149</v>
      </c>
      <c r="R59" s="794">
        <f>'T24'!T12</f>
        <v>166</v>
      </c>
      <c r="S59" s="794">
        <f>'T24'!U12</f>
        <v>156</v>
      </c>
      <c r="T59" s="794">
        <f>'T24'!V12</f>
        <v>208</v>
      </c>
      <c r="U59" s="794">
        <f>'T24'!W12</f>
        <v>192</v>
      </c>
      <c r="V59" s="794">
        <f>'T24'!X12</f>
        <v>207</v>
      </c>
      <c r="W59" s="794">
        <f>'T24'!Y12</f>
        <v>184</v>
      </c>
      <c r="X59" s="794">
        <f>'T24'!Z12</f>
        <v>166</v>
      </c>
      <c r="Y59" s="794">
        <f>'T24'!AA12</f>
        <v>179</v>
      </c>
      <c r="Z59" s="818"/>
      <c r="AA59" s="639">
        <f t="shared" si="6"/>
        <v>3077</v>
      </c>
      <c r="AB59" s="7" t="s">
        <v>145</v>
      </c>
    </row>
    <row r="60" spans="1:28" ht="13.5" customHeight="1" x14ac:dyDescent="0.2">
      <c r="A60" s="470" t="s">
        <v>603</v>
      </c>
      <c r="B60" s="795">
        <f>'T24'!D13</f>
        <v>143</v>
      </c>
      <c r="C60" s="796">
        <f>'T24'!E13</f>
        <v>159</v>
      </c>
      <c r="D60" s="796">
        <f>'T24'!F13</f>
        <v>116</v>
      </c>
      <c r="E60" s="796">
        <f>'T24'!G13</f>
        <v>80</v>
      </c>
      <c r="F60" s="796">
        <f>'T24'!H13</f>
        <v>70</v>
      </c>
      <c r="G60" s="796">
        <f>'T24'!I13</f>
        <v>66</v>
      </c>
      <c r="H60" s="796">
        <f>'T24'!J13</f>
        <v>55</v>
      </c>
      <c r="I60" s="796">
        <f>'T24'!K13</f>
        <v>69</v>
      </c>
      <c r="J60" s="796">
        <f>'T24'!L13</f>
        <v>77</v>
      </c>
      <c r="K60" s="796">
        <f>'T24'!M13</f>
        <v>73</v>
      </c>
      <c r="L60" s="796">
        <f>'T24'!N13</f>
        <v>82</v>
      </c>
      <c r="M60" s="796">
        <f>'T24'!O13</f>
        <v>111</v>
      </c>
      <c r="N60" s="796">
        <f>'T24'!P13</f>
        <v>98</v>
      </c>
      <c r="O60" s="796">
        <f>'T24'!Q13</f>
        <v>106</v>
      </c>
      <c r="P60" s="796">
        <f>'T24'!R13</f>
        <v>152</v>
      </c>
      <c r="Q60" s="796">
        <f>'T24'!S13</f>
        <v>128</v>
      </c>
      <c r="R60" s="796">
        <f>'T24'!T13</f>
        <v>158</v>
      </c>
      <c r="S60" s="796">
        <f>'T24'!U13</f>
        <v>175</v>
      </c>
      <c r="T60" s="796">
        <f>'T24'!V13</f>
        <v>194</v>
      </c>
      <c r="U60" s="796">
        <f>'T24'!W13</f>
        <v>222</v>
      </c>
      <c r="V60" s="796">
        <f>'T24'!X13</f>
        <v>209</v>
      </c>
      <c r="W60" s="796">
        <f>'T24'!Y13</f>
        <v>175</v>
      </c>
      <c r="X60" s="796">
        <f>'T24'!Z13</f>
        <v>173</v>
      </c>
      <c r="Y60" s="796">
        <f>'T24'!AA13</f>
        <v>172</v>
      </c>
      <c r="Z60" s="820"/>
      <c r="AA60" s="640">
        <f t="shared" si="6"/>
        <v>3063</v>
      </c>
      <c r="AB60" s="7" t="s">
        <v>143</v>
      </c>
    </row>
    <row r="61" spans="1:28" x14ac:dyDescent="0.2">
      <c r="A61" s="1"/>
      <c r="AA61" s="7"/>
      <c r="AB61" s="1"/>
    </row>
    <row r="62" spans="1:28" x14ac:dyDescent="0.2">
      <c r="A62" s="13" t="s">
        <v>162</v>
      </c>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3.5" customHeight="1" x14ac:dyDescent="0.2">
      <c r="A63" s="71" t="s">
        <v>967</v>
      </c>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3.5" customHeight="1" x14ac:dyDescent="0.2">
      <c r="A64" s="71" t="s">
        <v>968</v>
      </c>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3.5" customHeight="1" x14ac:dyDescent="0.2">
      <c r="A65" s="1" t="s">
        <v>1046</v>
      </c>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3.5" customHeight="1" x14ac:dyDescent="0.2">
      <c r="A66" s="1" t="s">
        <v>1051</v>
      </c>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3.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x14ac:dyDescent="0.2">
      <c r="A68" s="386" t="s">
        <v>169</v>
      </c>
      <c r="AB68" s="1"/>
    </row>
    <row r="69" spans="1:28" x14ac:dyDescent="0.2">
      <c r="AB69" s="1"/>
    </row>
    <row r="70" spans="1:28" x14ac:dyDescent="0.2">
      <c r="AB70" s="1"/>
    </row>
    <row r="71" spans="1:28" x14ac:dyDescent="0.2">
      <c r="AB71" s="1"/>
    </row>
    <row r="72" spans="1:28" x14ac:dyDescent="0.2">
      <c r="AB72" s="1"/>
    </row>
    <row r="73" spans="1:28" ht="13.5" customHeight="1" x14ac:dyDescent="0.2">
      <c r="AB73" s="1"/>
    </row>
    <row r="74" spans="1:28" x14ac:dyDescent="0.2">
      <c r="AB74" s="1"/>
    </row>
    <row r="75" spans="1:28" x14ac:dyDescent="0.2">
      <c r="AB75" s="1"/>
    </row>
    <row r="76" spans="1:28" x14ac:dyDescent="0.2">
      <c r="AB76" s="1"/>
    </row>
    <row r="77" spans="1:28" ht="13.5" customHeight="1" x14ac:dyDescent="0.2">
      <c r="AB77" s="1"/>
    </row>
    <row r="78" spans="1:28" ht="13.5" customHeight="1" x14ac:dyDescent="0.2">
      <c r="AB78" s="1"/>
    </row>
    <row r="79" spans="1:28" ht="13.5" customHeight="1" x14ac:dyDescent="0.2">
      <c r="AB79" s="1"/>
    </row>
    <row r="80" spans="1:28" x14ac:dyDescent="0.2">
      <c r="AB80" s="1"/>
    </row>
    <row r="81" spans="28:28" x14ac:dyDescent="0.2">
      <c r="AB81" s="1"/>
    </row>
    <row r="82" spans="28:28" x14ac:dyDescent="0.2">
      <c r="AB82" s="1"/>
    </row>
    <row r="83" spans="28:28" x14ac:dyDescent="0.2">
      <c r="AB83" s="1"/>
    </row>
    <row r="84" spans="28:28" x14ac:dyDescent="0.2">
      <c r="AB84" s="1"/>
    </row>
    <row r="85" spans="28:28" x14ac:dyDescent="0.2">
      <c r="AB85" s="1"/>
    </row>
    <row r="86" spans="28:28" x14ac:dyDescent="0.2">
      <c r="AB86" s="1"/>
    </row>
    <row r="87" spans="28:28" x14ac:dyDescent="0.2">
      <c r="AB87" s="1"/>
    </row>
    <row r="88" spans="28:28" x14ac:dyDescent="0.2">
      <c r="AB88" s="1"/>
    </row>
    <row r="89" spans="28:28" x14ac:dyDescent="0.2">
      <c r="AB89" s="1"/>
    </row>
    <row r="90" spans="28:28" x14ac:dyDescent="0.2">
      <c r="AB90" s="1"/>
    </row>
    <row r="91" spans="28:28" x14ac:dyDescent="0.2">
      <c r="AB91" s="1"/>
    </row>
    <row r="92" spans="28:28" ht="13.5" customHeight="1" x14ac:dyDescent="0.2">
      <c r="AB92" s="1"/>
    </row>
    <row r="93" spans="28:28" ht="22.5" customHeight="1" x14ac:dyDescent="0.2">
      <c r="AB93" s="1"/>
    </row>
  </sheetData>
  <sheetProtection algorithmName="SHA-512" hashValue="/Xhsuznp8AaMLWyQKvBe9OIl1T0L8PLu0euZQOkZlRFG1U2GJbcNul14oFgsyghPAUsDrRn+vh6hUhno5BBOoA==" saltValue="OTmvBpUG0TY5iByq5X1Idg==" spinCount="100000" sheet="1" objects="1" scenarios="1"/>
  <mergeCells count="13">
    <mergeCell ref="A1:J1"/>
    <mergeCell ref="AA3:AA4"/>
    <mergeCell ref="AA18:AA19"/>
    <mergeCell ref="AA33:AA34"/>
    <mergeCell ref="AA48:AA49"/>
    <mergeCell ref="B3:Z3"/>
    <mergeCell ref="B18:Z18"/>
    <mergeCell ref="B33:Z33"/>
    <mergeCell ref="B48:Z48"/>
    <mergeCell ref="A48:A49"/>
    <mergeCell ref="A33:A34"/>
    <mergeCell ref="A18:A19"/>
    <mergeCell ref="A3:A4"/>
  </mergeCells>
  <hyperlinks>
    <hyperlink ref="A68" location="Contents!A1" display="Return to contents" xr:uid="{00000000-0004-0000-6000-000000000000}"/>
  </hyperlinks>
  <pageMargins left="0.7" right="0.7" top="0.75" bottom="0.75" header="0.3" footer="0.3"/>
  <pageSetup paperSize="9" scale="50" orientation="landscape" r:id="rId1"/>
  <colBreaks count="1" manualBreakCount="1">
    <brk id="27" max="88"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47">
    <tabColor theme="4"/>
    <pageSetUpPr fitToPage="1"/>
  </sheetPr>
  <dimension ref="A1:AB78"/>
  <sheetViews>
    <sheetView showGridLines="0" zoomScaleNormal="100" workbookViewId="0">
      <selection sqref="A1:L1"/>
    </sheetView>
  </sheetViews>
  <sheetFormatPr defaultRowHeight="12.75" x14ac:dyDescent="0.2"/>
  <cols>
    <col min="1" max="1" width="10.140625" customWidth="1"/>
    <col min="26" max="26" width="11.85546875" customWidth="1"/>
    <col min="27" max="27" width="15.5703125" customWidth="1"/>
  </cols>
  <sheetData>
    <row r="1" spans="1:28" ht="37.5" customHeight="1" x14ac:dyDescent="0.2">
      <c r="A1" s="1655" t="s">
        <v>649</v>
      </c>
      <c r="B1" s="1655"/>
      <c r="C1" s="1655"/>
      <c r="D1" s="1655"/>
      <c r="E1" s="1655"/>
      <c r="F1" s="1655"/>
      <c r="G1" s="1655"/>
      <c r="H1" s="1655"/>
      <c r="I1" s="1655"/>
      <c r="J1" s="1655"/>
      <c r="K1" s="1655"/>
      <c r="L1" s="1655"/>
      <c r="M1" s="1"/>
      <c r="N1" s="1"/>
      <c r="O1" s="1"/>
      <c r="P1" s="1"/>
      <c r="Q1" s="1"/>
      <c r="R1" s="1"/>
      <c r="S1" s="1"/>
      <c r="T1" s="1"/>
      <c r="U1" s="1"/>
      <c r="V1" s="1"/>
      <c r="W1" s="1"/>
      <c r="X1" s="1"/>
      <c r="Y1" s="1"/>
      <c r="Z1" s="1"/>
      <c r="AA1" s="1"/>
      <c r="AB1" s="1"/>
    </row>
    <row r="2" spans="1:28" ht="15" x14ac:dyDescent="0.25">
      <c r="A2" s="636"/>
      <c r="B2" s="1"/>
      <c r="C2" s="1"/>
      <c r="D2" s="1"/>
      <c r="E2" s="1"/>
      <c r="F2" s="1"/>
      <c r="G2" s="1"/>
      <c r="H2" s="1"/>
      <c r="I2" s="1"/>
      <c r="J2" s="1"/>
      <c r="K2" s="1"/>
      <c r="L2" s="1"/>
      <c r="M2" s="1"/>
      <c r="N2" s="1"/>
      <c r="O2" s="1"/>
      <c r="P2" s="1"/>
      <c r="Q2" s="1"/>
      <c r="R2" s="1"/>
      <c r="S2" s="1"/>
      <c r="T2" s="1"/>
      <c r="U2" s="1"/>
      <c r="V2" s="1"/>
      <c r="W2" s="1"/>
      <c r="X2" s="1"/>
      <c r="Y2" s="1"/>
      <c r="Z2" s="1"/>
      <c r="AA2" s="253" t="s">
        <v>0</v>
      </c>
      <c r="AB2" s="1"/>
    </row>
    <row r="3" spans="1:28" ht="18.75" customHeight="1" x14ac:dyDescent="0.2">
      <c r="A3" s="1761" t="s">
        <v>4</v>
      </c>
      <c r="B3" s="1661" t="s">
        <v>362</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62"/>
      <c r="AA3" s="1682" t="s">
        <v>361</v>
      </c>
      <c r="AB3" s="1"/>
    </row>
    <row r="4" spans="1:28" ht="18.75" customHeight="1" x14ac:dyDescent="0.2">
      <c r="A4" s="1763"/>
      <c r="B4" s="1202" t="s">
        <v>331</v>
      </c>
      <c r="C4" s="1203" t="s">
        <v>303</v>
      </c>
      <c r="D4" s="1203" t="s">
        <v>304</v>
      </c>
      <c r="E4" s="1203" t="s">
        <v>305</v>
      </c>
      <c r="F4" s="1203" t="s">
        <v>306</v>
      </c>
      <c r="G4" s="1203" t="s">
        <v>307</v>
      </c>
      <c r="H4" s="1203" t="s">
        <v>308</v>
      </c>
      <c r="I4" s="1203" t="s">
        <v>309</v>
      </c>
      <c r="J4" s="1203" t="s">
        <v>310</v>
      </c>
      <c r="K4" s="1203" t="s">
        <v>311</v>
      </c>
      <c r="L4" s="1203" t="s">
        <v>312</v>
      </c>
      <c r="M4" s="1203" t="s">
        <v>313</v>
      </c>
      <c r="N4" s="1203" t="s">
        <v>344</v>
      </c>
      <c r="O4" s="1203" t="s">
        <v>314</v>
      </c>
      <c r="P4" s="1203" t="s">
        <v>315</v>
      </c>
      <c r="Q4" s="1203" t="s">
        <v>316</v>
      </c>
      <c r="R4" s="1203" t="s">
        <v>317</v>
      </c>
      <c r="S4" s="1203" t="s">
        <v>318</v>
      </c>
      <c r="T4" s="1203" t="s">
        <v>319</v>
      </c>
      <c r="U4" s="1203" t="s">
        <v>320</v>
      </c>
      <c r="V4" s="1203" t="s">
        <v>321</v>
      </c>
      <c r="W4" s="1203" t="s">
        <v>322</v>
      </c>
      <c r="X4" s="1203" t="s">
        <v>323</v>
      </c>
      <c r="Y4" s="1203" t="s">
        <v>324</v>
      </c>
      <c r="Z4" s="1204" t="s">
        <v>228</v>
      </c>
      <c r="AA4" s="1683"/>
      <c r="AB4" s="65"/>
    </row>
    <row r="5" spans="1:28" ht="18.75" customHeight="1" x14ac:dyDescent="0.2">
      <c r="A5" s="663" t="s">
        <v>16</v>
      </c>
      <c r="B5" s="523">
        <v>2</v>
      </c>
      <c r="C5" s="815">
        <v>5</v>
      </c>
      <c r="D5" s="815">
        <v>4</v>
      </c>
      <c r="E5" s="815">
        <v>1</v>
      </c>
      <c r="F5" s="815">
        <v>3</v>
      </c>
      <c r="G5" s="815">
        <v>1</v>
      </c>
      <c r="H5" s="815">
        <v>1</v>
      </c>
      <c r="I5" s="815">
        <v>5</v>
      </c>
      <c r="J5" s="815">
        <v>2</v>
      </c>
      <c r="K5" s="815">
        <v>3</v>
      </c>
      <c r="L5" s="815">
        <v>2</v>
      </c>
      <c r="M5" s="815">
        <v>0</v>
      </c>
      <c r="N5" s="815">
        <v>1</v>
      </c>
      <c r="O5" s="816">
        <v>5</v>
      </c>
      <c r="P5" s="815">
        <v>1</v>
      </c>
      <c r="Q5" s="815">
        <v>3</v>
      </c>
      <c r="R5" s="815">
        <v>3</v>
      </c>
      <c r="S5" s="815">
        <v>2</v>
      </c>
      <c r="T5" s="815">
        <v>5</v>
      </c>
      <c r="U5" s="815">
        <v>1</v>
      </c>
      <c r="V5" s="815">
        <v>4</v>
      </c>
      <c r="W5" s="815">
        <v>0</v>
      </c>
      <c r="X5" s="815">
        <v>1</v>
      </c>
      <c r="Y5" s="815">
        <v>3</v>
      </c>
      <c r="Z5" s="979"/>
      <c r="AA5" s="664">
        <f>SUM(B5:Z5)</f>
        <v>58</v>
      </c>
      <c r="AB5" s="7"/>
    </row>
    <row r="6" spans="1:28" ht="13.5" customHeight="1" x14ac:dyDescent="0.2">
      <c r="A6" s="644" t="s">
        <v>18</v>
      </c>
      <c r="B6" s="519">
        <v>1</v>
      </c>
      <c r="C6" s="817">
        <v>0</v>
      </c>
      <c r="D6" s="817">
        <v>3</v>
      </c>
      <c r="E6" s="818">
        <v>3</v>
      </c>
      <c r="F6" s="817">
        <v>5</v>
      </c>
      <c r="G6" s="817">
        <v>3</v>
      </c>
      <c r="H6" s="817">
        <v>1</v>
      </c>
      <c r="I6" s="817">
        <v>5</v>
      </c>
      <c r="J6" s="817">
        <v>2</v>
      </c>
      <c r="K6" s="817">
        <v>0</v>
      </c>
      <c r="L6" s="818">
        <v>1</v>
      </c>
      <c r="M6" s="818">
        <v>1</v>
      </c>
      <c r="N6" s="817">
        <v>3</v>
      </c>
      <c r="O6" s="817">
        <v>1</v>
      </c>
      <c r="P6" s="817">
        <v>2</v>
      </c>
      <c r="Q6" s="817">
        <v>3</v>
      </c>
      <c r="R6" s="817">
        <v>4</v>
      </c>
      <c r="S6" s="817">
        <v>1</v>
      </c>
      <c r="T6" s="817">
        <v>2</v>
      </c>
      <c r="U6" s="817">
        <v>4</v>
      </c>
      <c r="V6" s="817">
        <v>4</v>
      </c>
      <c r="W6" s="817">
        <v>3</v>
      </c>
      <c r="X6" s="818">
        <v>2</v>
      </c>
      <c r="Y6" s="817">
        <v>0</v>
      </c>
      <c r="Z6" s="507"/>
      <c r="AA6" s="643">
        <f t="shared" ref="AA6:AA15" si="0">SUM(B6:Z6)</f>
        <v>54</v>
      </c>
      <c r="AB6" s="7"/>
    </row>
    <row r="7" spans="1:28" ht="13.5" customHeight="1" x14ac:dyDescent="0.2">
      <c r="A7" s="644" t="s">
        <v>19</v>
      </c>
      <c r="B7" s="519">
        <v>4</v>
      </c>
      <c r="C7" s="817">
        <v>4</v>
      </c>
      <c r="D7" s="817">
        <v>7</v>
      </c>
      <c r="E7" s="817">
        <v>3</v>
      </c>
      <c r="F7" s="817">
        <v>3</v>
      </c>
      <c r="G7" s="817">
        <v>1</v>
      </c>
      <c r="H7" s="817">
        <v>1</v>
      </c>
      <c r="I7" s="817">
        <v>0</v>
      </c>
      <c r="J7" s="817">
        <v>2</v>
      </c>
      <c r="K7" s="817">
        <v>0</v>
      </c>
      <c r="L7" s="817">
        <v>0</v>
      </c>
      <c r="M7" s="817">
        <v>3</v>
      </c>
      <c r="N7" s="817">
        <v>0</v>
      </c>
      <c r="O7" s="817">
        <v>2</v>
      </c>
      <c r="P7" s="818">
        <v>0</v>
      </c>
      <c r="Q7" s="817">
        <v>0</v>
      </c>
      <c r="R7" s="818">
        <v>4</v>
      </c>
      <c r="S7" s="817">
        <v>2</v>
      </c>
      <c r="T7" s="817">
        <v>8</v>
      </c>
      <c r="U7" s="817">
        <v>3</v>
      </c>
      <c r="V7" s="818">
        <v>0</v>
      </c>
      <c r="W7" s="817">
        <v>0</v>
      </c>
      <c r="X7" s="817">
        <v>5</v>
      </c>
      <c r="Y7" s="817">
        <v>1</v>
      </c>
      <c r="Z7" s="507"/>
      <c r="AA7" s="643">
        <f t="shared" si="0"/>
        <v>53</v>
      </c>
      <c r="AB7" s="7"/>
    </row>
    <row r="8" spans="1:28" ht="13.5" customHeight="1" x14ac:dyDescent="0.2">
      <c r="A8" s="5" t="s">
        <v>20</v>
      </c>
      <c r="B8" s="519">
        <v>1</v>
      </c>
      <c r="C8" s="817">
        <v>5</v>
      </c>
      <c r="D8" s="817">
        <v>2</v>
      </c>
      <c r="E8" s="817">
        <v>5</v>
      </c>
      <c r="F8" s="817">
        <v>2</v>
      </c>
      <c r="G8" s="817">
        <v>3</v>
      </c>
      <c r="H8" s="817">
        <v>3</v>
      </c>
      <c r="I8" s="817">
        <v>2</v>
      </c>
      <c r="J8" s="817">
        <v>1</v>
      </c>
      <c r="K8" s="817">
        <v>0</v>
      </c>
      <c r="L8" s="817">
        <v>2</v>
      </c>
      <c r="M8" s="818">
        <v>1</v>
      </c>
      <c r="N8" s="817">
        <v>1</v>
      </c>
      <c r="O8" s="817">
        <v>2</v>
      </c>
      <c r="P8" s="817">
        <v>2</v>
      </c>
      <c r="Q8" s="817">
        <v>1</v>
      </c>
      <c r="R8" s="817">
        <v>1</v>
      </c>
      <c r="S8" s="817">
        <v>3</v>
      </c>
      <c r="T8" s="817">
        <v>0</v>
      </c>
      <c r="U8" s="817">
        <v>0</v>
      </c>
      <c r="V8" s="817">
        <v>1</v>
      </c>
      <c r="W8" s="817">
        <v>1</v>
      </c>
      <c r="X8" s="817">
        <v>1</v>
      </c>
      <c r="Y8" s="818">
        <v>5</v>
      </c>
      <c r="Z8" s="507"/>
      <c r="AA8" s="643">
        <f t="shared" si="0"/>
        <v>45</v>
      </c>
      <c r="AB8" s="7"/>
    </row>
    <row r="9" spans="1:28" ht="13.5" customHeight="1" x14ac:dyDescent="0.2">
      <c r="A9" s="30" t="s">
        <v>13</v>
      </c>
      <c r="B9" s="519">
        <v>1</v>
      </c>
      <c r="C9" s="817">
        <v>2</v>
      </c>
      <c r="D9" s="817">
        <v>4</v>
      </c>
      <c r="E9" s="817">
        <v>3</v>
      </c>
      <c r="F9" s="817">
        <v>2</v>
      </c>
      <c r="G9" s="817">
        <v>3</v>
      </c>
      <c r="H9" s="817">
        <v>1</v>
      </c>
      <c r="I9" s="817">
        <v>2</v>
      </c>
      <c r="J9" s="817">
        <v>2</v>
      </c>
      <c r="K9" s="817">
        <v>0</v>
      </c>
      <c r="L9" s="817">
        <v>3</v>
      </c>
      <c r="M9" s="818">
        <v>3</v>
      </c>
      <c r="N9" s="817">
        <v>4</v>
      </c>
      <c r="O9" s="817">
        <v>1</v>
      </c>
      <c r="P9" s="817">
        <v>1</v>
      </c>
      <c r="Q9" s="817">
        <v>2</v>
      </c>
      <c r="R9" s="817">
        <v>4</v>
      </c>
      <c r="S9" s="817">
        <v>2</v>
      </c>
      <c r="T9" s="817">
        <v>0</v>
      </c>
      <c r="U9" s="817">
        <v>1</v>
      </c>
      <c r="V9" s="817">
        <v>1</v>
      </c>
      <c r="W9" s="817">
        <v>3</v>
      </c>
      <c r="X9" s="817">
        <v>5</v>
      </c>
      <c r="Y9" s="818">
        <v>1</v>
      </c>
      <c r="Z9" s="507"/>
      <c r="AA9" s="643">
        <f t="shared" si="0"/>
        <v>51</v>
      </c>
      <c r="AB9" s="7"/>
    </row>
    <row r="10" spans="1:28" ht="13.5" customHeight="1" x14ac:dyDescent="0.2">
      <c r="A10" s="30" t="s">
        <v>15</v>
      </c>
      <c r="B10" s="519">
        <v>1</v>
      </c>
      <c r="C10" s="817">
        <v>1</v>
      </c>
      <c r="D10" s="817">
        <v>3</v>
      </c>
      <c r="E10" s="817">
        <v>2</v>
      </c>
      <c r="F10" s="817">
        <v>1</v>
      </c>
      <c r="G10" s="817">
        <v>5</v>
      </c>
      <c r="H10" s="817">
        <v>1</v>
      </c>
      <c r="I10" s="817">
        <v>3</v>
      </c>
      <c r="J10" s="817">
        <v>2</v>
      </c>
      <c r="K10" s="817">
        <v>2</v>
      </c>
      <c r="L10" s="817">
        <v>4</v>
      </c>
      <c r="M10" s="818">
        <v>1</v>
      </c>
      <c r="N10" s="817">
        <v>1</v>
      </c>
      <c r="O10" s="817">
        <v>0</v>
      </c>
      <c r="P10" s="817">
        <v>1</v>
      </c>
      <c r="Q10" s="817">
        <v>3</v>
      </c>
      <c r="R10" s="817">
        <v>1</v>
      </c>
      <c r="S10" s="817">
        <v>0</v>
      </c>
      <c r="T10" s="817">
        <v>2</v>
      </c>
      <c r="U10" s="817">
        <v>0</v>
      </c>
      <c r="V10" s="817">
        <v>0</v>
      </c>
      <c r="W10" s="817">
        <v>2</v>
      </c>
      <c r="X10" s="817">
        <v>2</v>
      </c>
      <c r="Y10" s="818">
        <v>2</v>
      </c>
      <c r="Z10" s="818"/>
      <c r="AA10" s="643">
        <f t="shared" si="0"/>
        <v>40</v>
      </c>
      <c r="AB10" s="7"/>
    </row>
    <row r="11" spans="1:28" ht="13.5" customHeight="1" x14ac:dyDescent="0.2">
      <c r="A11" s="30" t="s">
        <v>17</v>
      </c>
      <c r="B11" s="519">
        <v>1</v>
      </c>
      <c r="C11" s="817">
        <v>0</v>
      </c>
      <c r="D11" s="817">
        <v>1</v>
      </c>
      <c r="E11" s="817">
        <v>2</v>
      </c>
      <c r="F11" s="817">
        <v>1</v>
      </c>
      <c r="G11" s="817">
        <v>2</v>
      </c>
      <c r="H11" s="817">
        <v>1</v>
      </c>
      <c r="I11" s="818">
        <v>2</v>
      </c>
      <c r="J11" s="817">
        <v>2</v>
      </c>
      <c r="K11" s="817">
        <v>1</v>
      </c>
      <c r="L11" s="818">
        <v>0</v>
      </c>
      <c r="M11" s="818">
        <v>0</v>
      </c>
      <c r="N11" s="818">
        <v>1</v>
      </c>
      <c r="O11" s="817">
        <v>2</v>
      </c>
      <c r="P11" s="818">
        <v>1</v>
      </c>
      <c r="Q11" s="818">
        <v>0</v>
      </c>
      <c r="R11" s="817">
        <v>1</v>
      </c>
      <c r="S11" s="817">
        <v>1</v>
      </c>
      <c r="T11" s="817">
        <v>1</v>
      </c>
      <c r="U11" s="817">
        <v>1</v>
      </c>
      <c r="V11" s="818">
        <v>5</v>
      </c>
      <c r="W11" s="818">
        <v>2</v>
      </c>
      <c r="X11" s="817">
        <v>0</v>
      </c>
      <c r="Y11" s="818">
        <v>1</v>
      </c>
      <c r="Z11" s="818"/>
      <c r="AA11" s="643">
        <f t="shared" si="0"/>
        <v>29</v>
      </c>
      <c r="AB11" s="7"/>
    </row>
    <row r="12" spans="1:28" s="1" customFormat="1" ht="13.5" customHeight="1" x14ac:dyDescent="0.2">
      <c r="A12" s="30" t="s">
        <v>147</v>
      </c>
      <c r="B12" s="504">
        <v>2</v>
      </c>
      <c r="C12" s="818"/>
      <c r="D12" s="817"/>
      <c r="E12" s="817">
        <v>1</v>
      </c>
      <c r="F12" s="817">
        <v>1</v>
      </c>
      <c r="G12" s="817"/>
      <c r="H12" s="817"/>
      <c r="I12" s="818">
        <v>2</v>
      </c>
      <c r="J12" s="817">
        <v>1</v>
      </c>
      <c r="K12" s="818">
        <v>2</v>
      </c>
      <c r="L12" s="818">
        <v>2</v>
      </c>
      <c r="M12" s="817">
        <v>1</v>
      </c>
      <c r="N12" s="818">
        <v>1</v>
      </c>
      <c r="O12" s="817">
        <v>2</v>
      </c>
      <c r="P12" s="818"/>
      <c r="Q12" s="818">
        <v>4</v>
      </c>
      <c r="R12" s="817">
        <v>1</v>
      </c>
      <c r="S12" s="817"/>
      <c r="T12" s="817">
        <v>4</v>
      </c>
      <c r="U12" s="818">
        <v>4</v>
      </c>
      <c r="V12" s="818"/>
      <c r="W12" s="818">
        <v>2</v>
      </c>
      <c r="X12" s="817">
        <v>1</v>
      </c>
      <c r="Y12" s="818"/>
      <c r="Z12" s="818"/>
      <c r="AA12" s="643">
        <f t="shared" si="0"/>
        <v>31</v>
      </c>
      <c r="AB12" s="7" t="s">
        <v>145</v>
      </c>
    </row>
    <row r="13" spans="1:28" ht="13.5" customHeight="1" x14ac:dyDescent="0.2">
      <c r="A13" s="30" t="s">
        <v>160</v>
      </c>
      <c r="B13" s="504">
        <f>'T25'!D5</f>
        <v>1</v>
      </c>
      <c r="C13" s="818">
        <f>'T25'!E5</f>
        <v>2</v>
      </c>
      <c r="D13" s="817">
        <f>'T25'!F5</f>
        <v>1</v>
      </c>
      <c r="E13" s="817">
        <f>'T25'!G5</f>
        <v>1</v>
      </c>
      <c r="F13" s="817">
        <f>'T25'!H5</f>
        <v>1</v>
      </c>
      <c r="G13" s="817">
        <f>'T25'!I5</f>
        <v>1</v>
      </c>
      <c r="H13" s="817">
        <f>'T25'!J5</f>
        <v>3</v>
      </c>
      <c r="I13" s="818">
        <f>'T25'!K5</f>
        <v>1</v>
      </c>
      <c r="J13" s="817">
        <f>'T25'!L5</f>
        <v>1</v>
      </c>
      <c r="K13" s="818">
        <f>'T25'!M5</f>
        <v>0</v>
      </c>
      <c r="L13" s="818">
        <f>'T25'!N5</f>
        <v>1</v>
      </c>
      <c r="M13" s="817">
        <f>'T25'!O5</f>
        <v>4</v>
      </c>
      <c r="N13" s="818">
        <f>'T25'!P5</f>
        <v>0</v>
      </c>
      <c r="O13" s="817">
        <f>'T25'!Q5</f>
        <v>1</v>
      </c>
      <c r="P13" s="818">
        <f>'T25'!R5</f>
        <v>4</v>
      </c>
      <c r="Q13" s="818">
        <f>'T25'!S5</f>
        <v>3</v>
      </c>
      <c r="R13" s="817">
        <f>'T25'!T5</f>
        <v>3</v>
      </c>
      <c r="S13" s="817">
        <f>'T25'!U5</f>
        <v>1</v>
      </c>
      <c r="T13" s="817">
        <f>'T25'!V5</f>
        <v>5</v>
      </c>
      <c r="U13" s="818">
        <f>'T25'!W5</f>
        <v>2</v>
      </c>
      <c r="V13" s="818">
        <f>'T25'!X5</f>
        <v>1</v>
      </c>
      <c r="W13" s="818">
        <f>'T25'!Y5</f>
        <v>1</v>
      </c>
      <c r="X13" s="817">
        <f>'T25'!Z5</f>
        <v>0</v>
      </c>
      <c r="Y13" s="818">
        <f>'T25'!AA5</f>
        <v>1</v>
      </c>
      <c r="Z13" s="818"/>
      <c r="AA13" s="643">
        <f>SUM(B13:Z13)</f>
        <v>39</v>
      </c>
      <c r="AB13" s="7"/>
    </row>
    <row r="14" spans="1:28" ht="13.5" customHeight="1" x14ac:dyDescent="0.2">
      <c r="A14" s="30" t="s">
        <v>379</v>
      </c>
      <c r="B14" s="504">
        <f>'T25'!D6</f>
        <v>0</v>
      </c>
      <c r="C14" s="818">
        <f>'T25'!E6</f>
        <v>3</v>
      </c>
      <c r="D14" s="817">
        <f>'T25'!F6</f>
        <v>2</v>
      </c>
      <c r="E14" s="817">
        <f>'T25'!G6</f>
        <v>1</v>
      </c>
      <c r="F14" s="817">
        <f>'T25'!H6</f>
        <v>0</v>
      </c>
      <c r="G14" s="817">
        <f>'T25'!I6</f>
        <v>3</v>
      </c>
      <c r="H14" s="817">
        <f>'T25'!J6</f>
        <v>2</v>
      </c>
      <c r="I14" s="818">
        <f>'T25'!K6</f>
        <v>5</v>
      </c>
      <c r="J14" s="817">
        <f>'T25'!L6</f>
        <v>0</v>
      </c>
      <c r="K14" s="818">
        <f>'T25'!M6</f>
        <v>3</v>
      </c>
      <c r="L14" s="818">
        <f>'T25'!N6</f>
        <v>2</v>
      </c>
      <c r="M14" s="817">
        <f>'T25'!O6</f>
        <v>1</v>
      </c>
      <c r="N14" s="818">
        <f>'T25'!P6</f>
        <v>1</v>
      </c>
      <c r="O14" s="817">
        <f>'T25'!Q6</f>
        <v>1</v>
      </c>
      <c r="P14" s="818">
        <f>'T25'!R6</f>
        <v>0</v>
      </c>
      <c r="Q14" s="818">
        <f>'T25'!S6</f>
        <v>0</v>
      </c>
      <c r="R14" s="817">
        <f>'T25'!T6</f>
        <v>3</v>
      </c>
      <c r="S14" s="817">
        <f>'T25'!U6</f>
        <v>2</v>
      </c>
      <c r="T14" s="817">
        <f>'T25'!V6</f>
        <v>1</v>
      </c>
      <c r="U14" s="818">
        <f>'T25'!W6</f>
        <v>3</v>
      </c>
      <c r="V14" s="818">
        <f>'T25'!X6</f>
        <v>1</v>
      </c>
      <c r="W14" s="818">
        <f>'T25'!Y6</f>
        <v>0</v>
      </c>
      <c r="X14" s="817">
        <f>'T25'!Z6</f>
        <v>0</v>
      </c>
      <c r="Y14" s="818">
        <f>'T25'!AA6</f>
        <v>2</v>
      </c>
      <c r="Z14" s="818"/>
      <c r="AA14" s="643">
        <f t="shared" si="0"/>
        <v>36</v>
      </c>
      <c r="AB14" s="7" t="s">
        <v>145</v>
      </c>
    </row>
    <row r="15" spans="1:28" ht="13.5" customHeight="1" x14ac:dyDescent="0.2">
      <c r="A15" s="798" t="s">
        <v>603</v>
      </c>
      <c r="B15" s="819">
        <f>'T25'!D7</f>
        <v>4</v>
      </c>
      <c r="C15" s="820">
        <f>'T25'!E7</f>
        <v>1</v>
      </c>
      <c r="D15" s="821">
        <f>'T25'!F7</f>
        <v>3</v>
      </c>
      <c r="E15" s="821">
        <f>'T25'!G7</f>
        <v>1</v>
      </c>
      <c r="F15" s="821">
        <f>'T25'!H7</f>
        <v>0</v>
      </c>
      <c r="G15" s="821">
        <f>'T25'!I7</f>
        <v>0</v>
      </c>
      <c r="H15" s="821">
        <f>'T25'!J7</f>
        <v>0</v>
      </c>
      <c r="I15" s="820">
        <f>'T25'!K7</f>
        <v>1</v>
      </c>
      <c r="J15" s="821">
        <f>'T25'!L7</f>
        <v>4</v>
      </c>
      <c r="K15" s="820">
        <f>'T25'!M7</f>
        <v>1</v>
      </c>
      <c r="L15" s="820">
        <f>'T25'!N7</f>
        <v>0</v>
      </c>
      <c r="M15" s="821">
        <f>'T25'!O7</f>
        <v>0</v>
      </c>
      <c r="N15" s="820">
        <f>'T25'!P7</f>
        <v>3</v>
      </c>
      <c r="O15" s="821">
        <f>'T25'!Q7</f>
        <v>2</v>
      </c>
      <c r="P15" s="820">
        <f>'T25'!R7</f>
        <v>2</v>
      </c>
      <c r="Q15" s="820">
        <f>'T25'!S7</f>
        <v>0</v>
      </c>
      <c r="R15" s="821">
        <f>'T25'!T7</f>
        <v>3</v>
      </c>
      <c r="S15" s="821">
        <f>'T25'!U7</f>
        <v>3</v>
      </c>
      <c r="T15" s="821">
        <f>'T25'!V7</f>
        <v>0</v>
      </c>
      <c r="U15" s="820">
        <f>'T25'!W7</f>
        <v>4</v>
      </c>
      <c r="V15" s="820">
        <f>'T25'!X7</f>
        <v>1</v>
      </c>
      <c r="W15" s="820">
        <f>'T25'!Y7</f>
        <v>2</v>
      </c>
      <c r="X15" s="821">
        <f>'T25'!Z7</f>
        <v>1</v>
      </c>
      <c r="Y15" s="820">
        <f>'T25'!AA7</f>
        <v>1</v>
      </c>
      <c r="Z15" s="820"/>
      <c r="AA15" s="1016">
        <f t="shared" si="0"/>
        <v>37</v>
      </c>
      <c r="AB15" s="7" t="s">
        <v>143</v>
      </c>
    </row>
    <row r="16" spans="1:28" x14ac:dyDescent="0.2">
      <c r="A16" s="636"/>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4.25" x14ac:dyDescent="0.2">
      <c r="AA17" s="145" t="s">
        <v>58</v>
      </c>
      <c r="AB17" s="1"/>
    </row>
    <row r="18" spans="1:28" ht="18.75" customHeight="1" x14ac:dyDescent="0.2">
      <c r="A18" s="1761" t="s">
        <v>4</v>
      </c>
      <c r="B18" s="1661" t="s">
        <v>650</v>
      </c>
      <c r="C18" s="1677"/>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62"/>
      <c r="AA18" s="1682" t="s">
        <v>653</v>
      </c>
      <c r="AB18" s="1"/>
    </row>
    <row r="19" spans="1:28" ht="18.75" customHeight="1" x14ac:dyDescent="0.2">
      <c r="A19" s="1762"/>
      <c r="B19" s="1202" t="s">
        <v>331</v>
      </c>
      <c r="C19" s="1203" t="s">
        <v>303</v>
      </c>
      <c r="D19" s="1203" t="s">
        <v>304</v>
      </c>
      <c r="E19" s="1203" t="s">
        <v>305</v>
      </c>
      <c r="F19" s="1203" t="s">
        <v>306</v>
      </c>
      <c r="G19" s="1203" t="s">
        <v>307</v>
      </c>
      <c r="H19" s="1203" t="s">
        <v>308</v>
      </c>
      <c r="I19" s="1203" t="s">
        <v>309</v>
      </c>
      <c r="J19" s="1203" t="s">
        <v>310</v>
      </c>
      <c r="K19" s="1203" t="s">
        <v>311</v>
      </c>
      <c r="L19" s="1203" t="s">
        <v>312</v>
      </c>
      <c r="M19" s="1203" t="s">
        <v>313</v>
      </c>
      <c r="N19" s="1203" t="s">
        <v>344</v>
      </c>
      <c r="O19" s="1203" t="s">
        <v>314</v>
      </c>
      <c r="P19" s="1203" t="s">
        <v>315</v>
      </c>
      <c r="Q19" s="1203" t="s">
        <v>316</v>
      </c>
      <c r="R19" s="1203" t="s">
        <v>317</v>
      </c>
      <c r="S19" s="1203" t="s">
        <v>318</v>
      </c>
      <c r="T19" s="1203" t="s">
        <v>319</v>
      </c>
      <c r="U19" s="1203" t="s">
        <v>320</v>
      </c>
      <c r="V19" s="1203" t="s">
        <v>321</v>
      </c>
      <c r="W19" s="1203" t="s">
        <v>322</v>
      </c>
      <c r="X19" s="1203" t="s">
        <v>323</v>
      </c>
      <c r="Y19" s="1203" t="s">
        <v>324</v>
      </c>
      <c r="Z19" s="1204" t="s">
        <v>228</v>
      </c>
      <c r="AA19" s="1683"/>
      <c r="AB19" s="1"/>
    </row>
    <row r="20" spans="1:28" ht="18.75" customHeight="1" x14ac:dyDescent="0.2">
      <c r="A20" s="824" t="s">
        <v>16</v>
      </c>
      <c r="B20" s="826">
        <f>B5/'24'!B20*1000</f>
        <v>7.6628352490421454</v>
      </c>
      <c r="C20" s="827">
        <f>C5/'24'!C20*1000</f>
        <v>24.875621890547265</v>
      </c>
      <c r="D20" s="827">
        <f>D5/'24'!D20*1000</f>
        <v>22.099447513812155</v>
      </c>
      <c r="E20" s="827">
        <f>E5/'24'!E20*1000</f>
        <v>6.8965517241379306</v>
      </c>
      <c r="F20" s="827">
        <f>F5/'24'!F20*1000</f>
        <v>20.833333333333332</v>
      </c>
      <c r="G20" s="827">
        <f>G5/'24'!G20*1000</f>
        <v>8.9285714285714288</v>
      </c>
      <c r="H20" s="827">
        <f>H5/'24'!H20*1000</f>
        <v>9.0090090090090094</v>
      </c>
      <c r="I20" s="827">
        <f>I5/'24'!I20*1000</f>
        <v>43.859649122807014</v>
      </c>
      <c r="J20" s="827">
        <f>J5/'24'!J20*1000</f>
        <v>15.384615384615385</v>
      </c>
      <c r="K20" s="827">
        <f>K5/'24'!K20*1000</f>
        <v>15.544041450777202</v>
      </c>
      <c r="L20" s="827">
        <f>L5/'24'!L20*1000</f>
        <v>9.4339622641509422</v>
      </c>
      <c r="M20" s="827">
        <f>M5/'24'!M20*1000</f>
        <v>0</v>
      </c>
      <c r="N20" s="827">
        <f>N5/'24'!N20*1000</f>
        <v>3.3444816053511706</v>
      </c>
      <c r="O20" s="827">
        <f>O5/'24'!O20*1000</f>
        <v>18.115942028985508</v>
      </c>
      <c r="P20" s="827">
        <f>P5/'24'!P20*1000</f>
        <v>3.3444816053511706</v>
      </c>
      <c r="Q20" s="827">
        <f>Q5/'24'!Q20*1000</f>
        <v>9.375</v>
      </c>
      <c r="R20" s="827">
        <f>R5/'24'!R20*1000</f>
        <v>6.1349693251533743</v>
      </c>
      <c r="S20" s="827">
        <f>S5/'24'!S20*1000</f>
        <v>3.6363636363636362</v>
      </c>
      <c r="T20" s="827">
        <f>T5/'24'!T20*1000</f>
        <v>9.8425196850393704</v>
      </c>
      <c r="U20" s="827">
        <f>U5/'24'!U20*1000</f>
        <v>2.0533880903490762</v>
      </c>
      <c r="V20" s="827">
        <f>V5/'24'!V20*1000</f>
        <v>9.8765432098765427</v>
      </c>
      <c r="W20" s="827">
        <f>W5/'24'!W20*1000</f>
        <v>0</v>
      </c>
      <c r="X20" s="827">
        <f>X5/'24'!X20*1000</f>
        <v>3.2051282051282048</v>
      </c>
      <c r="Y20" s="827">
        <f>Y5/'24'!Y20*1000</f>
        <v>10.830324909747292</v>
      </c>
      <c r="Z20" s="1073"/>
      <c r="AA20" s="1070">
        <f>AA5/'24'!AA20*1000</f>
        <v>8.6995650217489136</v>
      </c>
      <c r="AB20" s="1"/>
    </row>
    <row r="21" spans="1:28" ht="13.5" customHeight="1" x14ac:dyDescent="0.2">
      <c r="A21" s="825" t="s">
        <v>18</v>
      </c>
      <c r="B21" s="828">
        <f>B6/'24'!B21*1000</f>
        <v>3.8461538461538463</v>
      </c>
      <c r="C21" s="829">
        <f>C6/'24'!C21*1000</f>
        <v>0</v>
      </c>
      <c r="D21" s="829">
        <f>D6/'24'!D21*1000</f>
        <v>14.285714285714285</v>
      </c>
      <c r="E21" s="829">
        <f>E6/'24'!E21*1000</f>
        <v>23.255813953488371</v>
      </c>
      <c r="F21" s="829">
        <f>F6/'24'!F21*1000</f>
        <v>40</v>
      </c>
      <c r="G21" s="829">
        <f>G6/'24'!G21*1000</f>
        <v>32.967032967032971</v>
      </c>
      <c r="H21" s="829">
        <f>H6/'24'!H21*1000</f>
        <v>8.4033613445378155</v>
      </c>
      <c r="I21" s="829">
        <f>I6/'24'!I21*1000</f>
        <v>45.454545454545453</v>
      </c>
      <c r="J21" s="829">
        <f>J6/'24'!J21*1000</f>
        <v>13.793103448275861</v>
      </c>
      <c r="K21" s="829">
        <f>K6/'24'!K21*1000</f>
        <v>0</v>
      </c>
      <c r="L21" s="829">
        <f>L6/'24'!L21*1000</f>
        <v>5</v>
      </c>
      <c r="M21" s="829">
        <f>M6/'24'!M21*1000</f>
        <v>3.6900369003690034</v>
      </c>
      <c r="N21" s="829">
        <f>N6/'24'!N21*1000</f>
        <v>10.135135135135135</v>
      </c>
      <c r="O21" s="829">
        <f>O6/'24'!O21*1000</f>
        <v>3.3222591362126246</v>
      </c>
      <c r="P21" s="829">
        <f>P6/'24'!P21*1000</f>
        <v>6.7114093959731544</v>
      </c>
      <c r="Q21" s="829">
        <f>Q6/'24'!Q21*1000</f>
        <v>8.1743869209809255</v>
      </c>
      <c r="R21" s="829">
        <f>R6/'24'!R21*1000</f>
        <v>10.362694300518134</v>
      </c>
      <c r="S21" s="829">
        <f>S6/'24'!S21*1000</f>
        <v>1.8832391713747645</v>
      </c>
      <c r="T21" s="829">
        <f>T6/'24'!T21*1000</f>
        <v>3.8986354775828458</v>
      </c>
      <c r="U21" s="829">
        <f>U6/'24'!U21*1000</f>
        <v>7.6628352490421454</v>
      </c>
      <c r="V21" s="829">
        <f>V6/'24'!V21*1000</f>
        <v>10.025062656641603</v>
      </c>
      <c r="W21" s="829">
        <f>W6/'24'!W21*1000</f>
        <v>8.8235294117647065</v>
      </c>
      <c r="X21" s="829">
        <f>X6/'24'!X21*1000</f>
        <v>5.7471264367816088</v>
      </c>
      <c r="Y21" s="829">
        <f>Y6/'24'!Y21*1000</f>
        <v>0</v>
      </c>
      <c r="Z21" s="1074"/>
      <c r="AA21" s="1071">
        <f>AA6/'24'!AA21*1000</f>
        <v>8.0560942861405351</v>
      </c>
      <c r="AB21" s="1"/>
    </row>
    <row r="22" spans="1:28" ht="13.5" customHeight="1" x14ac:dyDescent="0.2">
      <c r="A22" s="825" t="s">
        <v>19</v>
      </c>
      <c r="B22" s="828">
        <f>B7/'24'!B22*1000</f>
        <v>16.460905349794238</v>
      </c>
      <c r="C22" s="829">
        <f>C7/'24'!C22*1000</f>
        <v>18.867924528301884</v>
      </c>
      <c r="D22" s="829">
        <f>D7/'24'!D22*1000</f>
        <v>34.482758620689651</v>
      </c>
      <c r="E22" s="829">
        <f>E7/'24'!E22*1000</f>
        <v>17.241379310344826</v>
      </c>
      <c r="F22" s="829">
        <f>F7/'24'!F22*1000</f>
        <v>22.388059701492537</v>
      </c>
      <c r="G22" s="829">
        <f>G7/'24'!G22*1000</f>
        <v>10.989010989010989</v>
      </c>
      <c r="H22" s="829">
        <f>H7/'24'!H22*1000</f>
        <v>11.904761904761903</v>
      </c>
      <c r="I22" s="829">
        <f>I7/'24'!I22*1000</f>
        <v>0</v>
      </c>
      <c r="J22" s="829">
        <f>J7/'24'!J22*1000</f>
        <v>18.518518518518519</v>
      </c>
      <c r="K22" s="829">
        <f>K7/'24'!K22*1000</f>
        <v>0</v>
      </c>
      <c r="L22" s="829">
        <f>L7/'24'!L22*1000</f>
        <v>0</v>
      </c>
      <c r="M22" s="829">
        <f>M7/'24'!M22*1000</f>
        <v>11.904761904761903</v>
      </c>
      <c r="N22" s="829">
        <f>N7/'24'!N22*1000</f>
        <v>0</v>
      </c>
      <c r="O22" s="829">
        <f>O7/'24'!O22*1000</f>
        <v>6.2305295950155761</v>
      </c>
      <c r="P22" s="829">
        <f>P7/'24'!P22*1000</f>
        <v>0</v>
      </c>
      <c r="Q22" s="829">
        <f>Q7/'24'!Q22*1000</f>
        <v>0</v>
      </c>
      <c r="R22" s="829">
        <f>R7/'24'!R22*1000</f>
        <v>9.5465393794749414</v>
      </c>
      <c r="S22" s="829">
        <f>S7/'24'!S22*1000</f>
        <v>4.032258064516129</v>
      </c>
      <c r="T22" s="829">
        <f>T7/'24'!T22*1000</f>
        <v>15.09433962264151</v>
      </c>
      <c r="U22" s="829">
        <f>U7/'24'!U22*1000</f>
        <v>6.3559322033898313</v>
      </c>
      <c r="V22" s="829">
        <f>V7/'24'!V22*1000</f>
        <v>0</v>
      </c>
      <c r="W22" s="829">
        <f>W7/'24'!W22*1000</f>
        <v>0</v>
      </c>
      <c r="X22" s="829">
        <f>X7/'24'!X22*1000</f>
        <v>13.550135501355014</v>
      </c>
      <c r="Y22" s="829">
        <f>Y7/'24'!Y22*1000</f>
        <v>3.4482758620689653</v>
      </c>
      <c r="Z22" s="1074"/>
      <c r="AA22" s="1071">
        <f>AA7/'24'!AA22*1000</f>
        <v>8.0632892134489573</v>
      </c>
      <c r="AB22" s="1"/>
    </row>
    <row r="23" spans="1:28" ht="13.5" customHeight="1" x14ac:dyDescent="0.2">
      <c r="A23" s="46" t="s">
        <v>20</v>
      </c>
      <c r="B23" s="828">
        <f>B8/'24'!B23*1000</f>
        <v>4.3478260869565215</v>
      </c>
      <c r="C23" s="829">
        <f>C8/'24'!C23*1000</f>
        <v>19.841269841269842</v>
      </c>
      <c r="D23" s="829">
        <f>D8/'24'!D23*1000</f>
        <v>11.049723756906078</v>
      </c>
      <c r="E23" s="829">
        <f>E8/'24'!E23*1000</f>
        <v>31.446540880503143</v>
      </c>
      <c r="F23" s="829">
        <f>F8/'24'!F23*1000</f>
        <v>17.241379310344826</v>
      </c>
      <c r="G23" s="829">
        <f>G8/'24'!G23*1000</f>
        <v>23.809523809523807</v>
      </c>
      <c r="H23" s="829">
        <f>H8/'24'!H23*1000</f>
        <v>37.037037037037038</v>
      </c>
      <c r="I23" s="829">
        <f>I8/'24'!I23*1000</f>
        <v>19.801980198019802</v>
      </c>
      <c r="J23" s="829">
        <f>J8/'24'!J23*1000</f>
        <v>9.2592592592592595</v>
      </c>
      <c r="K23" s="829">
        <f>K8/'24'!K23*1000</f>
        <v>0</v>
      </c>
      <c r="L23" s="829">
        <f>L8/'24'!L23*1000</f>
        <v>10.810810810810811</v>
      </c>
      <c r="M23" s="829">
        <f>M8/'24'!M23*1000</f>
        <v>4.3859649122807012</v>
      </c>
      <c r="N23" s="829">
        <f>N8/'24'!N23*1000</f>
        <v>3.4364261168384878</v>
      </c>
      <c r="O23" s="829">
        <f>O8/'24'!O23*1000</f>
        <v>7.042253521126761</v>
      </c>
      <c r="P23" s="829">
        <f>P8/'24'!P23*1000</f>
        <v>6.2111801242236018</v>
      </c>
      <c r="Q23" s="829">
        <f>Q8/'24'!Q23*1000</f>
        <v>3.2362459546925568</v>
      </c>
      <c r="R23" s="829">
        <f>R8/'24'!R23*1000</f>
        <v>2.3419203747072599</v>
      </c>
      <c r="S23" s="829">
        <f>S8/'24'!S23*1000</f>
        <v>6.1475409836065573</v>
      </c>
      <c r="T23" s="829">
        <f>T8/'24'!T23*1000</f>
        <v>0</v>
      </c>
      <c r="U23" s="829">
        <f>U8/'24'!U23*1000</f>
        <v>0</v>
      </c>
      <c r="V23" s="829">
        <f>V8/'24'!V23*1000</f>
        <v>2.5641025641025643</v>
      </c>
      <c r="W23" s="829">
        <f>W8/'24'!W23*1000</f>
        <v>2.8571428571428572</v>
      </c>
      <c r="X23" s="829">
        <f>X8/'24'!X23*1000</f>
        <v>3.134796238244514</v>
      </c>
      <c r="Y23" s="829">
        <f>Y8/'24'!Y23*1000</f>
        <v>17.985611510791365</v>
      </c>
      <c r="Z23" s="1074"/>
      <c r="AA23" s="1071">
        <f>AA8/'24'!AA23*1000</f>
        <v>7.1428571428571423</v>
      </c>
      <c r="AB23" s="1"/>
    </row>
    <row r="24" spans="1:28" ht="13.5" customHeight="1" x14ac:dyDescent="0.2">
      <c r="A24" s="10" t="s">
        <v>13</v>
      </c>
      <c r="B24" s="828">
        <f>B9/'24'!B24*1000</f>
        <v>4.0650406504065044</v>
      </c>
      <c r="C24" s="829">
        <f>C9/'24'!C24*1000</f>
        <v>9.8039215686274517</v>
      </c>
      <c r="D24" s="829">
        <f>D9/'24'!D24*1000</f>
        <v>22.471910112359549</v>
      </c>
      <c r="E24" s="829">
        <f>E9/'24'!E24*1000</f>
        <v>19.480519480519479</v>
      </c>
      <c r="F24" s="829">
        <f>F9/'24'!F24*1000</f>
        <v>14.598540145985401</v>
      </c>
      <c r="G24" s="829">
        <f>G9/'24'!G24*1000</f>
        <v>29.702970297029701</v>
      </c>
      <c r="H24" s="829">
        <f>H9/'24'!H24*1000</f>
        <v>11.627906976744185</v>
      </c>
      <c r="I24" s="829">
        <f>I9/'24'!I24*1000</f>
        <v>21.505376344086024</v>
      </c>
      <c r="J24" s="829">
        <f>J9/'24'!J24*1000</f>
        <v>15.748031496062993</v>
      </c>
      <c r="K24" s="829">
        <f>K9/'24'!K24*1000</f>
        <v>0</v>
      </c>
      <c r="L24" s="829">
        <f>L9/'24'!L24*1000</f>
        <v>15.075376884422109</v>
      </c>
      <c r="M24" s="829">
        <f>M9/'24'!M24*1000</f>
        <v>12.658227848101266</v>
      </c>
      <c r="N24" s="829">
        <f>N9/'24'!N24*1000</f>
        <v>15.810276679841897</v>
      </c>
      <c r="O24" s="829">
        <f>O9/'24'!O24*1000</f>
        <v>3.4246575342465753</v>
      </c>
      <c r="P24" s="829">
        <f>P9/'24'!P24*1000</f>
        <v>3.7174721189591078</v>
      </c>
      <c r="Q24" s="829">
        <f>Q9/'24'!Q24*1000</f>
        <v>6.0790273556231007</v>
      </c>
      <c r="R24" s="829">
        <f>R9/'24'!R24*1000</f>
        <v>9.5465393794749414</v>
      </c>
      <c r="S24" s="829">
        <f>S9/'24'!S24*1000</f>
        <v>4.1753653444676404</v>
      </c>
      <c r="T24" s="829">
        <f>T9/'24'!T24*1000</f>
        <v>0</v>
      </c>
      <c r="U24" s="829">
        <f>U9/'24'!U24*1000</f>
        <v>2.2075055187637971</v>
      </c>
      <c r="V24" s="829">
        <f>V9/'24'!V24*1000</f>
        <v>2.3584905660377355</v>
      </c>
      <c r="W24" s="829">
        <f>W9/'24'!W24*1000</f>
        <v>8.7719298245614024</v>
      </c>
      <c r="X24" s="829">
        <f>X9/'24'!X24*1000</f>
        <v>17.793594306049823</v>
      </c>
      <c r="Y24" s="829">
        <f>Y9/'24'!Y24*1000</f>
        <v>3.8759689922480618</v>
      </c>
      <c r="Z24" s="1074"/>
      <c r="AA24" s="1071">
        <f>AA9/'24'!AA24*1000</f>
        <v>8.279220779220779</v>
      </c>
      <c r="AB24" s="1"/>
    </row>
    <row r="25" spans="1:28" ht="13.5" customHeight="1" x14ac:dyDescent="0.2">
      <c r="A25" s="10" t="s">
        <v>15</v>
      </c>
      <c r="B25" s="828">
        <f>B10/'24'!B25*1000</f>
        <v>4.5871559633027523</v>
      </c>
      <c r="C25" s="829">
        <f>C10/'24'!C25*1000</f>
        <v>5.4644808743169397</v>
      </c>
      <c r="D25" s="829">
        <f>D10/'24'!D25*1000</f>
        <v>18.633540372670808</v>
      </c>
      <c r="E25" s="829">
        <f>E10/'24'!E25*1000</f>
        <v>16.129032258064516</v>
      </c>
      <c r="F25" s="829">
        <f>F10/'24'!F25*1000</f>
        <v>10.309278350515465</v>
      </c>
      <c r="G25" s="829">
        <f>G10/'24'!G25*1000</f>
        <v>48.07692307692308</v>
      </c>
      <c r="H25" s="829">
        <f>H10/'24'!H25*1000</f>
        <v>12.987012987012989</v>
      </c>
      <c r="I25" s="829">
        <f>I10/'24'!I25*1000</f>
        <v>29.126213592233011</v>
      </c>
      <c r="J25" s="829">
        <f>J10/'24'!J25*1000</f>
        <v>16</v>
      </c>
      <c r="K25" s="829">
        <f>K10/'24'!K25*1000</f>
        <v>12.121212121212121</v>
      </c>
      <c r="L25" s="829">
        <f>L10/'24'!L25*1000</f>
        <v>21.978021978021978</v>
      </c>
      <c r="M25" s="829">
        <f>M10/'24'!M25*1000</f>
        <v>4.9019607843137258</v>
      </c>
      <c r="N25" s="829">
        <f>N10/'24'!N25*1000</f>
        <v>4.4843049327354256</v>
      </c>
      <c r="O25" s="829">
        <f>O10/'24'!O25*1000</f>
        <v>0</v>
      </c>
      <c r="P25" s="829">
        <f>P10/'24'!P25*1000</f>
        <v>3.5714285714285712</v>
      </c>
      <c r="Q25" s="829">
        <f>Q10/'24'!Q25*1000</f>
        <v>9.2024539877300615</v>
      </c>
      <c r="R25" s="829">
        <f>R10/'24'!R25*1000</f>
        <v>2.6109660574412534</v>
      </c>
      <c r="S25" s="829">
        <f>S10/'24'!S25*1000</f>
        <v>0</v>
      </c>
      <c r="T25" s="829">
        <f>T10/'24'!T25*1000</f>
        <v>4.2283298097251585</v>
      </c>
      <c r="U25" s="829">
        <f>U10/'24'!U25*1000</f>
        <v>0</v>
      </c>
      <c r="V25" s="829">
        <f>V10/'24'!V25*1000</f>
        <v>0</v>
      </c>
      <c r="W25" s="829">
        <f>W10/'24'!W25*1000</f>
        <v>6.4516129032258061</v>
      </c>
      <c r="X25" s="829">
        <f>X10/'24'!X25*1000</f>
        <v>6.8965517241379306</v>
      </c>
      <c r="Y25" s="829">
        <f>Y10/'24'!Y25*1000</f>
        <v>8</v>
      </c>
      <c r="Z25" s="1074"/>
      <c r="AA25" s="1071">
        <f>AA10/'24'!AA25*1000</f>
        <v>6.8563592732259169</v>
      </c>
      <c r="AB25" s="1"/>
    </row>
    <row r="26" spans="1:28" ht="13.5" customHeight="1" x14ac:dyDescent="0.2">
      <c r="A26" s="10" t="s">
        <v>17</v>
      </c>
      <c r="B26" s="828">
        <f>B11/'24'!B26*1000</f>
        <v>6.0975609756097562</v>
      </c>
      <c r="C26" s="829">
        <f>C11/'24'!C26*1000</f>
        <v>0</v>
      </c>
      <c r="D26" s="829">
        <f>D11/'24'!D26*1000</f>
        <v>7.4074074074074074</v>
      </c>
      <c r="E26" s="829">
        <f>E11/'24'!E26*1000</f>
        <v>17.094017094017097</v>
      </c>
      <c r="F26" s="829">
        <f>F11/'24'!F26*1000</f>
        <v>9.3457943925233646</v>
      </c>
      <c r="G26" s="829">
        <f>G11/'24'!G26*1000</f>
        <v>25.316455696202532</v>
      </c>
      <c r="H26" s="829">
        <f>H11/'24'!H26*1000</f>
        <v>12.195121951219512</v>
      </c>
      <c r="I26" s="829">
        <f>I11/'24'!I26*1000</f>
        <v>19.047619047619051</v>
      </c>
      <c r="J26" s="829">
        <f>J11/'24'!J26*1000</f>
        <v>19.607843137254903</v>
      </c>
      <c r="K26" s="829">
        <f>K11/'24'!K26*1000</f>
        <v>7.1428571428571423</v>
      </c>
      <c r="L26" s="829">
        <f>L11/'24'!L26*1000</f>
        <v>0</v>
      </c>
      <c r="M26" s="829">
        <f>M11/'24'!M26*1000</f>
        <v>0</v>
      </c>
      <c r="N26" s="829">
        <f>N11/'24'!N26*1000</f>
        <v>3.9682539682539679</v>
      </c>
      <c r="O26" s="829">
        <f>O11/'24'!O26*1000</f>
        <v>7.4906367041198498</v>
      </c>
      <c r="P26" s="829">
        <f>P11/'24'!P26*1000</f>
        <v>3.8022813688212929</v>
      </c>
      <c r="Q26" s="829">
        <f>Q11/'24'!Q26*1000</f>
        <v>0</v>
      </c>
      <c r="R26" s="829">
        <f>R11/'24'!R26*1000</f>
        <v>2.9411764705882351</v>
      </c>
      <c r="S26" s="829">
        <f>S11/'24'!S26*1000</f>
        <v>2.2026431718061676</v>
      </c>
      <c r="T26" s="829">
        <f>T11/'24'!T26*1000</f>
        <v>2.3584905660377355</v>
      </c>
      <c r="U26" s="829">
        <f>U11/'24'!U26*1000</f>
        <v>2.7397260273972601</v>
      </c>
      <c r="V26" s="829">
        <f>V11/'24'!V26*1000</f>
        <v>14.084507042253522</v>
      </c>
      <c r="W26" s="829">
        <f>W11/'24'!W26*1000</f>
        <v>6.9444444444444438</v>
      </c>
      <c r="X26" s="829">
        <f>X11/'24'!X26*1000</f>
        <v>0</v>
      </c>
      <c r="Y26" s="829">
        <f>Y11/'24'!Y26*1000</f>
        <v>4.9261083743842367</v>
      </c>
      <c r="Z26" s="1074"/>
      <c r="AA26" s="1071">
        <f>AA11/'24'!AA26*1000</f>
        <v>5.4368203974503189</v>
      </c>
      <c r="AB26" s="1"/>
    </row>
    <row r="27" spans="1:28" s="1" customFormat="1" ht="13.5" customHeight="1" x14ac:dyDescent="0.2">
      <c r="A27" s="10" t="s">
        <v>147</v>
      </c>
      <c r="B27" s="828">
        <f>B12/'24'!B27*1000</f>
        <v>10</v>
      </c>
      <c r="C27" s="829">
        <f>C12/'24'!C27*1000</f>
        <v>0</v>
      </c>
      <c r="D27" s="829">
        <f>D12/'24'!D27*1000</f>
        <v>0</v>
      </c>
      <c r="E27" s="829">
        <f>E12/'24'!E27*1000</f>
        <v>8.9285714285714288</v>
      </c>
      <c r="F27" s="829">
        <f>F12/'24'!F27*1000</f>
        <v>8.8495575221238933</v>
      </c>
      <c r="G27" s="829">
        <f>G12/'24'!G27*1000</f>
        <v>0</v>
      </c>
      <c r="H27" s="829">
        <f>H12/'24'!H27*1000</f>
        <v>0</v>
      </c>
      <c r="I27" s="829">
        <f>I12/'24'!I27*1000</f>
        <v>21.505376344086024</v>
      </c>
      <c r="J27" s="829">
        <f>J12/'24'!J27*1000</f>
        <v>8.064516129032258</v>
      </c>
      <c r="K27" s="829">
        <f>K12/'24'!K27*1000</f>
        <v>13.071895424836601</v>
      </c>
      <c r="L27" s="829">
        <f>L12/'24'!L27*1000</f>
        <v>9.7560975609756095</v>
      </c>
      <c r="M27" s="829">
        <f>M12/'24'!M27*1000</f>
        <v>4.5248868778280551</v>
      </c>
      <c r="N27" s="829">
        <f>N12/'24'!N27*1000</f>
        <v>3.6101083032490977</v>
      </c>
      <c r="O27" s="829">
        <f>O12/'24'!O27*1000</f>
        <v>6.5359477124183005</v>
      </c>
      <c r="P27" s="829">
        <f>P12/'24'!P27*1000</f>
        <v>0</v>
      </c>
      <c r="Q27" s="829">
        <f>Q12/'24'!Q27*1000</f>
        <v>12.5</v>
      </c>
      <c r="R27" s="829">
        <f>R12/'24'!R27*1000</f>
        <v>2.8011204481792715</v>
      </c>
      <c r="S27" s="829">
        <f>S12/'24'!S27*1000</f>
        <v>0</v>
      </c>
      <c r="T27" s="829">
        <f>T12/'24'!T27*1000</f>
        <v>9.3240093240093245</v>
      </c>
      <c r="U27" s="829">
        <f>U12/'24'!U27*1000</f>
        <v>9.6385542168674707</v>
      </c>
      <c r="V27" s="829">
        <f>V12/'24'!V27*1000</f>
        <v>0</v>
      </c>
      <c r="W27" s="829">
        <f>W12/'24'!W27*1000</f>
        <v>6.7796610169491522</v>
      </c>
      <c r="X27" s="829">
        <f>X12/'24'!X27*1000</f>
        <v>4.2016806722689077</v>
      </c>
      <c r="Y27" s="829">
        <f>Y12/'24'!Y27*1000</f>
        <v>0</v>
      </c>
      <c r="Z27" s="1074"/>
      <c r="AA27" s="1071">
        <f>AA12/'24'!AA27*1000</f>
        <v>5.5535650304550339</v>
      </c>
      <c r="AB27" s="1" t="s">
        <v>145</v>
      </c>
    </row>
    <row r="28" spans="1:28" ht="13.5" customHeight="1" x14ac:dyDescent="0.2">
      <c r="A28" s="10" t="s">
        <v>160</v>
      </c>
      <c r="B28" s="828">
        <f>B13/'24'!B28*1000</f>
        <v>5.8823529411764701</v>
      </c>
      <c r="C28" s="829">
        <f>C13/'24'!C28*1000</f>
        <v>11.428571428571429</v>
      </c>
      <c r="D28" s="829">
        <f>D13/'24'!D28*1000</f>
        <v>7.8740157480314963</v>
      </c>
      <c r="E28" s="829">
        <f>E13/'24'!E28*1000</f>
        <v>9.0909090909090899</v>
      </c>
      <c r="F28" s="829">
        <f>F13/'24'!F28*1000</f>
        <v>10.638297872340425</v>
      </c>
      <c r="G28" s="829">
        <f>G13/'24'!G28*1000</f>
        <v>12.820512820512819</v>
      </c>
      <c r="H28" s="829">
        <f>H13/'24'!H28*1000</f>
        <v>38.961038961038959</v>
      </c>
      <c r="I28" s="829">
        <f>I13/'24'!I28*1000</f>
        <v>10.989010989010989</v>
      </c>
      <c r="J28" s="829">
        <f>J13/'24'!J28*1000</f>
        <v>8.064516129032258</v>
      </c>
      <c r="K28" s="829">
        <f>K13/'24'!K28*1000</f>
        <v>0</v>
      </c>
      <c r="L28" s="829">
        <f>L13/'24'!L28*1000</f>
        <v>5.1546391752577323</v>
      </c>
      <c r="M28" s="829">
        <f>M13/'24'!M28*1000</f>
        <v>16.393442622950822</v>
      </c>
      <c r="N28" s="829">
        <f>N13/'24'!N28*1000</f>
        <v>0</v>
      </c>
      <c r="O28" s="829">
        <f>O13/'24'!O28*1000</f>
        <v>3.1152647975077881</v>
      </c>
      <c r="P28" s="829">
        <f>P13/'24'!P28*1000</f>
        <v>12.698412698412698</v>
      </c>
      <c r="Q28" s="829">
        <f>Q13/'24'!Q28*1000</f>
        <v>9.316770186335404</v>
      </c>
      <c r="R28" s="829">
        <f>R13/'24'!R28*1000</f>
        <v>7.4812967581047376</v>
      </c>
      <c r="S28" s="829">
        <f>S13/'24'!S28*1000</f>
        <v>2.0491803278688527</v>
      </c>
      <c r="T28" s="829">
        <f>T13/'24'!T28*1000</f>
        <v>11.655011655011656</v>
      </c>
      <c r="U28" s="829">
        <f>U13/'24'!U28*1000</f>
        <v>5.3619302949061662</v>
      </c>
      <c r="V28" s="829">
        <f>V13/'24'!V28*1000</f>
        <v>3.0395136778115504</v>
      </c>
      <c r="W28" s="829">
        <f>W13/'24'!W28*1000</f>
        <v>3.0120481927710845</v>
      </c>
      <c r="X28" s="829">
        <f>X13/'24'!X28*1000</f>
        <v>0</v>
      </c>
      <c r="Y28" s="829">
        <f>Y13/'24'!Y28*1000</f>
        <v>4.2553191489361701</v>
      </c>
      <c r="Z28" s="1074"/>
      <c r="AA28" s="1071">
        <f>AA13/'24'!AA28*1000</f>
        <v>6.8698256121190768</v>
      </c>
      <c r="AB28" s="1"/>
    </row>
    <row r="29" spans="1:28" ht="13.5" customHeight="1" x14ac:dyDescent="0.2">
      <c r="A29" s="10" t="s">
        <v>379</v>
      </c>
      <c r="B29" s="828">
        <f>B14/'24'!B29*1000</f>
        <v>0</v>
      </c>
      <c r="C29" s="829">
        <f>C14/'24'!C29*1000</f>
        <v>17.857142857142858</v>
      </c>
      <c r="D29" s="829">
        <f>D14/'24'!D29*1000</f>
        <v>15.037593984962406</v>
      </c>
      <c r="E29" s="829">
        <f>E14/'24'!E29*1000</f>
        <v>9.6153846153846168</v>
      </c>
      <c r="F29" s="829">
        <f>F14/'24'!F29*1000</f>
        <v>0</v>
      </c>
      <c r="G29" s="829">
        <f>G14/'24'!G29*1000</f>
        <v>38.961038961038959</v>
      </c>
      <c r="H29" s="829">
        <f>H14/'24'!H29*1000</f>
        <v>24.390243902439025</v>
      </c>
      <c r="I29" s="829">
        <f>I14/'24'!I29*1000</f>
        <v>45.871559633027523</v>
      </c>
      <c r="J29" s="829">
        <f>J14/'24'!J29*1000</f>
        <v>0</v>
      </c>
      <c r="K29" s="829">
        <f>K14/'24'!K29*1000</f>
        <v>19.108280254777068</v>
      </c>
      <c r="L29" s="829">
        <f>L14/'24'!L29*1000</f>
        <v>10.309278350515465</v>
      </c>
      <c r="M29" s="829">
        <f>M14/'24'!M29*1000</f>
        <v>4.1493775933609962</v>
      </c>
      <c r="N29" s="829">
        <f>N14/'24'!N29*1000</f>
        <v>4.1152263374485596</v>
      </c>
      <c r="O29" s="829">
        <f>O14/'24'!O29*1000</f>
        <v>3.8910505836575875</v>
      </c>
      <c r="P29" s="829">
        <f>P14/'24'!P29*1000</f>
        <v>0</v>
      </c>
      <c r="Q29" s="829">
        <f>Q14/'24'!Q29*1000</f>
        <v>0</v>
      </c>
      <c r="R29" s="829">
        <f>R14/'24'!R29*1000</f>
        <v>7.8947368421052637</v>
      </c>
      <c r="S29" s="829">
        <f>S14/'24'!S29*1000</f>
        <v>4.2462845010615711</v>
      </c>
      <c r="T29" s="829">
        <f>T14/'24'!T29*1000</f>
        <v>2.3094688221709005</v>
      </c>
      <c r="U29" s="829">
        <f>U14/'24'!U29*1000</f>
        <v>7.3529411764705879</v>
      </c>
      <c r="V29" s="829">
        <f>V14/'24'!V29*1000</f>
        <v>3.0030030030030028</v>
      </c>
      <c r="W29" s="829">
        <f>W14/'24'!W29*1000</f>
        <v>0</v>
      </c>
      <c r="X29" s="829">
        <f>X14/'24'!X29*1000</f>
        <v>0</v>
      </c>
      <c r="Y29" s="829">
        <f>Y14/'24'!Y29*1000</f>
        <v>8.5470085470085486</v>
      </c>
      <c r="Z29" s="1074"/>
      <c r="AA29" s="1071">
        <f>AA14/'24'!AA29*1000</f>
        <v>6.4888248017303525</v>
      </c>
      <c r="AB29" s="1" t="s">
        <v>145</v>
      </c>
    </row>
    <row r="30" spans="1:28" ht="13.5" customHeight="1" x14ac:dyDescent="0.2">
      <c r="A30" s="798" t="s">
        <v>603</v>
      </c>
      <c r="B30" s="830">
        <f>B15/'24'!B30*1000</f>
        <v>21.276595744680851</v>
      </c>
      <c r="C30" s="831">
        <f>C15/'24'!C30*1000</f>
        <v>6.8965517241379306</v>
      </c>
      <c r="D30" s="831">
        <f>D15/'24'!D30*1000</f>
        <v>22.727272727272727</v>
      </c>
      <c r="E30" s="831">
        <f>E15/'24'!E30*1000</f>
        <v>10.101010101010102</v>
      </c>
      <c r="F30" s="831">
        <f>F15/'24'!F30*1000</f>
        <v>0</v>
      </c>
      <c r="G30" s="831">
        <f>G15/'24'!G30*1000</f>
        <v>0</v>
      </c>
      <c r="H30" s="831">
        <f>H15/'24'!H30*1000</f>
        <v>0</v>
      </c>
      <c r="I30" s="831">
        <f>I15/'24'!I30*1000</f>
        <v>10.204081632653061</v>
      </c>
      <c r="J30" s="831">
        <f>J15/'24'!J30*1000</f>
        <v>29.62962962962963</v>
      </c>
      <c r="K30" s="831">
        <f>K15/'24'!K30*1000</f>
        <v>6.9444444444444438</v>
      </c>
      <c r="L30" s="831">
        <f>L15/'24'!L30*1000</f>
        <v>0</v>
      </c>
      <c r="M30" s="831">
        <f>M15/'24'!M30*1000</f>
        <v>0</v>
      </c>
      <c r="N30" s="831">
        <f>N15/'24'!N30*1000</f>
        <v>12.552301255230125</v>
      </c>
      <c r="O30" s="831">
        <f>O15/'24'!O30*1000</f>
        <v>7.7519379844961236</v>
      </c>
      <c r="P30" s="831">
        <f>P15/'24'!P30*1000</f>
        <v>7.0921985815602833</v>
      </c>
      <c r="Q30" s="831">
        <f>Q15/'24'!Q30*1000</f>
        <v>0</v>
      </c>
      <c r="R30" s="831">
        <f>R15/'24'!R30*1000</f>
        <v>8.6455331412103753</v>
      </c>
      <c r="S30" s="831">
        <f>S15/'24'!S30*1000</f>
        <v>6.5217391304347823</v>
      </c>
      <c r="T30" s="831">
        <f>T15/'24'!T30*1000</f>
        <v>0</v>
      </c>
      <c r="U30" s="831">
        <f>U15/'24'!U30*1000</f>
        <v>11.461318051575931</v>
      </c>
      <c r="V30" s="831">
        <f>V15/'24'!V30*1000</f>
        <v>2.8409090909090908</v>
      </c>
      <c r="W30" s="831">
        <f>W15/'24'!W30*1000</f>
        <v>6.4935064935064943</v>
      </c>
      <c r="X30" s="831">
        <f>X15/'24'!X30*1000</f>
        <v>4.032258064516129</v>
      </c>
      <c r="Y30" s="831">
        <f>Y15/'24'!Y30*1000</f>
        <v>4.9019607843137258</v>
      </c>
      <c r="Z30" s="1075"/>
      <c r="AA30" s="1072">
        <f>AA15/'24'!AA30*1000</f>
        <v>6.9679849340866289</v>
      </c>
      <c r="AB30" s="1" t="s">
        <v>143</v>
      </c>
    </row>
    <row r="31" spans="1:28" x14ac:dyDescent="0.2">
      <c r="A31" s="636"/>
      <c r="B31" s="1336"/>
      <c r="C31" s="1336"/>
      <c r="D31" s="1336"/>
      <c r="E31" s="1336"/>
      <c r="F31" s="1336"/>
      <c r="G31" s="1336"/>
      <c r="H31" s="1336"/>
      <c r="I31" s="1336"/>
      <c r="J31" s="1336"/>
      <c r="K31" s="1336"/>
      <c r="L31" s="1336"/>
      <c r="M31" s="1336"/>
      <c r="N31" s="1336"/>
      <c r="O31" s="1336"/>
      <c r="P31" s="1336"/>
      <c r="Q31" s="1336"/>
      <c r="R31" s="1336"/>
      <c r="S31" s="1336"/>
      <c r="T31" s="1336"/>
      <c r="U31" s="1336"/>
      <c r="V31" s="1336"/>
      <c r="W31" s="1336"/>
      <c r="X31" s="1336"/>
      <c r="Y31" s="1336"/>
      <c r="Z31" s="822"/>
      <c r="AA31" s="1"/>
      <c r="AB31" s="1"/>
    </row>
    <row r="32" spans="1:28" ht="15" x14ac:dyDescent="0.25">
      <c r="A32" s="636"/>
      <c r="B32" s="1"/>
      <c r="C32" s="1"/>
      <c r="D32" s="1"/>
      <c r="E32" s="1"/>
      <c r="F32" s="1"/>
      <c r="G32" s="1"/>
      <c r="H32" s="1"/>
      <c r="I32" s="1"/>
      <c r="J32" s="1"/>
      <c r="K32" s="1"/>
      <c r="L32" s="1"/>
      <c r="M32" s="1"/>
      <c r="N32" s="1"/>
      <c r="O32" s="1"/>
      <c r="P32" s="1"/>
      <c r="Q32" s="1"/>
      <c r="R32" s="1"/>
      <c r="S32" s="1"/>
      <c r="T32" s="1"/>
      <c r="U32" s="1"/>
      <c r="V32" s="1"/>
      <c r="W32" s="1"/>
      <c r="X32" s="1"/>
      <c r="Y32" s="1"/>
      <c r="Z32" s="1"/>
      <c r="AA32" s="253" t="s">
        <v>0</v>
      </c>
      <c r="AB32" s="1"/>
    </row>
    <row r="33" spans="1:28" ht="18.75" customHeight="1" x14ac:dyDescent="0.2">
      <c r="A33" s="1761" t="s">
        <v>4</v>
      </c>
      <c r="B33" s="1661" t="s">
        <v>651</v>
      </c>
      <c r="C33" s="1677"/>
      <c r="D33" s="1677"/>
      <c r="E33" s="1677"/>
      <c r="F33" s="1677"/>
      <c r="G33" s="1677"/>
      <c r="H33" s="1677"/>
      <c r="I33" s="1677"/>
      <c r="J33" s="1677"/>
      <c r="K33" s="1677"/>
      <c r="L33" s="1677"/>
      <c r="M33" s="1677"/>
      <c r="N33" s="1677"/>
      <c r="O33" s="1677"/>
      <c r="P33" s="1677"/>
      <c r="Q33" s="1677"/>
      <c r="R33" s="1677"/>
      <c r="S33" s="1677"/>
      <c r="T33" s="1677"/>
      <c r="U33" s="1677"/>
      <c r="V33" s="1677"/>
      <c r="W33" s="1677"/>
      <c r="X33" s="1677"/>
      <c r="Y33" s="1677"/>
      <c r="Z33" s="1662"/>
      <c r="AA33" s="1682" t="s">
        <v>363</v>
      </c>
      <c r="AB33" s="1"/>
    </row>
    <row r="34" spans="1:28" ht="18.75" customHeight="1" x14ac:dyDescent="0.2">
      <c r="A34" s="1762"/>
      <c r="B34" s="1202" t="s">
        <v>331</v>
      </c>
      <c r="C34" s="1203" t="s">
        <v>303</v>
      </c>
      <c r="D34" s="1203" t="s">
        <v>304</v>
      </c>
      <c r="E34" s="1203" t="s">
        <v>305</v>
      </c>
      <c r="F34" s="1203" t="s">
        <v>306</v>
      </c>
      <c r="G34" s="1203" t="s">
        <v>307</v>
      </c>
      <c r="H34" s="1203" t="s">
        <v>308</v>
      </c>
      <c r="I34" s="1203" t="s">
        <v>309</v>
      </c>
      <c r="J34" s="1203" t="s">
        <v>310</v>
      </c>
      <c r="K34" s="1203" t="s">
        <v>311</v>
      </c>
      <c r="L34" s="1203" t="s">
        <v>312</v>
      </c>
      <c r="M34" s="1203" t="s">
        <v>313</v>
      </c>
      <c r="N34" s="1203" t="s">
        <v>344</v>
      </c>
      <c r="O34" s="1203" t="s">
        <v>314</v>
      </c>
      <c r="P34" s="1203" t="s">
        <v>315</v>
      </c>
      <c r="Q34" s="1203" t="s">
        <v>316</v>
      </c>
      <c r="R34" s="1203" t="s">
        <v>317</v>
      </c>
      <c r="S34" s="1203" t="s">
        <v>318</v>
      </c>
      <c r="T34" s="1203" t="s">
        <v>319</v>
      </c>
      <c r="U34" s="1203" t="s">
        <v>320</v>
      </c>
      <c r="V34" s="1203" t="s">
        <v>321</v>
      </c>
      <c r="W34" s="1203" t="s">
        <v>322</v>
      </c>
      <c r="X34" s="1203" t="s">
        <v>323</v>
      </c>
      <c r="Y34" s="1203" t="s">
        <v>324</v>
      </c>
      <c r="Z34" s="1204" t="s">
        <v>228</v>
      </c>
      <c r="AA34" s="1683"/>
      <c r="AB34" s="1"/>
    </row>
    <row r="35" spans="1:28" ht="18.75" customHeight="1" x14ac:dyDescent="0.2">
      <c r="A35" s="824" t="s">
        <v>16</v>
      </c>
      <c r="B35" s="93">
        <v>83</v>
      </c>
      <c r="C35" s="661">
        <v>61</v>
      </c>
      <c r="D35" s="661">
        <v>62</v>
      </c>
      <c r="E35" s="661">
        <v>69</v>
      </c>
      <c r="F35" s="661">
        <v>64</v>
      </c>
      <c r="G35" s="661">
        <v>32</v>
      </c>
      <c r="H35" s="661">
        <v>37</v>
      </c>
      <c r="I35" s="661">
        <v>30</v>
      </c>
      <c r="J35" s="661">
        <v>34</v>
      </c>
      <c r="K35" s="661">
        <v>26</v>
      </c>
      <c r="L35" s="661">
        <v>41</v>
      </c>
      <c r="M35" s="661">
        <v>32</v>
      </c>
      <c r="N35" s="661">
        <v>60</v>
      </c>
      <c r="O35" s="661">
        <v>59</v>
      </c>
      <c r="P35" s="661">
        <v>52</v>
      </c>
      <c r="Q35" s="661">
        <v>73</v>
      </c>
      <c r="R35" s="661">
        <v>81</v>
      </c>
      <c r="S35" s="661">
        <v>79</v>
      </c>
      <c r="T35" s="661">
        <v>92</v>
      </c>
      <c r="U35" s="661">
        <v>107</v>
      </c>
      <c r="V35" s="661">
        <v>75</v>
      </c>
      <c r="W35" s="661">
        <v>93</v>
      </c>
      <c r="X35" s="661">
        <v>101</v>
      </c>
      <c r="Y35" s="661">
        <v>94</v>
      </c>
      <c r="Z35" s="979"/>
      <c r="AA35" s="664">
        <f>SUM(B35:Z35)</f>
        <v>1537</v>
      </c>
      <c r="AB35" s="7"/>
    </row>
    <row r="36" spans="1:28" ht="13.5" customHeight="1" thickBot="1" x14ac:dyDescent="0.25">
      <c r="A36" s="825" t="s">
        <v>18</v>
      </c>
      <c r="B36" s="1087">
        <v>81</v>
      </c>
      <c r="C36" s="1102">
        <v>80</v>
      </c>
      <c r="D36" s="1102">
        <v>67</v>
      </c>
      <c r="E36" s="1102">
        <v>56</v>
      </c>
      <c r="F36" s="1102">
        <v>54</v>
      </c>
      <c r="G36" s="1102">
        <v>33</v>
      </c>
      <c r="H36" s="1102">
        <v>33</v>
      </c>
      <c r="I36" s="1102">
        <v>20</v>
      </c>
      <c r="J36" s="1102">
        <v>29</v>
      </c>
      <c r="K36" s="1102">
        <v>22</v>
      </c>
      <c r="L36" s="1102">
        <v>37</v>
      </c>
      <c r="M36" s="1102">
        <v>45</v>
      </c>
      <c r="N36" s="1102">
        <v>51</v>
      </c>
      <c r="O36" s="1102">
        <v>38</v>
      </c>
      <c r="P36" s="1102">
        <v>48</v>
      </c>
      <c r="Q36" s="1102">
        <v>63</v>
      </c>
      <c r="R36" s="1102">
        <v>76</v>
      </c>
      <c r="S36" s="1102">
        <v>85</v>
      </c>
      <c r="T36" s="1102">
        <v>94</v>
      </c>
      <c r="U36" s="1102">
        <v>107</v>
      </c>
      <c r="V36" s="1102">
        <v>85</v>
      </c>
      <c r="W36" s="1102">
        <v>65</v>
      </c>
      <c r="X36" s="1102">
        <v>90</v>
      </c>
      <c r="Y36" s="1102">
        <v>97</v>
      </c>
      <c r="Z36" s="1103">
        <v>1</v>
      </c>
      <c r="AA36" s="1104">
        <f>SUM(B36:Z36)</f>
        <v>1457</v>
      </c>
      <c r="AB36" s="7"/>
    </row>
    <row r="37" spans="1:28" ht="13.5" customHeight="1" x14ac:dyDescent="0.2">
      <c r="A37" s="825" t="s">
        <v>19</v>
      </c>
      <c r="B37" s="6">
        <v>45</v>
      </c>
      <c r="C37" s="638">
        <v>28</v>
      </c>
      <c r="D37" s="638">
        <v>43</v>
      </c>
      <c r="E37" s="638">
        <v>42</v>
      </c>
      <c r="F37" s="638">
        <v>24</v>
      </c>
      <c r="G37" s="638">
        <v>26</v>
      </c>
      <c r="H37" s="638">
        <v>24</v>
      </c>
      <c r="I37" s="638">
        <v>19</v>
      </c>
      <c r="J37" s="638">
        <v>24</v>
      </c>
      <c r="K37" s="638">
        <v>32</v>
      </c>
      <c r="L37" s="638">
        <v>22</v>
      </c>
      <c r="M37" s="638">
        <v>25</v>
      </c>
      <c r="N37" s="638">
        <v>39</v>
      </c>
      <c r="O37" s="638">
        <v>25</v>
      </c>
      <c r="P37" s="638">
        <v>34</v>
      </c>
      <c r="Q37" s="638">
        <v>34</v>
      </c>
      <c r="R37" s="638">
        <v>55</v>
      </c>
      <c r="S37" s="638">
        <v>75</v>
      </c>
      <c r="T37" s="638">
        <v>80</v>
      </c>
      <c r="U37" s="638">
        <v>71</v>
      </c>
      <c r="V37" s="638">
        <v>63</v>
      </c>
      <c r="W37" s="638">
        <v>71</v>
      </c>
      <c r="X37" s="638">
        <v>57</v>
      </c>
      <c r="Y37" s="638">
        <v>66</v>
      </c>
      <c r="Z37" s="507"/>
      <c r="AA37" s="964">
        <f t="shared" ref="AA37:AA45" si="1">SUM(B37:Z37)</f>
        <v>1024</v>
      </c>
      <c r="AB37" s="7"/>
    </row>
    <row r="38" spans="1:28" ht="13.5" customHeight="1" x14ac:dyDescent="0.2">
      <c r="A38" s="46" t="s">
        <v>20</v>
      </c>
      <c r="B38" s="6">
        <v>62</v>
      </c>
      <c r="C38" s="638">
        <v>62</v>
      </c>
      <c r="D38" s="638">
        <v>52</v>
      </c>
      <c r="E38" s="638">
        <v>29</v>
      </c>
      <c r="F38" s="638">
        <v>32</v>
      </c>
      <c r="G38" s="638">
        <v>28</v>
      </c>
      <c r="H38" s="638">
        <v>23</v>
      </c>
      <c r="I38" s="638">
        <v>27</v>
      </c>
      <c r="J38" s="638">
        <v>19</v>
      </c>
      <c r="K38" s="638">
        <v>27</v>
      </c>
      <c r="L38" s="638">
        <v>30</v>
      </c>
      <c r="M38" s="638">
        <v>40</v>
      </c>
      <c r="N38" s="638">
        <v>48</v>
      </c>
      <c r="O38" s="638">
        <v>29</v>
      </c>
      <c r="P38" s="638">
        <v>35</v>
      </c>
      <c r="Q38" s="638">
        <v>30</v>
      </c>
      <c r="R38" s="638">
        <v>55</v>
      </c>
      <c r="S38" s="638">
        <v>67</v>
      </c>
      <c r="T38" s="638">
        <v>90</v>
      </c>
      <c r="U38" s="638">
        <v>93</v>
      </c>
      <c r="V38" s="638">
        <v>63</v>
      </c>
      <c r="W38" s="638">
        <v>77</v>
      </c>
      <c r="X38" s="638">
        <v>56</v>
      </c>
      <c r="Y38" s="638">
        <v>68</v>
      </c>
      <c r="Z38" s="507"/>
      <c r="AA38" s="643">
        <f t="shared" si="1"/>
        <v>1142</v>
      </c>
      <c r="AB38" s="7"/>
    </row>
    <row r="39" spans="1:28" ht="13.5" customHeight="1" x14ac:dyDescent="0.2">
      <c r="A39" s="10" t="s">
        <v>13</v>
      </c>
      <c r="B39" s="36">
        <v>59</v>
      </c>
      <c r="C39" s="642">
        <v>40</v>
      </c>
      <c r="D39" s="642">
        <v>68</v>
      </c>
      <c r="E39" s="642">
        <v>40</v>
      </c>
      <c r="F39" s="642">
        <v>66</v>
      </c>
      <c r="G39" s="642">
        <v>28</v>
      </c>
      <c r="H39" s="642">
        <v>15</v>
      </c>
      <c r="I39" s="642">
        <v>27</v>
      </c>
      <c r="J39" s="642">
        <v>16</v>
      </c>
      <c r="K39" s="642">
        <v>28</v>
      </c>
      <c r="L39" s="642">
        <v>15</v>
      </c>
      <c r="M39" s="642">
        <v>22</v>
      </c>
      <c r="N39" s="642">
        <v>34</v>
      </c>
      <c r="O39" s="642">
        <v>39</v>
      </c>
      <c r="P39" s="642">
        <v>29</v>
      </c>
      <c r="Q39" s="642">
        <v>45</v>
      </c>
      <c r="R39" s="642">
        <v>72</v>
      </c>
      <c r="S39" s="642">
        <v>66</v>
      </c>
      <c r="T39" s="642">
        <v>106</v>
      </c>
      <c r="U39" s="642">
        <v>81</v>
      </c>
      <c r="V39" s="642">
        <v>96</v>
      </c>
      <c r="W39" s="642">
        <v>86</v>
      </c>
      <c r="X39" s="642">
        <v>74</v>
      </c>
      <c r="Y39" s="642">
        <v>69</v>
      </c>
      <c r="Z39" s="507"/>
      <c r="AA39" s="643">
        <f t="shared" si="1"/>
        <v>1221</v>
      </c>
      <c r="AB39" s="7"/>
    </row>
    <row r="40" spans="1:28" ht="13.5" customHeight="1" x14ac:dyDescent="0.2">
      <c r="A40" s="10" t="s">
        <v>15</v>
      </c>
      <c r="B40" s="36">
        <v>65</v>
      </c>
      <c r="C40" s="642">
        <v>52</v>
      </c>
      <c r="D40" s="642">
        <v>30</v>
      </c>
      <c r="E40" s="642">
        <v>45</v>
      </c>
      <c r="F40" s="642">
        <v>22</v>
      </c>
      <c r="G40" s="642">
        <v>34</v>
      </c>
      <c r="H40" s="642">
        <v>11</v>
      </c>
      <c r="I40" s="642">
        <v>25</v>
      </c>
      <c r="J40" s="642">
        <v>22</v>
      </c>
      <c r="K40" s="642">
        <v>33</v>
      </c>
      <c r="L40" s="642">
        <v>31</v>
      </c>
      <c r="M40" s="642">
        <v>24</v>
      </c>
      <c r="N40" s="642">
        <v>30</v>
      </c>
      <c r="O40" s="642">
        <v>42</v>
      </c>
      <c r="P40" s="642">
        <v>46</v>
      </c>
      <c r="Q40" s="642">
        <v>51</v>
      </c>
      <c r="R40" s="642">
        <v>59</v>
      </c>
      <c r="S40" s="642">
        <v>91</v>
      </c>
      <c r="T40" s="642">
        <v>88</v>
      </c>
      <c r="U40" s="642">
        <v>79</v>
      </c>
      <c r="V40" s="642">
        <v>94</v>
      </c>
      <c r="W40" s="642">
        <v>62</v>
      </c>
      <c r="X40" s="642">
        <v>70</v>
      </c>
      <c r="Y40" s="642">
        <v>60</v>
      </c>
      <c r="Z40" s="818"/>
      <c r="AA40" s="643">
        <f>SUM(B40:Z40)</f>
        <v>1166</v>
      </c>
      <c r="AB40" s="7"/>
    </row>
    <row r="41" spans="1:28" ht="13.5" customHeight="1" x14ac:dyDescent="0.2">
      <c r="A41" s="10" t="s">
        <v>17</v>
      </c>
      <c r="B41" s="36">
        <v>50</v>
      </c>
      <c r="C41" s="642">
        <v>54</v>
      </c>
      <c r="D41" s="642">
        <v>57</v>
      </c>
      <c r="E41" s="642">
        <v>60</v>
      </c>
      <c r="F41" s="642">
        <v>39</v>
      </c>
      <c r="G41" s="642">
        <v>19</v>
      </c>
      <c r="H41" s="642">
        <v>20</v>
      </c>
      <c r="I41" s="642">
        <v>16</v>
      </c>
      <c r="J41" s="642">
        <v>19</v>
      </c>
      <c r="K41" s="642">
        <v>19</v>
      </c>
      <c r="L41" s="642">
        <v>33</v>
      </c>
      <c r="M41" s="642">
        <v>39</v>
      </c>
      <c r="N41" s="642">
        <v>42</v>
      </c>
      <c r="O41" s="642">
        <v>36</v>
      </c>
      <c r="P41" s="642">
        <v>40</v>
      </c>
      <c r="Q41" s="642">
        <v>40</v>
      </c>
      <c r="R41" s="642">
        <v>57</v>
      </c>
      <c r="S41" s="642">
        <v>85</v>
      </c>
      <c r="T41" s="642">
        <v>81</v>
      </c>
      <c r="U41" s="642">
        <v>84</v>
      </c>
      <c r="V41" s="642">
        <v>70</v>
      </c>
      <c r="W41" s="642">
        <v>79</v>
      </c>
      <c r="X41" s="642">
        <v>70</v>
      </c>
      <c r="Y41" s="642">
        <v>31</v>
      </c>
      <c r="Z41" s="818"/>
      <c r="AA41" s="643">
        <f t="shared" si="1"/>
        <v>1140</v>
      </c>
      <c r="AB41" s="7"/>
    </row>
    <row r="42" spans="1:28" ht="13.5" customHeight="1" x14ac:dyDescent="0.2">
      <c r="A42" s="10" t="s">
        <v>147</v>
      </c>
      <c r="B42" s="36">
        <v>40</v>
      </c>
      <c r="C42" s="642">
        <v>29</v>
      </c>
      <c r="D42" s="642">
        <v>38</v>
      </c>
      <c r="E42" s="642">
        <v>30</v>
      </c>
      <c r="F42" s="642">
        <v>20</v>
      </c>
      <c r="G42" s="642">
        <v>30</v>
      </c>
      <c r="H42" s="642">
        <v>18</v>
      </c>
      <c r="I42" s="642">
        <v>10</v>
      </c>
      <c r="J42" s="642">
        <v>26</v>
      </c>
      <c r="K42" s="642">
        <v>24</v>
      </c>
      <c r="L42" s="642">
        <v>31</v>
      </c>
      <c r="M42" s="642">
        <v>29</v>
      </c>
      <c r="N42" s="642">
        <v>18</v>
      </c>
      <c r="O42" s="642">
        <v>28</v>
      </c>
      <c r="P42" s="642">
        <v>40</v>
      </c>
      <c r="Q42" s="642">
        <v>33</v>
      </c>
      <c r="R42" s="642">
        <v>40</v>
      </c>
      <c r="S42" s="642">
        <v>75</v>
      </c>
      <c r="T42" s="642">
        <v>62</v>
      </c>
      <c r="U42" s="642">
        <v>84</v>
      </c>
      <c r="V42" s="642">
        <v>73</v>
      </c>
      <c r="W42" s="642">
        <v>68</v>
      </c>
      <c r="X42" s="642">
        <v>50</v>
      </c>
      <c r="Y42" s="642">
        <v>53</v>
      </c>
      <c r="Z42" s="818"/>
      <c r="AA42" s="643">
        <f t="shared" si="1"/>
        <v>949</v>
      </c>
      <c r="AB42" s="7"/>
    </row>
    <row r="43" spans="1:28" ht="13.5" customHeight="1" x14ac:dyDescent="0.2">
      <c r="A43" s="244" t="s">
        <v>160</v>
      </c>
      <c r="B43" s="36">
        <f>'T25'!D8</f>
        <v>34</v>
      </c>
      <c r="C43" s="642">
        <f>'T25'!E8</f>
        <v>38</v>
      </c>
      <c r="D43" s="642">
        <f>'T25'!F8</f>
        <v>42</v>
      </c>
      <c r="E43" s="642">
        <f>'T25'!G8</f>
        <v>43</v>
      </c>
      <c r="F43" s="642">
        <f>'T25'!H8</f>
        <v>27</v>
      </c>
      <c r="G43" s="642">
        <f>'T25'!I8</f>
        <v>18</v>
      </c>
      <c r="H43" s="642">
        <f>'T25'!J8</f>
        <v>25</v>
      </c>
      <c r="I43" s="642">
        <f>'T25'!K8</f>
        <v>15</v>
      </c>
      <c r="J43" s="642">
        <f>'T25'!L8</f>
        <v>32</v>
      </c>
      <c r="K43" s="642">
        <f>'T25'!M8</f>
        <v>19</v>
      </c>
      <c r="L43" s="642">
        <f>'T25'!N8</f>
        <v>22</v>
      </c>
      <c r="M43" s="642">
        <f>'T25'!O8</f>
        <v>28</v>
      </c>
      <c r="N43" s="642">
        <f>'T25'!P8</f>
        <v>28</v>
      </c>
      <c r="O43" s="642">
        <f>'T25'!Q8</f>
        <v>39</v>
      </c>
      <c r="P43" s="642">
        <f>'T25'!R8</f>
        <v>54</v>
      </c>
      <c r="Q43" s="642">
        <f>'T25'!S8</f>
        <v>55</v>
      </c>
      <c r="R43" s="642">
        <f>'T25'!T8</f>
        <v>63</v>
      </c>
      <c r="S43" s="642">
        <f>'T25'!U8</f>
        <v>75</v>
      </c>
      <c r="T43" s="642">
        <f>'T25'!V8</f>
        <v>79</v>
      </c>
      <c r="U43" s="642">
        <f>'T25'!W8</f>
        <v>71</v>
      </c>
      <c r="V43" s="642">
        <f>'T25'!X8</f>
        <v>70</v>
      </c>
      <c r="W43" s="642">
        <f>'T25'!Y8</f>
        <v>68</v>
      </c>
      <c r="X43" s="642">
        <f>'T25'!Z8</f>
        <v>51</v>
      </c>
      <c r="Y43" s="642">
        <f>'T25'!AA8</f>
        <v>67</v>
      </c>
      <c r="Z43" s="818"/>
      <c r="AA43" s="643">
        <f t="shared" si="1"/>
        <v>1063</v>
      </c>
      <c r="AB43" s="7"/>
    </row>
    <row r="44" spans="1:28" ht="13.5" customHeight="1" x14ac:dyDescent="0.2">
      <c r="A44" s="244" t="s">
        <v>379</v>
      </c>
      <c r="B44" s="36">
        <f>'T25'!D9</f>
        <v>52</v>
      </c>
      <c r="C44" s="642">
        <f>'T25'!E9</f>
        <v>61</v>
      </c>
      <c r="D44" s="642">
        <f>'T25'!F9</f>
        <v>45</v>
      </c>
      <c r="E44" s="642">
        <f>'T25'!G9</f>
        <v>37</v>
      </c>
      <c r="F44" s="642">
        <f>'T25'!H9</f>
        <v>42</v>
      </c>
      <c r="G44" s="642">
        <f>'T25'!I9</f>
        <v>24</v>
      </c>
      <c r="H44" s="642">
        <f>'T25'!J9</f>
        <v>32</v>
      </c>
      <c r="I44" s="642">
        <f>'T25'!K9</f>
        <v>26</v>
      </c>
      <c r="J44" s="642">
        <f>'T25'!L9</f>
        <v>30</v>
      </c>
      <c r="K44" s="642">
        <f>'T25'!M9</f>
        <v>30</v>
      </c>
      <c r="L44" s="642">
        <f>'T25'!N9</f>
        <v>27</v>
      </c>
      <c r="M44" s="642">
        <f>'T25'!O9</f>
        <v>50</v>
      </c>
      <c r="N44" s="642">
        <f>'T25'!P9</f>
        <v>22</v>
      </c>
      <c r="O44" s="642">
        <f>'T25'!Q9</f>
        <v>35</v>
      </c>
      <c r="P44" s="642">
        <f>'T25'!R9</f>
        <v>43</v>
      </c>
      <c r="Q44" s="642">
        <f>'T25'!S9</f>
        <v>37</v>
      </c>
      <c r="R44" s="642">
        <f>'T25'!T9</f>
        <v>73</v>
      </c>
      <c r="S44" s="642">
        <f>'T25'!U9</f>
        <v>72</v>
      </c>
      <c r="T44" s="642">
        <f>'T25'!V9</f>
        <v>53</v>
      </c>
      <c r="U44" s="642">
        <f>'T25'!W9</f>
        <v>78</v>
      </c>
      <c r="V44" s="642">
        <f>'T25'!X9</f>
        <v>61</v>
      </c>
      <c r="W44" s="642">
        <f>'T25'!Y9</f>
        <v>60</v>
      </c>
      <c r="X44" s="642">
        <f>'T25'!Z9</f>
        <v>65</v>
      </c>
      <c r="Y44" s="642">
        <f>'T25'!AA9</f>
        <v>60</v>
      </c>
      <c r="Z44" s="818"/>
      <c r="AA44" s="643">
        <f>SUM(B44:Z44)</f>
        <v>1115</v>
      </c>
      <c r="AB44" s="7" t="s">
        <v>145</v>
      </c>
    </row>
    <row r="45" spans="1:28" ht="13.5" customHeight="1" x14ac:dyDescent="0.2">
      <c r="A45" s="470" t="s">
        <v>603</v>
      </c>
      <c r="B45" s="635">
        <f>'T25'!D10</f>
        <v>51</v>
      </c>
      <c r="C45" s="645">
        <f>'T25'!E10</f>
        <v>31</v>
      </c>
      <c r="D45" s="645">
        <f>'T25'!F10</f>
        <v>30</v>
      </c>
      <c r="E45" s="645">
        <f>'T25'!G10</f>
        <v>30</v>
      </c>
      <c r="F45" s="645">
        <f>'T25'!H10</f>
        <v>26</v>
      </c>
      <c r="G45" s="645">
        <f>'T25'!I10</f>
        <v>25</v>
      </c>
      <c r="H45" s="645">
        <f>'T25'!J10</f>
        <v>14</v>
      </c>
      <c r="I45" s="645">
        <f>'T25'!K10</f>
        <v>16</v>
      </c>
      <c r="J45" s="645">
        <f>'T25'!L10</f>
        <v>28</v>
      </c>
      <c r="K45" s="645">
        <f>'T25'!M10</f>
        <v>16</v>
      </c>
      <c r="L45" s="645">
        <f>'T25'!N10</f>
        <v>26</v>
      </c>
      <c r="M45" s="645">
        <f>'T25'!O10</f>
        <v>33</v>
      </c>
      <c r="N45" s="645">
        <f>'T25'!P10</f>
        <v>27</v>
      </c>
      <c r="O45" s="645">
        <f>'T25'!Q10</f>
        <v>36</v>
      </c>
      <c r="P45" s="645">
        <f>'T25'!R10</f>
        <v>37</v>
      </c>
      <c r="Q45" s="645">
        <f>'T25'!S10</f>
        <v>43</v>
      </c>
      <c r="R45" s="645">
        <f>'T25'!T10</f>
        <v>55</v>
      </c>
      <c r="S45" s="645">
        <f>'T25'!U10</f>
        <v>79</v>
      </c>
      <c r="T45" s="645">
        <f>'T25'!V10</f>
        <v>64</v>
      </c>
      <c r="U45" s="645">
        <f>'T25'!W10</f>
        <v>48</v>
      </c>
      <c r="V45" s="645">
        <f>'T25'!X10</f>
        <v>57</v>
      </c>
      <c r="W45" s="645">
        <f>'T25'!Y10</f>
        <v>52</v>
      </c>
      <c r="X45" s="645">
        <f>'T25'!Z10</f>
        <v>52</v>
      </c>
      <c r="Y45" s="645">
        <f>'T25'!AA10</f>
        <v>45</v>
      </c>
      <c r="Z45" s="820"/>
      <c r="AA45" s="1016">
        <f t="shared" si="1"/>
        <v>921</v>
      </c>
      <c r="AB45" s="7" t="s">
        <v>143</v>
      </c>
    </row>
    <row r="46" spans="1:28" x14ac:dyDescent="0.2">
      <c r="A46" s="68"/>
      <c r="B46" s="41"/>
      <c r="C46" s="642"/>
      <c r="D46" s="642"/>
      <c r="E46" s="642"/>
      <c r="F46" s="642"/>
      <c r="G46" s="642"/>
      <c r="H46" s="642"/>
      <c r="I46" s="642"/>
      <c r="J46" s="642"/>
      <c r="K46" s="642"/>
      <c r="L46" s="642"/>
      <c r="M46" s="642"/>
      <c r="N46" s="642"/>
      <c r="O46" s="642"/>
      <c r="P46" s="642"/>
      <c r="Q46" s="642"/>
      <c r="R46" s="642"/>
      <c r="S46" s="642"/>
      <c r="T46" s="642"/>
      <c r="U46" s="642"/>
      <c r="V46" s="642"/>
      <c r="W46" s="642"/>
      <c r="X46" s="642"/>
      <c r="Y46" s="642"/>
      <c r="Z46" s="641"/>
      <c r="AA46" s="823"/>
      <c r="AB46" s="7"/>
    </row>
    <row r="47" spans="1:28" ht="14.25" x14ac:dyDescent="0.2">
      <c r="A47" s="636"/>
      <c r="B47" s="1"/>
      <c r="C47" s="1"/>
      <c r="D47" s="1"/>
      <c r="E47" s="1"/>
      <c r="F47" s="1"/>
      <c r="G47" s="1"/>
      <c r="H47" s="1"/>
      <c r="I47" s="1"/>
      <c r="J47" s="1"/>
      <c r="K47" s="1"/>
      <c r="L47" s="1"/>
      <c r="M47" s="1"/>
      <c r="N47" s="1"/>
      <c r="O47" s="1"/>
      <c r="P47" s="1"/>
      <c r="Q47" s="1"/>
      <c r="R47" s="1"/>
      <c r="S47" s="1"/>
      <c r="T47" s="1"/>
      <c r="U47" s="1"/>
      <c r="V47" s="1"/>
      <c r="W47" s="1"/>
      <c r="X47" s="1"/>
      <c r="Y47" s="1"/>
      <c r="Z47" s="1"/>
      <c r="AA47" s="145" t="s">
        <v>58</v>
      </c>
      <c r="AB47" s="1"/>
    </row>
    <row r="48" spans="1:28" ht="18.75" customHeight="1" x14ac:dyDescent="0.2">
      <c r="A48" s="1629" t="s">
        <v>4</v>
      </c>
      <c r="B48" s="1764" t="s">
        <v>652</v>
      </c>
      <c r="C48" s="1765"/>
      <c r="D48" s="1765"/>
      <c r="E48" s="1765"/>
      <c r="F48" s="1765"/>
      <c r="G48" s="1765"/>
      <c r="H48" s="1765"/>
      <c r="I48" s="1765"/>
      <c r="J48" s="1765"/>
      <c r="K48" s="1765"/>
      <c r="L48" s="1765"/>
      <c r="M48" s="1765"/>
      <c r="N48" s="1765"/>
      <c r="O48" s="1765"/>
      <c r="P48" s="1765"/>
      <c r="Q48" s="1765"/>
      <c r="R48" s="1765"/>
      <c r="S48" s="1765"/>
      <c r="T48" s="1765"/>
      <c r="U48" s="1765"/>
      <c r="V48" s="1765"/>
      <c r="W48" s="1765"/>
      <c r="X48" s="1765"/>
      <c r="Y48" s="1765"/>
      <c r="Z48" s="1766"/>
      <c r="AA48" s="1759" t="s">
        <v>654</v>
      </c>
    </row>
    <row r="49" spans="1:28" ht="18.75" customHeight="1" x14ac:dyDescent="0.2">
      <c r="A49" s="1630"/>
      <c r="B49" s="1202" t="s">
        <v>331</v>
      </c>
      <c r="C49" s="1203" t="s">
        <v>303</v>
      </c>
      <c r="D49" s="1203" t="s">
        <v>304</v>
      </c>
      <c r="E49" s="1203" t="s">
        <v>305</v>
      </c>
      <c r="F49" s="1203" t="s">
        <v>306</v>
      </c>
      <c r="G49" s="1203" t="s">
        <v>307</v>
      </c>
      <c r="H49" s="1203" t="s">
        <v>308</v>
      </c>
      <c r="I49" s="1203" t="s">
        <v>309</v>
      </c>
      <c r="J49" s="1203" t="s">
        <v>310</v>
      </c>
      <c r="K49" s="1203" t="s">
        <v>311</v>
      </c>
      <c r="L49" s="1203" t="s">
        <v>312</v>
      </c>
      <c r="M49" s="1203" t="s">
        <v>313</v>
      </c>
      <c r="N49" s="1203" t="s">
        <v>344</v>
      </c>
      <c r="O49" s="1203" t="s">
        <v>314</v>
      </c>
      <c r="P49" s="1203" t="s">
        <v>315</v>
      </c>
      <c r="Q49" s="1203" t="s">
        <v>316</v>
      </c>
      <c r="R49" s="1203" t="s">
        <v>317</v>
      </c>
      <c r="S49" s="1203" t="s">
        <v>318</v>
      </c>
      <c r="T49" s="1203" t="s">
        <v>319</v>
      </c>
      <c r="U49" s="1203" t="s">
        <v>320</v>
      </c>
      <c r="V49" s="1203" t="s">
        <v>321</v>
      </c>
      <c r="W49" s="1203" t="s">
        <v>322</v>
      </c>
      <c r="X49" s="1203" t="s">
        <v>323</v>
      </c>
      <c r="Y49" s="1203" t="s">
        <v>324</v>
      </c>
      <c r="Z49" s="1204" t="s">
        <v>228</v>
      </c>
      <c r="AA49" s="1760"/>
    </row>
    <row r="50" spans="1:28" ht="18.75" customHeight="1" x14ac:dyDescent="0.2">
      <c r="A50" s="824" t="s">
        <v>16</v>
      </c>
      <c r="B50" s="832">
        <f>B35/'24'!B20*1000</f>
        <v>318.00766283524905</v>
      </c>
      <c r="C50" s="833">
        <f>C35/'24'!C20*1000</f>
        <v>303.48258706467664</v>
      </c>
      <c r="D50" s="833">
        <f>D35/'24'!D20*1000</f>
        <v>342.54143646408841</v>
      </c>
      <c r="E50" s="833">
        <f>E35/'24'!E20*1000</f>
        <v>475.86206896551727</v>
      </c>
      <c r="F50" s="833">
        <f>F35/'24'!F20*1000</f>
        <v>444.4444444444444</v>
      </c>
      <c r="G50" s="833">
        <f>G35/'24'!G20*1000</f>
        <v>285.71428571428572</v>
      </c>
      <c r="H50" s="833">
        <f>H35/'24'!H20*1000</f>
        <v>333.33333333333331</v>
      </c>
      <c r="I50" s="833">
        <f>I35/'24'!I20*1000</f>
        <v>263.15789473684208</v>
      </c>
      <c r="J50" s="833">
        <f>J35/'24'!J20*1000</f>
        <v>261.53846153846155</v>
      </c>
      <c r="K50" s="833">
        <f>K35/'24'!K20*1000</f>
        <v>134.71502590673575</v>
      </c>
      <c r="L50" s="833">
        <f>L35/'24'!L20*1000</f>
        <v>193.39622641509436</v>
      </c>
      <c r="M50" s="833">
        <f>M35/'24'!M20*1000</f>
        <v>135.59322033898306</v>
      </c>
      <c r="N50" s="833">
        <f>N35/'24'!N20*1000</f>
        <v>200.66889632107024</v>
      </c>
      <c r="O50" s="833">
        <f>O35/'24'!O20*1000</f>
        <v>213.768115942029</v>
      </c>
      <c r="P50" s="833">
        <f>P35/'24'!P20*1000</f>
        <v>173.91304347826087</v>
      </c>
      <c r="Q50" s="833">
        <f>Q35/'24'!Q20*1000</f>
        <v>228.125</v>
      </c>
      <c r="R50" s="833">
        <f>R35/'24'!R20*1000</f>
        <v>165.64417177914109</v>
      </c>
      <c r="S50" s="833">
        <f>S35/'24'!S20*1000</f>
        <v>143.63636363636365</v>
      </c>
      <c r="T50" s="833">
        <f>T35/'24'!T20*1000</f>
        <v>181.10236220472441</v>
      </c>
      <c r="U50" s="833">
        <f>U35/'24'!U20*1000</f>
        <v>219.71252566735114</v>
      </c>
      <c r="V50" s="833">
        <f>V35/'24'!V20*1000</f>
        <v>185.18518518518516</v>
      </c>
      <c r="W50" s="833">
        <f>W35/'24'!W20*1000</f>
        <v>229.62962962962962</v>
      </c>
      <c r="X50" s="833">
        <f>X35/'24'!X20*1000</f>
        <v>323.71794871794873</v>
      </c>
      <c r="Y50" s="833">
        <f>Y35/'24'!Y20*1000</f>
        <v>339.35018050541515</v>
      </c>
      <c r="Z50" s="1079"/>
      <c r="AA50" s="1076">
        <f>AA35/'24'!AA20*1000</f>
        <v>230.53847307634618</v>
      </c>
      <c r="AB50" s="1"/>
    </row>
    <row r="51" spans="1:28" ht="13.5" customHeight="1" thickBot="1" x14ac:dyDescent="0.25">
      <c r="A51" s="825" t="s">
        <v>18</v>
      </c>
      <c r="B51" s="1105">
        <f>B36/'24'!B21*1000</f>
        <v>311.53846153846155</v>
      </c>
      <c r="C51" s="1106">
        <f>C36/'24'!C21*1000</f>
        <v>304.18250950570342</v>
      </c>
      <c r="D51" s="1106">
        <f>D36/'24'!D21*1000</f>
        <v>319.04761904761904</v>
      </c>
      <c r="E51" s="1106">
        <f>E36/'24'!E21*1000</f>
        <v>434.10852713178292</v>
      </c>
      <c r="F51" s="1106">
        <f>F36/'24'!F21*1000</f>
        <v>432</v>
      </c>
      <c r="G51" s="1106">
        <f>G36/'24'!G21*1000</f>
        <v>362.63736263736263</v>
      </c>
      <c r="H51" s="1106">
        <f>H36/'24'!H21*1000</f>
        <v>277.31092436974791</v>
      </c>
      <c r="I51" s="1106">
        <f>I36/'24'!I21*1000</f>
        <v>181.81818181818181</v>
      </c>
      <c r="J51" s="1106">
        <f>J36/'24'!J21*1000</f>
        <v>200</v>
      </c>
      <c r="K51" s="1106">
        <f>K36/'24'!K21*1000</f>
        <v>111.1111111111111</v>
      </c>
      <c r="L51" s="1106">
        <f>L36/'24'!L21*1000</f>
        <v>185</v>
      </c>
      <c r="M51" s="1106">
        <f>M36/'24'!M21*1000</f>
        <v>166.05166051660515</v>
      </c>
      <c r="N51" s="1106">
        <f>N36/'24'!N21*1000</f>
        <v>172.29729729729729</v>
      </c>
      <c r="O51" s="1106">
        <f>O36/'24'!O21*1000</f>
        <v>126.24584717607974</v>
      </c>
      <c r="P51" s="1106">
        <f>P36/'24'!P21*1000</f>
        <v>161.07382550335569</v>
      </c>
      <c r="Q51" s="1106">
        <f>Q36/'24'!Q21*1000</f>
        <v>171.66212534059946</v>
      </c>
      <c r="R51" s="1106">
        <f>R36/'24'!R21*1000</f>
        <v>196.89119170984458</v>
      </c>
      <c r="S51" s="1106">
        <f>S36/'24'!S21*1000</f>
        <v>160.075329566855</v>
      </c>
      <c r="T51" s="1106">
        <f>T36/'24'!T21*1000</f>
        <v>183.23586744639374</v>
      </c>
      <c r="U51" s="1106">
        <f>U36/'24'!U21*1000</f>
        <v>204.9808429118774</v>
      </c>
      <c r="V51" s="1106">
        <f>V36/'24'!V21*1000</f>
        <v>213.03258145363407</v>
      </c>
      <c r="W51" s="1106">
        <f>W36/'24'!W21*1000</f>
        <v>191.17647058823528</v>
      </c>
      <c r="X51" s="1106">
        <f>X36/'24'!X21*1000</f>
        <v>258.62068965517244</v>
      </c>
      <c r="Y51" s="1106">
        <f>Y36/'24'!Y21*1000</f>
        <v>346.42857142857144</v>
      </c>
      <c r="Z51" s="1107">
        <f>IFERROR(Z36/'24'!Z21*1000,0)</f>
        <v>1000</v>
      </c>
      <c r="AA51" s="1108">
        <f>AA36/'24'!AA21*1000</f>
        <v>217.36535879456957</v>
      </c>
      <c r="AB51" s="1"/>
    </row>
    <row r="52" spans="1:28" ht="13.5" customHeight="1" x14ac:dyDescent="0.2">
      <c r="A52" s="825" t="s">
        <v>19</v>
      </c>
      <c r="B52" s="834">
        <f>B37/'24'!B22*1000</f>
        <v>185.18518518518516</v>
      </c>
      <c r="C52" s="835">
        <f>C37/'24'!C22*1000</f>
        <v>132.0754716981132</v>
      </c>
      <c r="D52" s="835">
        <f>D37/'24'!D22*1000</f>
        <v>211.82266009852216</v>
      </c>
      <c r="E52" s="835">
        <f>E37/'24'!E22*1000</f>
        <v>241.37931034482759</v>
      </c>
      <c r="F52" s="835">
        <f>F37/'24'!F22*1000</f>
        <v>179.1044776119403</v>
      </c>
      <c r="G52" s="835">
        <f>G37/'24'!G22*1000</f>
        <v>285.71428571428572</v>
      </c>
      <c r="H52" s="835">
        <f>H37/'24'!H22*1000</f>
        <v>285.71428571428572</v>
      </c>
      <c r="I52" s="835">
        <f>I37/'24'!I22*1000</f>
        <v>180.95238095238093</v>
      </c>
      <c r="J52" s="835">
        <f>J37/'24'!J22*1000</f>
        <v>222.2222222222222</v>
      </c>
      <c r="K52" s="835">
        <f>K37/'24'!K22*1000</f>
        <v>213.33333333333334</v>
      </c>
      <c r="L52" s="835">
        <f>L37/'24'!L22*1000</f>
        <v>128.65497076023391</v>
      </c>
      <c r="M52" s="835">
        <f>M37/'24'!M22*1000</f>
        <v>99.206349206349202</v>
      </c>
      <c r="N52" s="835">
        <f>N37/'24'!N22*1000</f>
        <v>130.43478260869566</v>
      </c>
      <c r="O52" s="835">
        <f>O37/'24'!O22*1000</f>
        <v>77.881619937694694</v>
      </c>
      <c r="P52" s="835">
        <f>P37/'24'!P22*1000</f>
        <v>108.6261980830671</v>
      </c>
      <c r="Q52" s="835">
        <f>Q37/'24'!Q22*1000</f>
        <v>103.65853658536585</v>
      </c>
      <c r="R52" s="835">
        <f>R37/'24'!R22*1000</f>
        <v>131.26491646778044</v>
      </c>
      <c r="S52" s="835">
        <f>S37/'24'!S22*1000</f>
        <v>151.20967741935485</v>
      </c>
      <c r="T52" s="835">
        <f>T37/'24'!T22*1000</f>
        <v>150.94339622641508</v>
      </c>
      <c r="U52" s="835">
        <f>U37/'24'!U22*1000</f>
        <v>150.42372881355931</v>
      </c>
      <c r="V52" s="835">
        <f>V37/'24'!V22*1000</f>
        <v>150.35799522673031</v>
      </c>
      <c r="W52" s="835">
        <f>W37/'24'!W22*1000</f>
        <v>182.05128205128204</v>
      </c>
      <c r="X52" s="835">
        <f>X37/'24'!X22*1000</f>
        <v>154.47154471544715</v>
      </c>
      <c r="Y52" s="835">
        <f>Y37/'24'!Y22*1000</f>
        <v>227.58620689655174</v>
      </c>
      <c r="Z52" s="1080"/>
      <c r="AA52" s="1077">
        <f>AA37/'24'!AA22*1000</f>
        <v>155.78883310512703</v>
      </c>
      <c r="AB52" s="1"/>
    </row>
    <row r="53" spans="1:28" ht="13.5" customHeight="1" x14ac:dyDescent="0.2">
      <c r="A53" s="46" t="s">
        <v>20</v>
      </c>
      <c r="B53" s="834">
        <f>B38/'24'!B23*1000</f>
        <v>269.56521739130437</v>
      </c>
      <c r="C53" s="835">
        <f>C38/'24'!C23*1000</f>
        <v>246.03174603174602</v>
      </c>
      <c r="D53" s="835">
        <f>D38/'24'!D23*1000</f>
        <v>287.29281767955803</v>
      </c>
      <c r="E53" s="835">
        <f>E38/'24'!E23*1000</f>
        <v>182.38993710691824</v>
      </c>
      <c r="F53" s="835">
        <f>F38/'24'!F23*1000</f>
        <v>275.86206896551721</v>
      </c>
      <c r="G53" s="835">
        <f>G38/'24'!G23*1000</f>
        <v>222.2222222222222</v>
      </c>
      <c r="H53" s="835">
        <f>H38/'24'!H23*1000</f>
        <v>283.95061728395058</v>
      </c>
      <c r="I53" s="835">
        <f>I38/'24'!I23*1000</f>
        <v>267.32673267326732</v>
      </c>
      <c r="J53" s="835">
        <f>J38/'24'!J23*1000</f>
        <v>175.92592592592592</v>
      </c>
      <c r="K53" s="835">
        <f>K38/'24'!K23*1000</f>
        <v>175.32467532467533</v>
      </c>
      <c r="L53" s="835">
        <f>L38/'24'!L23*1000</f>
        <v>162.16216216216216</v>
      </c>
      <c r="M53" s="835">
        <f>M38/'24'!M23*1000</f>
        <v>175.43859649122805</v>
      </c>
      <c r="N53" s="835">
        <f>N38/'24'!N23*1000</f>
        <v>164.94845360824743</v>
      </c>
      <c r="O53" s="835">
        <f>O38/'24'!O23*1000</f>
        <v>102.11267605633803</v>
      </c>
      <c r="P53" s="835">
        <f>P38/'24'!P23*1000</f>
        <v>108.69565217391305</v>
      </c>
      <c r="Q53" s="835">
        <f>Q38/'24'!Q23*1000</f>
        <v>97.087378640776691</v>
      </c>
      <c r="R53" s="835">
        <f>R38/'24'!R23*1000</f>
        <v>128.80562060889929</v>
      </c>
      <c r="S53" s="835">
        <f>S38/'24'!S23*1000</f>
        <v>137.29508196721312</v>
      </c>
      <c r="T53" s="835">
        <f>T38/'24'!T23*1000</f>
        <v>190.27484143763212</v>
      </c>
      <c r="U53" s="835">
        <f>U38/'24'!U23*1000</f>
        <v>207.58928571428572</v>
      </c>
      <c r="V53" s="835">
        <f>V38/'24'!V23*1000</f>
        <v>161.53846153846155</v>
      </c>
      <c r="W53" s="835">
        <f>W38/'24'!W23*1000</f>
        <v>220</v>
      </c>
      <c r="X53" s="835">
        <f>X38/'24'!X23*1000</f>
        <v>175.5485893416928</v>
      </c>
      <c r="Y53" s="835">
        <f>Y38/'24'!Y23*1000</f>
        <v>244.60431654676259</v>
      </c>
      <c r="Z53" s="1080"/>
      <c r="AA53" s="1077">
        <f>AA38/'24'!AA23*1000</f>
        <v>181.26984126984127</v>
      </c>
      <c r="AB53" s="1"/>
    </row>
    <row r="54" spans="1:28" ht="13.5" customHeight="1" x14ac:dyDescent="0.2">
      <c r="A54" s="10" t="s">
        <v>13</v>
      </c>
      <c r="B54" s="834">
        <f>B39/'24'!B24*1000</f>
        <v>239.83739837398375</v>
      </c>
      <c r="C54" s="835">
        <f>C39/'24'!C24*1000</f>
        <v>196.07843137254901</v>
      </c>
      <c r="D54" s="835">
        <f>D39/'24'!D24*1000</f>
        <v>382.02247191011236</v>
      </c>
      <c r="E54" s="835">
        <f>E39/'24'!E24*1000</f>
        <v>259.74025974025972</v>
      </c>
      <c r="F54" s="835">
        <f>F39/'24'!F24*1000</f>
        <v>481.7518248175183</v>
      </c>
      <c r="G54" s="835">
        <f>G39/'24'!G24*1000</f>
        <v>277.22772277227727</v>
      </c>
      <c r="H54" s="835">
        <f>H39/'24'!H24*1000</f>
        <v>174.41860465116281</v>
      </c>
      <c r="I54" s="835">
        <f>I39/'24'!I24*1000</f>
        <v>290.32258064516134</v>
      </c>
      <c r="J54" s="835">
        <f>J39/'24'!J24*1000</f>
        <v>125.98425196850394</v>
      </c>
      <c r="K54" s="835">
        <f>K39/'24'!K24*1000</f>
        <v>185.43046357615896</v>
      </c>
      <c r="L54" s="835">
        <f>L39/'24'!L24*1000</f>
        <v>75.37688442211055</v>
      </c>
      <c r="M54" s="835">
        <f>M39/'24'!M24*1000</f>
        <v>92.827004219409289</v>
      </c>
      <c r="N54" s="835">
        <f>N39/'24'!N24*1000</f>
        <v>134.38735177865613</v>
      </c>
      <c r="O54" s="835">
        <f>O39/'24'!O24*1000</f>
        <v>133.56164383561645</v>
      </c>
      <c r="P54" s="835">
        <f>P39/'24'!P24*1000</f>
        <v>107.80669144981412</v>
      </c>
      <c r="Q54" s="835">
        <f>Q39/'24'!Q24*1000</f>
        <v>136.77811550151975</v>
      </c>
      <c r="R54" s="835">
        <f>R39/'24'!R24*1000</f>
        <v>171.83770883054891</v>
      </c>
      <c r="S54" s="835">
        <f>S39/'24'!S24*1000</f>
        <v>137.78705636743217</v>
      </c>
      <c r="T54" s="835">
        <f>T39/'24'!T24*1000</f>
        <v>236.60714285714286</v>
      </c>
      <c r="U54" s="835">
        <f>U39/'24'!U24*1000</f>
        <v>178.80794701986756</v>
      </c>
      <c r="V54" s="835">
        <f>V39/'24'!V24*1000</f>
        <v>226.41509433962264</v>
      </c>
      <c r="W54" s="835">
        <f>W39/'24'!W24*1000</f>
        <v>251.46198830409355</v>
      </c>
      <c r="X54" s="835">
        <f>X39/'24'!X24*1000</f>
        <v>263.34519572953735</v>
      </c>
      <c r="Y54" s="835">
        <f>Y39/'24'!Y24*1000</f>
        <v>267.44186046511624</v>
      </c>
      <c r="Z54" s="1080"/>
      <c r="AA54" s="1077">
        <f>AA39/'24'!AA24*1000</f>
        <v>198.21428571428569</v>
      </c>
      <c r="AB54" s="1"/>
    </row>
    <row r="55" spans="1:28" ht="13.5" customHeight="1" x14ac:dyDescent="0.2">
      <c r="A55" s="10" t="s">
        <v>15</v>
      </c>
      <c r="B55" s="834">
        <f>B40/'24'!B25*1000</f>
        <v>298.16513761467888</v>
      </c>
      <c r="C55" s="835">
        <f>C40/'24'!C25*1000</f>
        <v>284.15300546448088</v>
      </c>
      <c r="D55" s="835">
        <f>D40/'24'!D25*1000</f>
        <v>186.33540372670805</v>
      </c>
      <c r="E55" s="835">
        <f>E40/'24'!E25*1000</f>
        <v>362.90322580645164</v>
      </c>
      <c r="F55" s="835">
        <f>F40/'24'!F25*1000</f>
        <v>226.8041237113402</v>
      </c>
      <c r="G55" s="835">
        <f>G40/'24'!G25*1000</f>
        <v>326.92307692307691</v>
      </c>
      <c r="H55" s="835">
        <f>H40/'24'!H25*1000</f>
        <v>142.85714285714286</v>
      </c>
      <c r="I55" s="835">
        <f>I40/'24'!I25*1000</f>
        <v>242.71844660194176</v>
      </c>
      <c r="J55" s="835">
        <f>J40/'24'!J25*1000</f>
        <v>176</v>
      </c>
      <c r="K55" s="835">
        <f>K40/'24'!K25*1000</f>
        <v>200</v>
      </c>
      <c r="L55" s="835">
        <f>L40/'24'!L25*1000</f>
        <v>170.32967032967034</v>
      </c>
      <c r="M55" s="835">
        <f>M40/'24'!M25*1000</f>
        <v>117.64705882352941</v>
      </c>
      <c r="N55" s="835">
        <f>N40/'24'!N25*1000</f>
        <v>134.52914798206277</v>
      </c>
      <c r="O55" s="835">
        <f>O40/'24'!O25*1000</f>
        <v>157.89473684210526</v>
      </c>
      <c r="P55" s="835">
        <f>P40/'24'!P25*1000</f>
        <v>164.28571428571428</v>
      </c>
      <c r="Q55" s="835">
        <f>Q40/'24'!Q25*1000</f>
        <v>156.44171779141107</v>
      </c>
      <c r="R55" s="835">
        <f>R40/'24'!R25*1000</f>
        <v>154.04699738903395</v>
      </c>
      <c r="S55" s="835">
        <f>S40/'24'!S25*1000</f>
        <v>186.8583162217659</v>
      </c>
      <c r="T55" s="835">
        <f>T40/'24'!T25*1000</f>
        <v>186.04651162790697</v>
      </c>
      <c r="U55" s="835">
        <f>U40/'24'!U25*1000</f>
        <v>191.74757281553397</v>
      </c>
      <c r="V55" s="835">
        <f>V40/'24'!V25*1000</f>
        <v>240.40920716112532</v>
      </c>
      <c r="W55" s="835">
        <f>W40/'24'!W25*1000</f>
        <v>200</v>
      </c>
      <c r="X55" s="835">
        <f>X40/'24'!X25*1000</f>
        <v>241.37931034482759</v>
      </c>
      <c r="Y55" s="835">
        <f>Y40/'24'!Y25*1000</f>
        <v>240</v>
      </c>
      <c r="Z55" s="1080"/>
      <c r="AA55" s="1077">
        <f>AA40/'24'!AA25*1000</f>
        <v>199.86287281453548</v>
      </c>
      <c r="AB55" s="1"/>
    </row>
    <row r="56" spans="1:28" ht="13.5" customHeight="1" x14ac:dyDescent="0.2">
      <c r="A56" s="10" t="s">
        <v>17</v>
      </c>
      <c r="B56" s="834">
        <f>B41/'24'!B26*1000</f>
        <v>304.8780487804878</v>
      </c>
      <c r="C56" s="835">
        <f>C41/'24'!C26*1000</f>
        <v>362.41610738255031</v>
      </c>
      <c r="D56" s="835">
        <f>D41/'24'!D26*1000</f>
        <v>422.22222222222223</v>
      </c>
      <c r="E56" s="835">
        <f>E41/'24'!E26*1000</f>
        <v>512.82051282051282</v>
      </c>
      <c r="F56" s="835">
        <f>F41/'24'!F26*1000</f>
        <v>364.48598130841123</v>
      </c>
      <c r="G56" s="835">
        <f>G41/'24'!G26*1000</f>
        <v>240.50632911392407</v>
      </c>
      <c r="H56" s="835">
        <f>H41/'24'!H26*1000</f>
        <v>243.90243902439025</v>
      </c>
      <c r="I56" s="835">
        <f>I41/'24'!I26*1000</f>
        <v>152.38095238095241</v>
      </c>
      <c r="J56" s="835">
        <f>J41/'24'!J26*1000</f>
        <v>186.27450980392157</v>
      </c>
      <c r="K56" s="835">
        <f>K41/'24'!K26*1000</f>
        <v>135.71428571428569</v>
      </c>
      <c r="L56" s="835">
        <f>L41/'24'!L26*1000</f>
        <v>191.86046511627907</v>
      </c>
      <c r="M56" s="835">
        <f>M41/'24'!M26*1000</f>
        <v>195</v>
      </c>
      <c r="N56" s="835">
        <f>N41/'24'!N26*1000</f>
        <v>166.66666666666666</v>
      </c>
      <c r="O56" s="835">
        <f>O41/'24'!O26*1000</f>
        <v>134.83146067415731</v>
      </c>
      <c r="P56" s="835">
        <f>P41/'24'!P26*1000</f>
        <v>152.09125475285171</v>
      </c>
      <c r="Q56" s="835">
        <f>Q41/'24'!Q26*1000</f>
        <v>134.2281879194631</v>
      </c>
      <c r="R56" s="835">
        <f>R41/'24'!R26*1000</f>
        <v>167.64705882352939</v>
      </c>
      <c r="S56" s="835">
        <f>S41/'24'!S26*1000</f>
        <v>187.22466960352423</v>
      </c>
      <c r="T56" s="835">
        <f>T41/'24'!T26*1000</f>
        <v>191.03773584905662</v>
      </c>
      <c r="U56" s="835">
        <f>U41/'24'!U26*1000</f>
        <v>230.13698630136986</v>
      </c>
      <c r="V56" s="835">
        <f>V41/'24'!V26*1000</f>
        <v>197.18309859154928</v>
      </c>
      <c r="W56" s="835">
        <f>W41/'24'!W26*1000</f>
        <v>274.3055555555556</v>
      </c>
      <c r="X56" s="835">
        <f>X41/'24'!X26*1000</f>
        <v>256.41025641025641</v>
      </c>
      <c r="Y56" s="835">
        <f>Y41/'24'!Y26*1000</f>
        <v>152.70935960591135</v>
      </c>
      <c r="Z56" s="1080"/>
      <c r="AA56" s="1077">
        <f>AA41/'24'!AA26*1000</f>
        <v>213.72328458942633</v>
      </c>
      <c r="AB56" s="1"/>
    </row>
    <row r="57" spans="1:28" ht="13.5" customHeight="1" x14ac:dyDescent="0.2">
      <c r="A57" s="10" t="s">
        <v>147</v>
      </c>
      <c r="B57" s="834">
        <f>B42/'24'!B27*1000</f>
        <v>200</v>
      </c>
      <c r="C57" s="835">
        <f>C42/'24'!C27*1000</f>
        <v>182.38993710691824</v>
      </c>
      <c r="D57" s="835">
        <f>D42/'24'!D27*1000</f>
        <v>311.47540983606558</v>
      </c>
      <c r="E57" s="835">
        <f>E42/'24'!E27*1000</f>
        <v>267.85714285714283</v>
      </c>
      <c r="F57" s="835">
        <f>F42/'24'!F27*1000</f>
        <v>176.99115044247787</v>
      </c>
      <c r="G57" s="835">
        <f>G42/'24'!G27*1000</f>
        <v>348.83720930232562</v>
      </c>
      <c r="H57" s="835">
        <f>H42/'24'!H27*1000</f>
        <v>206.89655172413794</v>
      </c>
      <c r="I57" s="835">
        <f>I42/'24'!I27*1000</f>
        <v>107.52688172043011</v>
      </c>
      <c r="J57" s="835">
        <f>J42/'24'!J27*1000</f>
        <v>209.67741935483872</v>
      </c>
      <c r="K57" s="835">
        <f>K42/'24'!K27*1000</f>
        <v>156.86274509803923</v>
      </c>
      <c r="L57" s="835">
        <f>L42/'24'!L27*1000</f>
        <v>151.21951219512195</v>
      </c>
      <c r="M57" s="835">
        <f>M42/'24'!M27*1000</f>
        <v>131.22171945701359</v>
      </c>
      <c r="N57" s="835">
        <f>N42/'24'!N27*1000</f>
        <v>64.981949458483754</v>
      </c>
      <c r="O57" s="835">
        <f>O42/'24'!O27*1000</f>
        <v>91.503267973856197</v>
      </c>
      <c r="P57" s="835">
        <f>P42/'24'!P27*1000</f>
        <v>135.13513513513513</v>
      </c>
      <c r="Q57" s="835">
        <f>Q42/'24'!Q27*1000</f>
        <v>103.125</v>
      </c>
      <c r="R57" s="835">
        <f>R42/'24'!R27*1000</f>
        <v>112.04481792717087</v>
      </c>
      <c r="S57" s="835">
        <f>S42/'24'!S27*1000</f>
        <v>172.81105990783411</v>
      </c>
      <c r="T57" s="835">
        <f>T42/'24'!T27*1000</f>
        <v>144.52214452214452</v>
      </c>
      <c r="U57" s="835">
        <f>U42/'24'!U27*1000</f>
        <v>202.40963855421688</v>
      </c>
      <c r="V57" s="835">
        <f>V42/'24'!V27*1000</f>
        <v>223.92638036809817</v>
      </c>
      <c r="W57" s="835">
        <f>W42/'24'!W27*1000</f>
        <v>230.5084745762712</v>
      </c>
      <c r="X57" s="835">
        <f>X42/'24'!X27*1000</f>
        <v>210.08403361344537</v>
      </c>
      <c r="Y57" s="835">
        <f>Y42/'24'!Y27*1000</f>
        <v>247.66355140186917</v>
      </c>
      <c r="Z57" s="1080"/>
      <c r="AA57" s="1077">
        <f>AA42/'24'!AA27*1000</f>
        <v>170.01074883554281</v>
      </c>
      <c r="AB57" s="1"/>
    </row>
    <row r="58" spans="1:28" ht="13.5" customHeight="1" x14ac:dyDescent="0.2">
      <c r="A58" s="244" t="s">
        <v>160</v>
      </c>
      <c r="B58" s="834">
        <f>B43/'24'!B28*1000</f>
        <v>200</v>
      </c>
      <c r="C58" s="835">
        <f>C43/'24'!C28*1000</f>
        <v>217.14285714285714</v>
      </c>
      <c r="D58" s="835">
        <f>D43/'24'!D28*1000</f>
        <v>330.70866141732284</v>
      </c>
      <c r="E58" s="835">
        <f>E43/'24'!E28*1000</f>
        <v>390.90909090909093</v>
      </c>
      <c r="F58" s="835">
        <f>F43/'24'!F28*1000</f>
        <v>287.2340425531915</v>
      </c>
      <c r="G58" s="835">
        <f>G43/'24'!G28*1000</f>
        <v>230.76923076923077</v>
      </c>
      <c r="H58" s="835">
        <f>H43/'24'!H28*1000</f>
        <v>324.67532467532465</v>
      </c>
      <c r="I58" s="835">
        <f>I43/'24'!I28*1000</f>
        <v>164.83516483516485</v>
      </c>
      <c r="J58" s="835">
        <f>J43/'24'!J28*1000</f>
        <v>258.06451612903226</v>
      </c>
      <c r="K58" s="835">
        <f>K43/'24'!K28*1000</f>
        <v>123.37662337662337</v>
      </c>
      <c r="L58" s="835">
        <f>L43/'24'!L28*1000</f>
        <v>113.4020618556701</v>
      </c>
      <c r="M58" s="835">
        <f>M43/'24'!M28*1000</f>
        <v>114.75409836065575</v>
      </c>
      <c r="N58" s="835">
        <f>N43/'24'!N28*1000</f>
        <v>120.68965517241379</v>
      </c>
      <c r="O58" s="835">
        <f>O43/'24'!O28*1000</f>
        <v>121.49532710280374</v>
      </c>
      <c r="P58" s="835">
        <f>P43/'24'!P28*1000</f>
        <v>171.42857142857142</v>
      </c>
      <c r="Q58" s="835">
        <f>Q43/'24'!Q28*1000</f>
        <v>170.80745341614906</v>
      </c>
      <c r="R58" s="835">
        <f>R43/'24'!R28*1000</f>
        <v>157.10723192019952</v>
      </c>
      <c r="S58" s="835">
        <f>S43/'24'!S28*1000</f>
        <v>153.68852459016395</v>
      </c>
      <c r="T58" s="835">
        <f>T43/'24'!T28*1000</f>
        <v>184.14918414918415</v>
      </c>
      <c r="U58" s="835">
        <f>U43/'24'!U28*1000</f>
        <v>190.34852546916889</v>
      </c>
      <c r="V58" s="835">
        <f>V43/'24'!V28*1000</f>
        <v>212.7659574468085</v>
      </c>
      <c r="W58" s="835">
        <f>W43/'24'!W28*1000</f>
        <v>204.81927710843374</v>
      </c>
      <c r="X58" s="835">
        <f>X43/'24'!X28*1000</f>
        <v>194.6564885496183</v>
      </c>
      <c r="Y58" s="835">
        <f>Y43/'24'!Y28*1000</f>
        <v>285.10638297872345</v>
      </c>
      <c r="Z58" s="1080"/>
      <c r="AA58" s="1077">
        <f>AA43/'24'!AA28*1000</f>
        <v>187.24678527391228</v>
      </c>
      <c r="AB58" s="1"/>
    </row>
    <row r="59" spans="1:28" ht="13.5" customHeight="1" x14ac:dyDescent="0.2">
      <c r="A59" s="244" t="s">
        <v>379</v>
      </c>
      <c r="B59" s="834">
        <f>B44/'24'!B29*1000</f>
        <v>258.70646766169153</v>
      </c>
      <c r="C59" s="835">
        <f>C44/'24'!C29*1000</f>
        <v>363.09523809523807</v>
      </c>
      <c r="D59" s="835">
        <f>D44/'24'!D29*1000</f>
        <v>338.3458646616541</v>
      </c>
      <c r="E59" s="835">
        <f>E44/'24'!E29*1000</f>
        <v>355.76923076923077</v>
      </c>
      <c r="F59" s="835">
        <f>F44/'24'!F29*1000</f>
        <v>531.64556962025313</v>
      </c>
      <c r="G59" s="835">
        <f>G44/'24'!G29*1000</f>
        <v>311.68831168831167</v>
      </c>
      <c r="H59" s="835">
        <f>H44/'24'!H29*1000</f>
        <v>390.2439024390244</v>
      </c>
      <c r="I59" s="835">
        <f>I44/'24'!I29*1000</f>
        <v>238.53211009174314</v>
      </c>
      <c r="J59" s="835">
        <f>J44/'24'!J29*1000</f>
        <v>222.2222222222222</v>
      </c>
      <c r="K59" s="835">
        <f>K44/'24'!K29*1000</f>
        <v>191.08280254777071</v>
      </c>
      <c r="L59" s="835">
        <f>L44/'24'!L29*1000</f>
        <v>139.17525773195877</v>
      </c>
      <c r="M59" s="835">
        <f>M44/'24'!M29*1000</f>
        <v>207.46887966804979</v>
      </c>
      <c r="N59" s="835">
        <f>N44/'24'!N29*1000</f>
        <v>90.534979423868322</v>
      </c>
      <c r="O59" s="835">
        <f>O44/'24'!O29*1000</f>
        <v>136.18677042801556</v>
      </c>
      <c r="P59" s="835">
        <f>P44/'24'!P29*1000</f>
        <v>150.34965034965035</v>
      </c>
      <c r="Q59" s="835">
        <f>Q44/'24'!Q29*1000</f>
        <v>145.66929133858267</v>
      </c>
      <c r="R59" s="835">
        <f>R44/'24'!R29*1000</f>
        <v>192.10526315789471</v>
      </c>
      <c r="S59" s="835">
        <f>S44/'24'!S29*1000</f>
        <v>152.86624203821654</v>
      </c>
      <c r="T59" s="835">
        <f>T44/'24'!T29*1000</f>
        <v>122.40184757505773</v>
      </c>
      <c r="U59" s="835">
        <f>U44/'24'!U29*1000</f>
        <v>191.17647058823528</v>
      </c>
      <c r="V59" s="835">
        <f>V44/'24'!V29*1000</f>
        <v>183.18318318318319</v>
      </c>
      <c r="W59" s="835">
        <f>W44/'24'!W29*1000</f>
        <v>197.36842105263159</v>
      </c>
      <c r="X59" s="835">
        <f>X44/'24'!X29*1000</f>
        <v>245.28301886792454</v>
      </c>
      <c r="Y59" s="835">
        <f>Y44/'24'!Y29*1000</f>
        <v>256.41025641025641</v>
      </c>
      <c r="Z59" s="1080"/>
      <c r="AA59" s="1077">
        <f>AA44/'24'!AA29*1000</f>
        <v>200.97332372025954</v>
      </c>
      <c r="AB59" s="1" t="s">
        <v>145</v>
      </c>
    </row>
    <row r="60" spans="1:28" ht="13.5" customHeight="1" x14ac:dyDescent="0.2">
      <c r="A60" s="470" t="s">
        <v>603</v>
      </c>
      <c r="B60" s="836">
        <f>B45/'24'!B30*1000</f>
        <v>271.27659574468083</v>
      </c>
      <c r="C60" s="837">
        <f>C45/'24'!C30*1000</f>
        <v>213.79310344827587</v>
      </c>
      <c r="D60" s="837">
        <f>D45/'24'!D30*1000</f>
        <v>227.27272727272725</v>
      </c>
      <c r="E60" s="837">
        <f>E45/'24'!E30*1000</f>
        <v>303.03030303030306</v>
      </c>
      <c r="F60" s="837">
        <f>F45/'24'!F30*1000</f>
        <v>262.62626262626264</v>
      </c>
      <c r="G60" s="837">
        <f>G45/'24'!G30*1000</f>
        <v>362.31884057971013</v>
      </c>
      <c r="H60" s="837">
        <f>H45/'24'!H30*1000</f>
        <v>218.75</v>
      </c>
      <c r="I60" s="837">
        <f>I45/'24'!I30*1000</f>
        <v>163.26530612244898</v>
      </c>
      <c r="J60" s="837">
        <f>J45/'24'!J30*1000</f>
        <v>207.40740740740739</v>
      </c>
      <c r="K60" s="837">
        <f>K45/'24'!K30*1000</f>
        <v>111.1111111111111</v>
      </c>
      <c r="L60" s="837">
        <f>L45/'24'!L30*1000</f>
        <v>148.57142857142858</v>
      </c>
      <c r="M60" s="837">
        <f>M45/'24'!M30*1000</f>
        <v>157.89473684210526</v>
      </c>
      <c r="N60" s="837">
        <f>N45/'24'!N30*1000</f>
        <v>112.97071129707113</v>
      </c>
      <c r="O60" s="837">
        <f>O45/'24'!O30*1000</f>
        <v>139.53488372093022</v>
      </c>
      <c r="P60" s="837">
        <f>P45/'24'!P30*1000</f>
        <v>131.20567375886523</v>
      </c>
      <c r="Q60" s="837">
        <f>Q45/'24'!Q30*1000</f>
        <v>141.44736842105263</v>
      </c>
      <c r="R60" s="837">
        <f>R45/'24'!R30*1000</f>
        <v>158.5014409221902</v>
      </c>
      <c r="S60" s="837">
        <f>S45/'24'!S30*1000</f>
        <v>171.73913043478262</v>
      </c>
      <c r="T60" s="837">
        <f>T45/'24'!T30*1000</f>
        <v>159.20398009950247</v>
      </c>
      <c r="U60" s="837">
        <f>U45/'24'!U30*1000</f>
        <v>137.53581661891118</v>
      </c>
      <c r="V60" s="837">
        <f>V45/'24'!V30*1000</f>
        <v>161.93181818181819</v>
      </c>
      <c r="W60" s="837">
        <f>W45/'24'!W30*1000</f>
        <v>168.83116883116884</v>
      </c>
      <c r="X60" s="837">
        <f>X45/'24'!X30*1000</f>
        <v>209.67741935483872</v>
      </c>
      <c r="Y60" s="837">
        <f>Y45/'24'!Y30*1000</f>
        <v>220.58823529411765</v>
      </c>
      <c r="Z60" s="1081"/>
      <c r="AA60" s="1078">
        <f>AA45/'24'!AA30*1000</f>
        <v>173.44632768361581</v>
      </c>
      <c r="AB60" s="1" t="s">
        <v>143</v>
      </c>
    </row>
    <row r="61" spans="1:28" x14ac:dyDescent="0.2">
      <c r="A61" s="636"/>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x14ac:dyDescent="0.2">
      <c r="A62" s="1542" t="s">
        <v>162</v>
      </c>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x14ac:dyDescent="0.2">
      <c r="A63" s="1649" t="s">
        <v>967</v>
      </c>
      <c r="B63" s="1649"/>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x14ac:dyDescent="0.2">
      <c r="A64" s="122" t="s">
        <v>968</v>
      </c>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636" t="s">
        <v>837</v>
      </c>
      <c r="B65" s="636"/>
      <c r="C65" s="695"/>
      <c r="D65" s="695"/>
      <c r="E65" s="695"/>
      <c r="F65" s="695"/>
      <c r="G65" s="695"/>
      <c r="H65" s="695"/>
      <c r="I65" s="695"/>
      <c r="J65" s="695"/>
      <c r="K65" s="695"/>
      <c r="L65" s="1"/>
      <c r="M65" s="1"/>
      <c r="N65" s="1"/>
      <c r="O65" s="1"/>
      <c r="P65" s="1"/>
      <c r="Q65" s="1"/>
      <c r="R65" s="1"/>
      <c r="S65" s="1"/>
      <c r="T65" s="1"/>
      <c r="U65" s="1"/>
      <c r="V65" s="1"/>
      <c r="W65" s="1"/>
      <c r="X65" s="1"/>
      <c r="Y65" s="1"/>
      <c r="Z65" s="1"/>
      <c r="AA65" s="1"/>
      <c r="AB65" s="1"/>
    </row>
    <row r="66" spans="1:28" ht="12.75" customHeight="1" x14ac:dyDescent="0.2">
      <c r="A66" s="122" t="s">
        <v>964</v>
      </c>
      <c r="B66" s="122"/>
      <c r="C66" s="122"/>
      <c r="D66" s="122"/>
      <c r="E66" s="122"/>
      <c r="F66" s="122"/>
      <c r="G66" s="122"/>
      <c r="H66" s="122"/>
      <c r="I66" s="122"/>
      <c r="J66" s="122"/>
      <c r="K66" s="122"/>
      <c r="L66" s="122"/>
      <c r="M66" s="122"/>
      <c r="N66" s="122"/>
      <c r="O66" s="122"/>
      <c r="P66" s="122"/>
      <c r="Q66" s="1"/>
      <c r="R66" s="1"/>
      <c r="S66" s="1"/>
      <c r="T66" s="1"/>
      <c r="U66" s="1"/>
      <c r="V66" s="1"/>
      <c r="W66" s="1"/>
      <c r="X66" s="1"/>
      <c r="Y66" s="1"/>
      <c r="Z66" s="1"/>
      <c r="AA66" s="1"/>
      <c r="AB66" s="1"/>
    </row>
    <row r="67" spans="1:28" ht="12.75" customHeight="1" x14ac:dyDescent="0.2">
      <c r="A67" s="1587" t="s">
        <v>966</v>
      </c>
      <c r="B67" s="1587"/>
      <c r="C67" s="1587"/>
      <c r="D67" s="1587"/>
      <c r="E67" s="1587"/>
      <c r="F67" s="1587"/>
      <c r="G67" s="1587"/>
      <c r="H67" s="1587"/>
      <c r="I67" s="1587"/>
      <c r="J67" s="1"/>
      <c r="K67" s="1"/>
      <c r="L67" s="1"/>
      <c r="M67" s="1"/>
      <c r="N67" s="1"/>
      <c r="O67" s="1"/>
      <c r="P67" s="1"/>
      <c r="Q67" s="1"/>
      <c r="R67" s="1"/>
      <c r="S67" s="1"/>
      <c r="T67" s="1"/>
      <c r="U67" s="1"/>
      <c r="V67" s="1"/>
      <c r="W67" s="1"/>
      <c r="X67" s="1"/>
      <c r="Y67" s="1"/>
      <c r="Z67" s="1"/>
      <c r="AA67" s="1"/>
      <c r="AB67" s="1"/>
    </row>
    <row r="68" spans="1:28" x14ac:dyDescent="0.2">
      <c r="A68" s="1" t="s">
        <v>1051</v>
      </c>
    </row>
    <row r="69" spans="1:28" x14ac:dyDescent="0.2">
      <c r="A69" s="1"/>
    </row>
    <row r="70" spans="1:28" x14ac:dyDescent="0.2">
      <c r="A70" s="914" t="s">
        <v>169</v>
      </c>
    </row>
    <row r="71" spans="1:28" x14ac:dyDescent="0.2">
      <c r="A71" s="6"/>
    </row>
    <row r="72" spans="1:28" x14ac:dyDescent="0.2">
      <c r="A72" s="6"/>
    </row>
    <row r="73" spans="1:28" x14ac:dyDescent="0.2">
      <c r="A73" s="6"/>
    </row>
    <row r="74" spans="1:28" x14ac:dyDescent="0.2">
      <c r="A74" s="6"/>
    </row>
    <row r="75" spans="1:28" x14ac:dyDescent="0.2">
      <c r="A75" s="6"/>
    </row>
    <row r="76" spans="1:28" x14ac:dyDescent="0.2">
      <c r="A76" s="6"/>
    </row>
    <row r="77" spans="1:28" x14ac:dyDescent="0.2">
      <c r="A77" s="72"/>
    </row>
    <row r="78" spans="1:28" x14ac:dyDescent="0.2">
      <c r="A78" s="72"/>
    </row>
  </sheetData>
  <sheetProtection algorithmName="SHA-512" hashValue="SYoYalQCIiLtXhSYSU6uSXBhvzuV7I+fryaH2cTt7kvz+5w1F4ZTbasrHi7tmVyKncygWf8jKSJUhHZh3oZ3jg==" saltValue="kO1TVhGJovAM3VaAx6LrSQ==" spinCount="100000" sheet="1" objects="1" scenarios="1"/>
  <mergeCells count="14">
    <mergeCell ref="A1:L1"/>
    <mergeCell ref="B3:Z3"/>
    <mergeCell ref="B33:Z33"/>
    <mergeCell ref="A63:B63"/>
    <mergeCell ref="B18:Z18"/>
    <mergeCell ref="B48:Z48"/>
    <mergeCell ref="A3:A4"/>
    <mergeCell ref="AA3:AA4"/>
    <mergeCell ref="AA18:AA19"/>
    <mergeCell ref="A33:A34"/>
    <mergeCell ref="A18:A19"/>
    <mergeCell ref="A48:A49"/>
    <mergeCell ref="AA33:AA34"/>
    <mergeCell ref="AA48:AA49"/>
  </mergeCells>
  <hyperlinks>
    <hyperlink ref="A70" location="Contents!A1" display="Return to contents" xr:uid="{00000000-0004-0000-6100-000000000000}"/>
  </hyperlinks>
  <pageMargins left="0.7" right="0.7" top="0.75" bottom="0.75" header="0.3" footer="0.3"/>
  <pageSetup paperSize="9" scale="4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2">
    <tabColor rgb="FF960000"/>
    <pageSetUpPr fitToPage="1"/>
  </sheetPr>
  <dimension ref="A1"/>
  <sheetViews>
    <sheetView showGridLines="0" workbookViewId="0"/>
  </sheetViews>
  <sheetFormatPr defaultRowHeight="12.75" x14ac:dyDescent="0.2"/>
  <sheetData>
    <row r="1" spans="1:1" ht="38.25" customHeight="1" x14ac:dyDescent="0.35">
      <c r="A1" s="1259" t="str">
        <f>"Primary Fires by Time of Call, 2017-18"</f>
        <v>Primary Fires by Time of Call, 2017-18</v>
      </c>
    </row>
  </sheetData>
  <sheetProtection algorithmName="SHA-512" hashValue="eewpzNzaYxPTTJG0b4FobEg1A+JEuceObKH6phkY6/6Im+ZHmwrvhE8xRtU8a5Du/8uFUgyM60dDe/eH4ZFTww==" saltValue="DpakWc4AuAHa4V8szBvUVQ==" spinCount="100000" sheet="1" objects="1" scenarios="1"/>
  <pageMargins left="0.7" right="0.7" top="0.75" bottom="0.75" header="0.3" footer="0.3"/>
  <pageSetup paperSize="9" scale="8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2023-09-19T23:00:00+00:00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CORPDL-747745404-500</_dlc_DocId>
    <_dlc_DocIdUrl xmlns="361c438b-452b-4051-9cda-3a6b8527f04f">
      <Url>https://firescotland.sharepoint.com/sites/SFRSDocumentLibrary/_layouts/15/DocIdRedir.aspx?ID=CORPDL-747745404-500</Url>
      <Description>CORPDL-747745404-500</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2026-09-19T23:00:00+00:00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2023-09-19T23:00:00+00:00</ActivePublishDate>
    <RelatedWebsitePage xmlns="858ae7c7-9454-45c7-a50c-4c9144226ea3">
      <Url xsi:nil="true"/>
      <Description xsi:nil="true"/>
    </RelatedWebsitePage>
    <InitialPublishDate xmlns="858ae7c7-9454-45c7-a50c-4c9144226ea3">2023-09-19T23:00:00+00:00</InitialPublishDate>
  </documentManagement>
</p:properties>
</file>

<file path=customXml/itemProps1.xml><?xml version="1.0" encoding="utf-8"?>
<ds:datastoreItem xmlns:ds="http://schemas.openxmlformats.org/officeDocument/2006/customXml" ds:itemID="{EED4AF40-D9DD-4EE0-8D3E-595F92D3DE4D}"/>
</file>

<file path=customXml/itemProps2.xml><?xml version="1.0" encoding="utf-8"?>
<ds:datastoreItem xmlns:ds="http://schemas.openxmlformats.org/officeDocument/2006/customXml" ds:itemID="{CDE0A214-C2E1-4D2A-B180-E16E0A13B356}"/>
</file>

<file path=customXml/itemProps3.xml><?xml version="1.0" encoding="utf-8"?>
<ds:datastoreItem xmlns:ds="http://schemas.openxmlformats.org/officeDocument/2006/customXml" ds:itemID="{47DE7C39-5780-45C4-BB42-029A055C7E38}"/>
</file>

<file path=customXml/itemProps4.xml><?xml version="1.0" encoding="utf-8"?>
<ds:datastoreItem xmlns:ds="http://schemas.openxmlformats.org/officeDocument/2006/customXml" ds:itemID="{AFD8D79A-5E77-4D45-BEE6-E9B82900C3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140</vt:i4>
      </vt:variant>
      <vt:variant>
        <vt:lpstr>Named Ranges</vt:lpstr>
      </vt:variant>
      <vt:variant>
        <vt:i4>288</vt:i4>
      </vt:variant>
    </vt:vector>
  </HeadingPairs>
  <TitlesOfParts>
    <vt:vector size="428" baseType="lpstr">
      <vt:lpstr>Introduction</vt:lpstr>
      <vt:lpstr>Contents</vt:lpstr>
      <vt:lpstr>Long-Term Trend</vt:lpstr>
      <vt:lpstr>Figure Long-Term Trend</vt:lpstr>
      <vt:lpstr>Figure Fatal Casualties</vt:lpstr>
      <vt:lpstr>Figure Non-fatal Casualties</vt:lpstr>
      <vt:lpstr>Figure 1</vt:lpstr>
      <vt:lpstr>Figure 2</vt:lpstr>
      <vt:lpstr>Figure 3</vt:lpstr>
      <vt:lpstr>1 1a 1b</vt:lpstr>
      <vt:lpstr>T_01</vt:lpstr>
      <vt:lpstr>T_02</vt:lpstr>
      <vt:lpstr>Figure 4</vt:lpstr>
      <vt:lpstr>Figure 5</vt:lpstr>
      <vt:lpstr>Figure 6</vt:lpstr>
      <vt:lpstr>Figure 7</vt:lpstr>
      <vt:lpstr>2 2a 2b</vt:lpstr>
      <vt:lpstr>3 3a</vt:lpstr>
      <vt:lpstr>T_03</vt:lpstr>
      <vt:lpstr>T_03b</vt:lpstr>
      <vt:lpstr>3b</vt:lpstr>
      <vt:lpstr>Figure 8</vt:lpstr>
      <vt:lpstr>4 4a 4b</vt:lpstr>
      <vt:lpstr>T_04</vt:lpstr>
      <vt:lpstr>4c 4d 4e</vt:lpstr>
      <vt:lpstr>5 5a</vt:lpstr>
      <vt:lpstr>T_05</vt:lpstr>
      <vt:lpstr>Figure 9</vt:lpstr>
      <vt:lpstr>Figure 10</vt:lpstr>
      <vt:lpstr>6 6a</vt:lpstr>
      <vt:lpstr>T_06</vt:lpstr>
      <vt:lpstr>6b</vt:lpstr>
      <vt:lpstr>T_06b</vt:lpstr>
      <vt:lpstr>6c 6d</vt:lpstr>
      <vt:lpstr>7</vt:lpstr>
      <vt:lpstr>Figure 11</vt:lpstr>
      <vt:lpstr>Figure 12</vt:lpstr>
      <vt:lpstr>Figure 13</vt:lpstr>
      <vt:lpstr>Figure 14</vt:lpstr>
      <vt:lpstr>Figure 15</vt:lpstr>
      <vt:lpstr>8 8a</vt:lpstr>
      <vt:lpstr>T_08</vt:lpstr>
      <vt:lpstr>9</vt:lpstr>
      <vt:lpstr>9a</vt:lpstr>
      <vt:lpstr>T_09</vt:lpstr>
      <vt:lpstr>9b</vt:lpstr>
      <vt:lpstr>T_09b</vt:lpstr>
      <vt:lpstr>Figure 16</vt:lpstr>
      <vt:lpstr>10 10a</vt:lpstr>
      <vt:lpstr>10b 10c 10d</vt:lpstr>
      <vt:lpstr>Figure 17</vt:lpstr>
      <vt:lpstr>Figure 18</vt:lpstr>
      <vt:lpstr>Figure 19</vt:lpstr>
      <vt:lpstr>Figure 20</vt:lpstr>
      <vt:lpstr>11</vt:lpstr>
      <vt:lpstr>11a 11b</vt:lpstr>
      <vt:lpstr>T_11</vt:lpstr>
      <vt:lpstr>12 12a</vt:lpstr>
      <vt:lpstr>T_12</vt:lpstr>
      <vt:lpstr>13</vt:lpstr>
      <vt:lpstr>13a</vt:lpstr>
      <vt:lpstr>T_13</vt:lpstr>
      <vt:lpstr>13b</vt:lpstr>
      <vt:lpstr>T_13b</vt:lpstr>
      <vt:lpstr>Figure 21</vt:lpstr>
      <vt:lpstr>Figure 22</vt:lpstr>
      <vt:lpstr>Figure 23</vt:lpstr>
      <vt:lpstr>Figure 24</vt:lpstr>
      <vt:lpstr>14 14a</vt:lpstr>
      <vt:lpstr>14b 14c 14d</vt:lpstr>
      <vt:lpstr>T_14</vt:lpstr>
      <vt:lpstr>14e 14f 14g</vt:lpstr>
      <vt:lpstr>15 15a</vt:lpstr>
      <vt:lpstr>15b 15c 15d</vt:lpstr>
      <vt:lpstr>T_15</vt:lpstr>
      <vt:lpstr>16 16a</vt:lpstr>
      <vt:lpstr>16b 16c 16d</vt:lpstr>
      <vt:lpstr>T_16</vt:lpstr>
      <vt:lpstr>17 17a</vt:lpstr>
      <vt:lpstr>T_ref</vt:lpstr>
      <vt:lpstr>17b 17c 17d</vt:lpstr>
      <vt:lpstr>T_17</vt:lpstr>
      <vt:lpstr>Figure 25</vt:lpstr>
      <vt:lpstr>18 18a 18b</vt:lpstr>
      <vt:lpstr>19</vt:lpstr>
      <vt:lpstr>19a</vt:lpstr>
      <vt:lpstr>T_19</vt:lpstr>
      <vt:lpstr>19b</vt:lpstr>
      <vt:lpstr>20</vt:lpstr>
      <vt:lpstr>Figure 26</vt:lpstr>
      <vt:lpstr>21 21a</vt:lpstr>
      <vt:lpstr>T_21</vt:lpstr>
      <vt:lpstr>21b 21c</vt:lpstr>
      <vt:lpstr>22</vt:lpstr>
      <vt:lpstr>23 23a</vt:lpstr>
      <vt:lpstr>T_23</vt:lpstr>
      <vt:lpstr>24</vt:lpstr>
      <vt:lpstr>25</vt:lpstr>
      <vt:lpstr>Figure 27</vt:lpstr>
      <vt:lpstr>Figure 28</vt:lpstr>
      <vt:lpstr>Population</vt:lpstr>
      <vt:lpstr>Dwellings</vt:lpstr>
      <vt:lpstr>Reference Page</vt:lpstr>
      <vt:lpstr>T01</vt:lpstr>
      <vt:lpstr>T02</vt:lpstr>
      <vt:lpstr>T03</vt:lpstr>
      <vt:lpstr>T04</vt:lpstr>
      <vt:lpstr>T04cde</vt:lpstr>
      <vt:lpstr>T05</vt:lpstr>
      <vt:lpstr>T06</vt:lpstr>
      <vt:lpstr>T07</vt:lpstr>
      <vt:lpstr>T08</vt:lpstr>
      <vt:lpstr>T09</vt:lpstr>
      <vt:lpstr>T09a</vt:lpstr>
      <vt:lpstr>T09b</vt:lpstr>
      <vt:lpstr>T11</vt:lpstr>
      <vt:lpstr>T12</vt:lpstr>
      <vt:lpstr>T13</vt:lpstr>
      <vt:lpstr>T14</vt:lpstr>
      <vt:lpstr>T14b</vt:lpstr>
      <vt:lpstr>T14c</vt:lpstr>
      <vt:lpstr>T14d</vt:lpstr>
      <vt:lpstr>T14e</vt:lpstr>
      <vt:lpstr>T14f</vt:lpstr>
      <vt:lpstr>T16</vt:lpstr>
      <vt:lpstr>T16c</vt:lpstr>
      <vt:lpstr>T16d</vt:lpstr>
      <vt:lpstr>T18</vt:lpstr>
      <vt:lpstr>T19</vt:lpstr>
      <vt:lpstr>T19a</vt:lpstr>
      <vt:lpstr>T19b</vt:lpstr>
      <vt:lpstr>T20</vt:lpstr>
      <vt:lpstr>T21</vt:lpstr>
      <vt:lpstr>T22</vt:lpstr>
      <vt:lpstr>T23</vt:lpstr>
      <vt:lpstr>T24</vt:lpstr>
      <vt:lpstr>T25</vt:lpstr>
      <vt:lpstr>T03b</vt:lpstr>
      <vt:lpstr>T10</vt:lpstr>
      <vt:lpstr>Tref</vt:lpstr>
      <vt:lpstr>Contents</vt:lpstr>
      <vt:lpstr>T_01!Dwellings</vt:lpstr>
      <vt:lpstr>Dwellings</vt:lpstr>
      <vt:lpstr>DwellingsPage</vt:lpstr>
      <vt:lpstr>Figure1</vt:lpstr>
      <vt:lpstr>Figure10</vt:lpstr>
      <vt:lpstr>Figure11</vt:lpstr>
      <vt:lpstr>Figure12</vt:lpstr>
      <vt:lpstr>Figure13</vt:lpstr>
      <vt:lpstr>Figure14</vt:lpstr>
      <vt:lpstr>Figure15</vt:lpstr>
      <vt:lpstr>Figure16</vt:lpstr>
      <vt:lpstr>Figure17</vt:lpstr>
      <vt:lpstr>Figure2</vt:lpstr>
      <vt:lpstr>Figure3</vt:lpstr>
      <vt:lpstr>Figure4</vt:lpstr>
      <vt:lpstr>'Figure 6'!Figure5</vt:lpstr>
      <vt:lpstr>Figure5</vt:lpstr>
      <vt:lpstr>Figure6</vt:lpstr>
      <vt:lpstr>Figure7</vt:lpstr>
      <vt:lpstr>Figure8</vt:lpstr>
      <vt:lpstr>Figure9</vt:lpstr>
      <vt:lpstr>T_01!Population</vt:lpstr>
      <vt:lpstr>Population</vt:lpstr>
      <vt:lpstr>PopulationPage</vt:lpstr>
      <vt:lpstr>'1 1a 1b'!Print_Area</vt:lpstr>
      <vt:lpstr>'10 10a'!Print_Area</vt:lpstr>
      <vt:lpstr>'10b 10c 10d'!Print_Area</vt:lpstr>
      <vt:lpstr>'11'!Print_Area</vt:lpstr>
      <vt:lpstr>'11a 11b'!Print_Area</vt:lpstr>
      <vt:lpstr>'12 12a'!Print_Area</vt:lpstr>
      <vt:lpstr>'13'!Print_Area</vt:lpstr>
      <vt:lpstr>'13a'!Print_Area</vt:lpstr>
      <vt:lpstr>'13b'!Print_Area</vt:lpstr>
      <vt:lpstr>'14 14a'!Print_Area</vt:lpstr>
      <vt:lpstr>'14b 14c 14d'!Print_Area</vt:lpstr>
      <vt:lpstr>'14e 14f 14g'!Print_Area</vt:lpstr>
      <vt:lpstr>'15 15a'!Print_Area</vt:lpstr>
      <vt:lpstr>'15b 15c 15d'!Print_Area</vt:lpstr>
      <vt:lpstr>'16 16a'!Print_Area</vt:lpstr>
      <vt:lpstr>'16b 16c 16d'!Print_Area</vt:lpstr>
      <vt:lpstr>'17 17a'!Print_Area</vt:lpstr>
      <vt:lpstr>'17b 17c 17d'!Print_Area</vt:lpstr>
      <vt:lpstr>'18 18a 18b'!Print_Area</vt:lpstr>
      <vt:lpstr>'19'!Print_Area</vt:lpstr>
      <vt:lpstr>'19a'!Print_Area</vt:lpstr>
      <vt:lpstr>'19b'!Print_Area</vt:lpstr>
      <vt:lpstr>'2 2a 2b'!Print_Area</vt:lpstr>
      <vt:lpstr>'20'!Print_Area</vt:lpstr>
      <vt:lpstr>'21 21a'!Print_Area</vt:lpstr>
      <vt:lpstr>'21b 21c'!Print_Area</vt:lpstr>
      <vt:lpstr>'22'!Print_Area</vt:lpstr>
      <vt:lpstr>'23 23a'!Print_Area</vt:lpstr>
      <vt:lpstr>'24'!Print_Area</vt:lpstr>
      <vt:lpstr>'25'!Print_Area</vt:lpstr>
      <vt:lpstr>'3 3a'!Print_Area</vt:lpstr>
      <vt:lpstr>'3b'!Print_Area</vt:lpstr>
      <vt:lpstr>'4 4a 4b'!Print_Area</vt:lpstr>
      <vt:lpstr>'4c 4d 4e'!Print_Area</vt:lpstr>
      <vt:lpstr>'5 5a'!Print_Area</vt:lpstr>
      <vt:lpstr>'6 6a'!Print_Area</vt:lpstr>
      <vt:lpstr>'6b'!Print_Area</vt:lpstr>
      <vt:lpstr>'6c 6d'!Print_Area</vt:lpstr>
      <vt:lpstr>'7'!Print_Area</vt:lpstr>
      <vt:lpstr>'8 8a'!Print_Area</vt:lpstr>
      <vt:lpstr>'9'!Print_Area</vt:lpstr>
      <vt:lpstr>'9a'!Print_Area</vt:lpstr>
      <vt:lpstr>'9b'!Print_Area</vt:lpstr>
      <vt:lpstr>Dwellings!Print_Area</vt:lpstr>
      <vt:lpstr>'Figure 1'!Print_Area</vt:lpstr>
      <vt:lpstr>'Figure 10'!Print_Area</vt:lpstr>
      <vt:lpstr>'Figure 11'!Print_Area</vt:lpstr>
      <vt:lpstr>'Figure 12'!Print_Area</vt:lpstr>
      <vt:lpstr>'Figure 13'!Print_Area</vt:lpstr>
      <vt:lpstr>'Figure 14'!Print_Area</vt:lpstr>
      <vt:lpstr>'Figure 15'!Print_Area</vt:lpstr>
      <vt:lpstr>'Figure 16'!Print_Area</vt:lpstr>
      <vt:lpstr>'Figure 17'!Print_Area</vt:lpstr>
      <vt:lpstr>'Figure 18'!Print_Area</vt:lpstr>
      <vt:lpstr>'Figure 19'!Print_Area</vt:lpstr>
      <vt:lpstr>'Figure 2'!Print_Area</vt:lpstr>
      <vt:lpstr>'Figure 20'!Print_Area</vt:lpstr>
      <vt:lpstr>'Figure 21'!Print_Area</vt:lpstr>
      <vt:lpstr>'Figure 22'!Print_Area</vt:lpstr>
      <vt:lpstr>'Figure 23'!Print_Area</vt:lpstr>
      <vt:lpstr>'Figure 24'!Print_Area</vt:lpstr>
      <vt:lpstr>'Figure 25'!Print_Area</vt:lpstr>
      <vt:lpstr>'Figure 26'!Print_Area</vt:lpstr>
      <vt:lpstr>'Figure 27'!Print_Area</vt:lpstr>
      <vt:lpstr>'Figure 28'!Print_Area</vt:lpstr>
      <vt:lpstr>'Figure 3'!Print_Area</vt:lpstr>
      <vt:lpstr>'Figure 5'!Print_Area</vt:lpstr>
      <vt:lpstr>'Figure 6'!Print_Area</vt:lpstr>
      <vt:lpstr>'Figure 7'!Print_Area</vt:lpstr>
      <vt:lpstr>'Figure 8'!Print_Area</vt:lpstr>
      <vt:lpstr>'Figure 9'!Print_Area</vt:lpstr>
      <vt:lpstr>'Figure Fatal Casualties'!Print_Area</vt:lpstr>
      <vt:lpstr>'Figure Long-Term Trend'!Print_Area</vt:lpstr>
      <vt:lpstr>'Figure Non-fatal Casualties'!Print_Area</vt:lpstr>
      <vt:lpstr>Introduction!Print_Area</vt:lpstr>
      <vt:lpstr>'Long-Term Trend'!Print_Area</vt:lpstr>
      <vt:lpstr>Population!Print_Area</vt:lpstr>
      <vt:lpstr>'T01'!Print_Titles</vt:lpstr>
      <vt:lpstr>'T02'!Print_Titles</vt:lpstr>
      <vt:lpstr>'T03'!Print_Titles</vt:lpstr>
      <vt:lpstr>T03b!Print_Titles</vt:lpstr>
      <vt:lpstr>'T04'!Print_Titles</vt:lpstr>
      <vt:lpstr>T04cde!Print_Titles</vt:lpstr>
      <vt:lpstr>'T05'!Print_Titles</vt:lpstr>
      <vt:lpstr>'T06'!Print_Titles</vt:lpstr>
      <vt:lpstr>'T07'!Print_Titles</vt:lpstr>
      <vt:lpstr>'T08'!Print_Titles</vt:lpstr>
      <vt:lpstr>'T09'!Print_Titles</vt:lpstr>
      <vt:lpstr>T09a!Print_Titles</vt:lpstr>
      <vt:lpstr>T09b!Print_Titles</vt:lpstr>
      <vt:lpstr>'T10'!Print_Titles</vt:lpstr>
      <vt:lpstr>'T11'!Print_Titles</vt:lpstr>
      <vt:lpstr>'T12'!Print_Titles</vt:lpstr>
      <vt:lpstr>'T13'!Print_Titles</vt:lpstr>
      <vt:lpstr>'T14'!Print_Titles</vt:lpstr>
      <vt:lpstr>T14b!Print_Titles</vt:lpstr>
      <vt:lpstr>T14c!Print_Titles</vt:lpstr>
      <vt:lpstr>T14d!Print_Titles</vt:lpstr>
      <vt:lpstr>T14e!Print_Titles</vt:lpstr>
      <vt:lpstr>T14f!Print_Titles</vt:lpstr>
      <vt:lpstr>'T16'!Print_Titles</vt:lpstr>
      <vt:lpstr>T16c!Print_Titles</vt:lpstr>
      <vt:lpstr>T16d!Print_Titles</vt:lpstr>
      <vt:lpstr>'T18'!Print_Titles</vt:lpstr>
      <vt:lpstr>'T19'!Print_Titles</vt:lpstr>
      <vt:lpstr>T19a!Print_Titles</vt:lpstr>
      <vt:lpstr>T19b!Print_Titles</vt:lpstr>
      <vt:lpstr>'T20'!Print_Titles</vt:lpstr>
      <vt:lpstr>'T21'!Print_Titles</vt:lpstr>
      <vt:lpstr>'T22'!Print_Titles</vt:lpstr>
      <vt:lpstr>'T23'!Print_Titles</vt:lpstr>
      <vt:lpstr>'T24'!Print_Titles</vt:lpstr>
      <vt:lpstr>'T25'!Print_Titles</vt:lpstr>
      <vt:lpstr>Tref!Print_Titles</vt:lpstr>
      <vt:lpstr>Table0</vt:lpstr>
      <vt:lpstr>Table1</vt:lpstr>
      <vt:lpstr>Table10</vt:lpstr>
      <vt:lpstr>Table10a</vt:lpstr>
      <vt:lpstr>Table10b</vt:lpstr>
      <vt:lpstr>Table10c</vt:lpstr>
      <vt:lpstr>Table11</vt:lpstr>
      <vt:lpstr>Table11a</vt:lpstr>
      <vt:lpstr>Table11b</vt:lpstr>
      <vt:lpstr>Table12</vt:lpstr>
      <vt:lpstr>Table12a</vt:lpstr>
      <vt:lpstr>Table13</vt:lpstr>
      <vt:lpstr>Table13a</vt:lpstr>
      <vt:lpstr>Table13b</vt:lpstr>
      <vt:lpstr>Table14</vt:lpstr>
      <vt:lpstr>Table14a</vt:lpstr>
      <vt:lpstr>Table14b</vt:lpstr>
      <vt:lpstr>Table14c</vt:lpstr>
      <vt:lpstr>Table14d</vt:lpstr>
      <vt:lpstr>Table14e</vt:lpstr>
      <vt:lpstr>Table14f</vt:lpstr>
      <vt:lpstr>Table14g</vt:lpstr>
      <vt:lpstr>Table15</vt:lpstr>
      <vt:lpstr>Table15a</vt:lpstr>
      <vt:lpstr>Table15b</vt:lpstr>
      <vt:lpstr>Table15c</vt:lpstr>
      <vt:lpstr>Table15d</vt:lpstr>
      <vt:lpstr>Table16</vt:lpstr>
      <vt:lpstr>Table16a</vt:lpstr>
      <vt:lpstr>Table16b</vt:lpstr>
      <vt:lpstr>Table16c</vt:lpstr>
      <vt:lpstr>Table16d</vt:lpstr>
      <vt:lpstr>Table17</vt:lpstr>
      <vt:lpstr>Table17a</vt:lpstr>
      <vt:lpstr>Table17b</vt:lpstr>
      <vt:lpstr>Table17c</vt:lpstr>
      <vt:lpstr>Table17d</vt:lpstr>
      <vt:lpstr>Table18</vt:lpstr>
      <vt:lpstr>Table18a</vt:lpstr>
      <vt:lpstr>Table18b</vt:lpstr>
      <vt:lpstr>Table19</vt:lpstr>
      <vt:lpstr>Table19a</vt:lpstr>
      <vt:lpstr>Table19b</vt:lpstr>
      <vt:lpstr>Table1a</vt:lpstr>
      <vt:lpstr>'1 1a 1b'!Table1b</vt:lpstr>
      <vt:lpstr>Table2</vt:lpstr>
      <vt:lpstr>Table20</vt:lpstr>
      <vt:lpstr>Table21</vt:lpstr>
      <vt:lpstr>Table21a</vt:lpstr>
      <vt:lpstr>Table21b</vt:lpstr>
      <vt:lpstr>Table21c</vt:lpstr>
      <vt:lpstr>Table22</vt:lpstr>
      <vt:lpstr>Table23</vt:lpstr>
      <vt:lpstr>Table23a</vt:lpstr>
      <vt:lpstr>Table24</vt:lpstr>
      <vt:lpstr>Table25</vt:lpstr>
      <vt:lpstr>'2 2a 2b'!Table2a</vt:lpstr>
      <vt:lpstr>'2 2a 2b'!Table2b</vt:lpstr>
      <vt:lpstr>Table3</vt:lpstr>
      <vt:lpstr>Table3a</vt:lpstr>
      <vt:lpstr>Table3b</vt:lpstr>
      <vt:lpstr>Table4</vt:lpstr>
      <vt:lpstr>Table4a</vt:lpstr>
      <vt:lpstr>Table4b</vt:lpstr>
      <vt:lpstr>Table4c</vt:lpstr>
      <vt:lpstr>Table4d</vt:lpstr>
      <vt:lpstr>Table4e</vt:lpstr>
      <vt:lpstr>Table5</vt:lpstr>
      <vt:lpstr>Table5a</vt:lpstr>
      <vt:lpstr>Table6</vt:lpstr>
      <vt:lpstr>Table6a</vt:lpstr>
      <vt:lpstr>Table6b</vt:lpstr>
      <vt:lpstr>Table6c</vt:lpstr>
      <vt:lpstr>Table6d</vt:lpstr>
      <vt:lpstr>Table7</vt:lpstr>
      <vt:lpstr>Table8</vt:lpstr>
      <vt:lpstr>Table8a</vt:lpstr>
      <vt:lpstr>Table9</vt:lpstr>
      <vt:lpstr>Table9a</vt:lpstr>
      <vt:lpstr>Table9b</vt:lpstr>
      <vt:lpstr>T_01!ThisYear</vt:lpstr>
      <vt:lpstr>ThisYear</vt:lpstr>
      <vt:lpstr>WorkSheet_10</vt:lpstr>
      <vt:lpstr>WorkSheet_11</vt:lpstr>
      <vt:lpstr>WorkSheet_12</vt:lpstr>
      <vt:lpstr>WorkSheet_13</vt:lpstr>
      <vt:lpstr>WorkSheet_14</vt:lpstr>
      <vt:lpstr>WorkSheet_15</vt:lpstr>
      <vt:lpstr>WorkSheet_16</vt:lpstr>
      <vt:lpstr>WorkSheet_17</vt:lpstr>
      <vt:lpstr>WorkSheet_18</vt:lpstr>
      <vt:lpstr>WorkSheet_19</vt:lpstr>
      <vt:lpstr>WorkSheet_2</vt:lpstr>
      <vt:lpstr>WorkSheet_20</vt:lpstr>
      <vt:lpstr>WorkSheet_21</vt:lpstr>
      <vt:lpstr>WorkSheet_22</vt:lpstr>
      <vt:lpstr>WorkSheet_23</vt:lpstr>
      <vt:lpstr>WorkSheet_24</vt:lpstr>
      <vt:lpstr>WorkSheet_25</vt:lpstr>
      <vt:lpstr>WorkSheet_26</vt:lpstr>
      <vt:lpstr>WorkSheet_27</vt:lpstr>
      <vt:lpstr>WorkSheet_28</vt:lpstr>
      <vt:lpstr>WorkSheet_29</vt:lpstr>
      <vt:lpstr>WorkSheet_30</vt:lpstr>
      <vt:lpstr>WorkSheet_31</vt:lpstr>
      <vt:lpstr>WorkSheet_32</vt:lpstr>
      <vt:lpstr>WorkSheet_33</vt:lpstr>
      <vt:lpstr>WorkSheet_34</vt:lpstr>
      <vt:lpstr>WorkSheet_35</vt:lpstr>
      <vt:lpstr>WorkSheet_36</vt:lpstr>
      <vt:lpstr>WorkSheet_37</vt:lpstr>
      <vt:lpstr>WorkSheet_38</vt:lpstr>
      <vt:lpstr>WorkSheet_39</vt:lpstr>
      <vt:lpstr>WorkSheet_4</vt:lpstr>
      <vt:lpstr>WorkSheet_40</vt:lpstr>
      <vt:lpstr>WorkSheet_41</vt:lpstr>
      <vt:lpstr>WorkSheet_42</vt:lpstr>
      <vt:lpstr>WorkSheet_43</vt:lpstr>
      <vt:lpstr>WorkSheet_44</vt:lpstr>
      <vt:lpstr>WorkSheet_45</vt:lpstr>
      <vt:lpstr>WorkSheet_46</vt:lpstr>
      <vt:lpstr>WorkSheet_47</vt:lpstr>
      <vt:lpstr>WorkSheet_48</vt:lpstr>
      <vt:lpstr>'Figure 12'!WorkSheet_49</vt:lpstr>
      <vt:lpstr>'Figure 3'!WorkSheet_49</vt:lpstr>
      <vt:lpstr>'Figure 5'!WorkSheet_49</vt:lpstr>
      <vt:lpstr>'Figure 6'!WorkSheet_49</vt:lpstr>
      <vt:lpstr>'Figure 8'!WorkSheet_49</vt:lpstr>
      <vt:lpstr>WorkSheet_49</vt:lpstr>
      <vt:lpstr>WorkSheet_5</vt:lpstr>
      <vt:lpstr>WorkSheet_50</vt:lpstr>
      <vt:lpstr>WorkSheet_51</vt:lpstr>
      <vt:lpstr>WorkSheet_52</vt:lpstr>
      <vt:lpstr>WorkSheet_53</vt:lpstr>
      <vt:lpstr>WorkSheet_54</vt:lpstr>
      <vt:lpstr>WorkSheet_55</vt:lpstr>
      <vt:lpstr>WorkSheet_56</vt:lpstr>
      <vt:lpstr>WorkSheet_57</vt:lpstr>
      <vt:lpstr>WorkSheet_58</vt:lpstr>
      <vt:lpstr>WorkSheet_59</vt:lpstr>
      <vt:lpstr>WorkSheet_6</vt:lpstr>
      <vt:lpstr>WorkSheet_60</vt:lpstr>
      <vt:lpstr>WorkSheet_61</vt:lpstr>
      <vt:lpstr>WorkSheet_62</vt:lpstr>
      <vt:lpstr>WorkSheet_7</vt:lpstr>
      <vt:lpstr>WorkSheet_8</vt:lpstr>
      <vt:lpstr>WorkSheet_9</vt:lpstr>
      <vt:lpstr>T_01!YearsToChart</vt:lpstr>
      <vt:lpstr>YearsToChart</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and Rescue Incident Statistics, 2017-2018, Tables and Charts</dc:title>
  <dc:creator>u414773</dc:creator>
  <cp:keywords>Statistics</cp:keywords>
  <cp:lastModifiedBy>Allan, Morag</cp:lastModifiedBy>
  <cp:lastPrinted>2018-10-23T13:15:47Z</cp:lastPrinted>
  <dcterms:created xsi:type="dcterms:W3CDTF">2014-11-20T14:18:33Z</dcterms:created>
  <dcterms:modified xsi:type="dcterms:W3CDTF">2023-09-20T08:22:01Z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A9766793</vt:lpwstr>
  </property>
  <property fmtid="{D5CDD505-2E9C-101B-9397-08002B2CF9AE}" pid="4" name="Objective-Title">
    <vt:lpwstr>Fire and Rescue Statistics Scotland 2013-14 - Dataset for publication</vt:lpwstr>
  </property>
  <property fmtid="{D5CDD505-2E9C-101B-9397-08002B2CF9AE}" pid="5" name="Objective-Comment">
    <vt:lpwstr>
    </vt:lpwstr>
  </property>
  <property fmtid="{D5CDD505-2E9C-101B-9397-08002B2CF9AE}" pid="6" name="Objective-CreationStamp">
    <vt:filetime>2014-11-20T15:07:05Z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2014-12-15T11:57:45Z</vt:filetime>
  </property>
  <property fmtid="{D5CDD505-2E9C-101B-9397-08002B2CF9AE}" pid="10" name="Objective-ModificationStamp">
    <vt:filetime>2014-12-15T11:57:45Z</vt:filetime>
  </property>
  <property fmtid="{D5CDD505-2E9C-101B-9397-08002B2CF9AE}" pid="11" name="Objective-Owner">
    <vt:lpwstr>Haxton, Phillipa P (U414773)</vt:lpwstr>
  </property>
  <property fmtid="{D5CDD505-2E9C-101B-9397-08002B2CF9AE}" pid="12" name="Objective-Path">
    <vt:lpwstr>Objective Global Folder:SG File Plan:Crime, law, justice and rights:Emergencies:Fire service:Research and analysis: Fire service:Statistics: Fire statistics Scotland: Restricted working papers: Research and analysis: Fire service: 2012-2017:</vt:lpwstr>
  </property>
  <property fmtid="{D5CDD505-2E9C-101B-9397-08002B2CF9AE}" pid="13" name="Objective-Parent">
    <vt:lpwstr>Statistics: Fire statistics Scotland: Restricted working papers: Research and analysis: Fire service: 2012-2017</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i4>36</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Not Protectively Marked]</vt:lpwstr>
  </property>
  <property fmtid="{D5CDD505-2E9C-101B-9397-08002B2CF9AE}" pid="20" name="Objective-Caveats">
    <vt:lpwstr>
    </vt:lpwstr>
  </property>
  <property fmtid="{D5CDD505-2E9C-101B-9397-08002B2CF9AE}" pid="21" name="Objective-Date of Original [system]">
    <vt:lpwstr>
    </vt:lpwstr>
  </property>
  <property fmtid="{D5CDD505-2E9C-101B-9397-08002B2CF9AE}" pid="22" name="Objective-Date Received [system]">
    <vt:lpwstr>
    </vt:lpwstr>
  </property>
  <property fmtid="{D5CDD505-2E9C-101B-9397-08002B2CF9AE}" pid="23" name="Objective-SG Web Publication - Category [system]">
    <vt:lpwstr>
    </vt:lpwstr>
  </property>
  <property fmtid="{D5CDD505-2E9C-101B-9397-08002B2CF9AE}" pid="24" name="Objective-SG Web Publication - Category 2 Classification [system]">
    <vt:lpwstr>
    </vt:lpwstr>
  </property>
  <property fmtid="{D5CDD505-2E9C-101B-9397-08002B2CF9AE}" pid="25" name="ContentTypeId">
    <vt:lpwstr>0x0101004D3BEEE8C71E0441ABCD602B2883CF2303002F0AEBBF2B74A8408CFDD78D345B4A87</vt:lpwstr>
  </property>
  <property fmtid="{D5CDD505-2E9C-101B-9397-08002B2CF9AE}" pid="26" name="_dlc_DocIdItemGuid">
    <vt:lpwstr>9797adef-e06d-447c-b77d-50a3903dd8a8</vt:lpwstr>
  </property>
  <property fmtid="{D5CDD505-2E9C-101B-9397-08002B2CF9AE}" pid="27" name="TaxKeyword">
    <vt:lpwstr>40;#Statistics|4fdbaa0e-82da-4f02-8c00-4c1730b59b67</vt:lpwstr>
  </property>
  <property fmtid="{D5CDD505-2E9C-101B-9397-08002B2CF9AE}" pid="28" name="MediaServiceImageTags">
    <vt:lpwstr/>
  </property>
  <property fmtid="{D5CDD505-2E9C-101B-9397-08002B2CF9AE}" pid="29" name="DirectorateTEMP">
    <vt:lpwstr>Strategic Planning, Performance and Communications</vt:lpwstr>
  </property>
  <property fmtid="{D5CDD505-2E9C-101B-9397-08002B2CF9AE}" pid="30" name="Directorate">
    <vt:lpwstr>2077;#Strategic Planning, Performance and Communications (SPPC)|c9dfca0c-2d79-4a95-9878-54827f0e6791</vt:lpwstr>
  </property>
  <property fmtid="{D5CDD505-2E9C-101B-9397-08002B2CF9AE}" pid="31" name="Directorate0">
    <vt:lpwstr/>
  </property>
</Properties>
</file>